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O:\Sekce_III\32_odbor\Oddělení  320\Výroční zpráva o hospodaření\sumarizované tabulky\za 2017\Tabulky postoupené VVŠ\"/>
    </mc:Choice>
  </mc:AlternateContent>
  <bookViews>
    <workbookView xWindow="0" yWindow="0" windowWidth="28800" windowHeight="12045" tabRatio="934"/>
  </bookViews>
  <sheets>
    <sheet name="Součet" sheetId="25" r:id="rId1"/>
    <sheet name="UK" sheetId="55" r:id="rId2"/>
    <sheet name="JU" sheetId="56" r:id="rId3"/>
    <sheet name="UJEP" sheetId="57" r:id="rId4"/>
    <sheet name="MU" sheetId="58" r:id="rId5"/>
    <sheet name="UPOL" sheetId="59" r:id="rId6"/>
    <sheet name="VFU" sheetId="60" r:id="rId7"/>
    <sheet name="OU" sheetId="61" r:id="rId8"/>
    <sheet name="UHK" sheetId="62" r:id="rId9"/>
    <sheet name="SU" sheetId="63" r:id="rId10"/>
    <sheet name="ČVUT" sheetId="64" r:id="rId11"/>
    <sheet name="VŠCHT" sheetId="65" r:id="rId12"/>
    <sheet name="ZČU" sheetId="66" r:id="rId13"/>
    <sheet name="TUL" sheetId="67" r:id="rId14"/>
    <sheet name="UPa" sheetId="68" r:id="rId15"/>
    <sheet name="VUT" sheetId="69" r:id="rId16"/>
    <sheet name="VŠB_TUO" sheetId="70" r:id="rId17"/>
    <sheet name="UTB" sheetId="71" r:id="rId18"/>
    <sheet name="VŠE" sheetId="72" r:id="rId19"/>
    <sheet name="ČZU" sheetId="73" r:id="rId20"/>
    <sheet name="MENDELU" sheetId="74" r:id="rId21"/>
    <sheet name="AMU" sheetId="75" r:id="rId22"/>
    <sheet name="AVU" sheetId="76" r:id="rId23"/>
    <sheet name="VŠUP" sheetId="77" r:id="rId24"/>
    <sheet name="JAMU" sheetId="78" r:id="rId25"/>
    <sheet name="VŠPJ" sheetId="79" r:id="rId26"/>
    <sheet name="VŠTE" sheetId="80" r:id="rId27"/>
  </sheets>
  <calcPr calcId="152511"/>
  <customWorkbookViews>
    <customWorkbookView name="Uldrichová Marie – osobní zobrazení" guid="{2AF6EA2A-E5C5-45EB-B6C4-875AD1E4E056}" mergeInterval="0" personalView="1" maximized="1" windowWidth="1676" windowHeight="755" tabRatio="823" activeSheetId="10"/>
  </customWorkbookViews>
</workbook>
</file>

<file path=xl/calcChain.xml><?xml version="1.0" encoding="utf-8"?>
<calcChain xmlns="http://schemas.openxmlformats.org/spreadsheetml/2006/main">
  <c r="E7" i="25" l="1"/>
  <c r="H7" i="25"/>
  <c r="G7" i="25"/>
  <c r="H44" i="58"/>
  <c r="G44" i="58"/>
  <c r="F8" i="79"/>
  <c r="E8" i="79"/>
  <c r="H44" i="74"/>
  <c r="G44" i="74"/>
  <c r="F7" i="25"/>
  <c r="F34" i="25"/>
  <c r="E34" i="25"/>
  <c r="D7" i="25"/>
  <c r="D34" i="25"/>
  <c r="C7" i="25"/>
  <c r="C34" i="25"/>
  <c r="P34" i="25"/>
  <c r="O34" i="25"/>
  <c r="M34" i="25"/>
  <c r="K34" i="25"/>
  <c r="J34" i="25"/>
  <c r="I34" i="25"/>
  <c r="G34" i="25"/>
  <c r="P7" i="25"/>
  <c r="O7" i="25"/>
  <c r="M7" i="25"/>
  <c r="K7" i="25"/>
  <c r="J7" i="25"/>
  <c r="I7" i="25"/>
  <c r="P12" i="25"/>
  <c r="O12" i="25"/>
  <c r="M12" i="25"/>
  <c r="L12" i="25"/>
  <c r="K12" i="25"/>
  <c r="J12" i="25"/>
  <c r="I12" i="25"/>
  <c r="H12" i="25"/>
  <c r="G12" i="25"/>
  <c r="F12" i="25"/>
  <c r="E12" i="25"/>
  <c r="D12" i="25"/>
  <c r="C12" i="25"/>
  <c r="P8" i="25"/>
  <c r="O8" i="25"/>
  <c r="M8" i="25"/>
  <c r="L8" i="25"/>
  <c r="L7" i="25"/>
  <c r="L34" i="25"/>
  <c r="K8" i="25"/>
  <c r="J8" i="25"/>
  <c r="I8" i="25"/>
  <c r="H8" i="25"/>
  <c r="H34" i="25"/>
  <c r="G8" i="25"/>
  <c r="F8" i="25"/>
  <c r="E8" i="25"/>
  <c r="D8" i="25"/>
  <c r="C8" i="25"/>
  <c r="P31" i="25"/>
  <c r="O31" i="25"/>
  <c r="M31" i="25"/>
  <c r="L31" i="25"/>
  <c r="K31" i="25"/>
  <c r="J31" i="25"/>
  <c r="I31" i="25"/>
  <c r="H31" i="25"/>
  <c r="G31" i="25"/>
  <c r="F31" i="25"/>
  <c r="E31" i="25"/>
  <c r="D31" i="25"/>
  <c r="P28" i="25"/>
  <c r="O28" i="25"/>
  <c r="M28" i="25"/>
  <c r="L28" i="25"/>
  <c r="K28" i="25"/>
  <c r="J28" i="25"/>
  <c r="I28" i="25"/>
  <c r="H28" i="25"/>
  <c r="G28" i="25"/>
  <c r="F28" i="25"/>
  <c r="E28" i="25"/>
  <c r="D28" i="25"/>
  <c r="P26" i="25"/>
  <c r="O26" i="25"/>
  <c r="M26" i="25"/>
  <c r="L26" i="25"/>
  <c r="K26" i="25"/>
  <c r="J26" i="25"/>
  <c r="I26" i="25"/>
  <c r="H26" i="25"/>
  <c r="G26" i="25"/>
  <c r="F26" i="25"/>
  <c r="E26" i="25"/>
  <c r="D26" i="25"/>
  <c r="P24" i="25"/>
  <c r="O24" i="25"/>
  <c r="M24" i="25"/>
  <c r="L24" i="25"/>
  <c r="K24" i="25"/>
  <c r="J24" i="25"/>
  <c r="I24" i="25"/>
  <c r="H24" i="25"/>
  <c r="G24" i="25"/>
  <c r="F24" i="25"/>
  <c r="E24" i="25"/>
  <c r="D24" i="25"/>
  <c r="P21" i="25"/>
  <c r="O21" i="25"/>
  <c r="M21" i="25"/>
  <c r="L21" i="25"/>
  <c r="K21" i="25"/>
  <c r="J21" i="25"/>
  <c r="I21" i="25"/>
  <c r="H21" i="25"/>
  <c r="G21" i="25"/>
  <c r="F21" i="25"/>
  <c r="E21" i="25"/>
  <c r="D21" i="25"/>
  <c r="P20" i="25"/>
  <c r="O20" i="25"/>
  <c r="M20" i="25"/>
  <c r="L20" i="25"/>
  <c r="K20" i="25"/>
  <c r="J20" i="25"/>
  <c r="I20" i="25"/>
  <c r="H20" i="25"/>
  <c r="G20" i="25"/>
  <c r="F20" i="25"/>
  <c r="E20" i="25"/>
  <c r="D20" i="25"/>
  <c r="P19" i="25"/>
  <c r="O19" i="25"/>
  <c r="M19" i="25"/>
  <c r="L19" i="25"/>
  <c r="K19" i="25"/>
  <c r="J19" i="25"/>
  <c r="I19" i="25"/>
  <c r="H19" i="25"/>
  <c r="G19" i="25"/>
  <c r="F19" i="25"/>
  <c r="E19" i="25"/>
  <c r="D19" i="25"/>
  <c r="P18" i="25"/>
  <c r="O18" i="25"/>
  <c r="M18" i="25"/>
  <c r="L18" i="25"/>
  <c r="K18" i="25"/>
  <c r="J18" i="25"/>
  <c r="I18" i="25"/>
  <c r="H18" i="25"/>
  <c r="G18" i="25"/>
  <c r="F18" i="25"/>
  <c r="E18" i="25"/>
  <c r="D18" i="25"/>
  <c r="P17" i="25"/>
  <c r="O17" i="25"/>
  <c r="M17" i="25"/>
  <c r="L17" i="25"/>
  <c r="K17" i="25"/>
  <c r="J17" i="25"/>
  <c r="I17" i="25"/>
  <c r="H17" i="25"/>
  <c r="G17" i="25"/>
  <c r="F17" i="25"/>
  <c r="E17" i="25"/>
  <c r="D17" i="25"/>
  <c r="P16" i="25"/>
  <c r="O16" i="25"/>
  <c r="M16" i="25"/>
  <c r="L16" i="25"/>
  <c r="K16" i="25"/>
  <c r="J16" i="25"/>
  <c r="I16" i="25"/>
  <c r="H16" i="25"/>
  <c r="G16" i="25"/>
  <c r="F16" i="25"/>
  <c r="E16" i="25"/>
  <c r="D16" i="25"/>
  <c r="P15" i="25"/>
  <c r="O15" i="25"/>
  <c r="M15" i="25"/>
  <c r="L15" i="25"/>
  <c r="K15" i="25"/>
  <c r="J15" i="25"/>
  <c r="I15" i="25"/>
  <c r="H15" i="25"/>
  <c r="G15" i="25"/>
  <c r="F15" i="25"/>
  <c r="E15" i="25"/>
  <c r="D15" i="25"/>
  <c r="P14" i="25"/>
  <c r="O14" i="25"/>
  <c r="M14" i="25"/>
  <c r="L14" i="25"/>
  <c r="K14" i="25"/>
  <c r="J14" i="25"/>
  <c r="I14" i="25"/>
  <c r="H14" i="25"/>
  <c r="G14" i="25"/>
  <c r="F14" i="25"/>
  <c r="E14" i="25"/>
  <c r="D14" i="25"/>
  <c r="P13" i="25"/>
  <c r="O13" i="25"/>
  <c r="M13" i="25"/>
  <c r="L13" i="25"/>
  <c r="K13" i="25"/>
  <c r="J13" i="25"/>
  <c r="I13" i="25"/>
  <c r="H13" i="25"/>
  <c r="G13" i="25"/>
  <c r="F13" i="25"/>
  <c r="E13" i="25"/>
  <c r="D13" i="25"/>
  <c r="P11" i="25"/>
  <c r="O11" i="25"/>
  <c r="M11" i="25"/>
  <c r="L11" i="25"/>
  <c r="K11" i="25"/>
  <c r="J11" i="25"/>
  <c r="I11" i="25"/>
  <c r="H11" i="25"/>
  <c r="G11" i="25"/>
  <c r="F11" i="25"/>
  <c r="E11" i="25"/>
  <c r="D11" i="25"/>
  <c r="P10" i="25"/>
  <c r="O10" i="25"/>
  <c r="M10" i="25"/>
  <c r="L10" i="25"/>
  <c r="K10" i="25"/>
  <c r="J10" i="25"/>
  <c r="I10" i="25"/>
  <c r="H10" i="25"/>
  <c r="G10" i="25"/>
  <c r="F10" i="25"/>
  <c r="E10" i="25"/>
  <c r="D10" i="25"/>
  <c r="P9" i="25"/>
  <c r="O9" i="25"/>
  <c r="M9" i="25"/>
  <c r="L9" i="25"/>
  <c r="K9" i="25"/>
  <c r="J9" i="25"/>
  <c r="I9" i="25"/>
  <c r="H9" i="25"/>
  <c r="G9" i="25"/>
  <c r="F9" i="25"/>
  <c r="E9" i="25"/>
  <c r="D9" i="25"/>
  <c r="C31" i="25"/>
  <c r="C28" i="25"/>
  <c r="C26" i="25"/>
  <c r="C24" i="25"/>
  <c r="C21" i="25"/>
  <c r="C20" i="25"/>
  <c r="C19" i="25"/>
  <c r="C18" i="25"/>
  <c r="C17" i="25"/>
  <c r="C16" i="25"/>
  <c r="C15" i="25"/>
  <c r="C14" i="25"/>
  <c r="C13" i="25"/>
  <c r="C11" i="25"/>
  <c r="C10" i="25"/>
  <c r="C9" i="25"/>
  <c r="R8" i="80"/>
  <c r="R9" i="80"/>
  <c r="R10" i="80"/>
  <c r="R11" i="80"/>
  <c r="R12" i="80"/>
  <c r="R13" i="80"/>
  <c r="R15" i="80"/>
  <c r="R16" i="80"/>
  <c r="R17" i="80"/>
  <c r="R18" i="80"/>
  <c r="R19" i="80"/>
  <c r="R20" i="80"/>
  <c r="R21" i="80"/>
  <c r="R22" i="80"/>
  <c r="R23" i="80"/>
  <c r="R24" i="80"/>
  <c r="R25" i="80"/>
  <c r="R26" i="80"/>
  <c r="R27" i="80"/>
  <c r="R28" i="80"/>
  <c r="R29" i="80"/>
  <c r="R30" i="80"/>
  <c r="R31" i="80"/>
  <c r="R32" i="80"/>
  <c r="R33" i="80"/>
  <c r="R34" i="80"/>
  <c r="P33" i="80"/>
  <c r="H33" i="80"/>
  <c r="H32" i="80"/>
  <c r="P32" i="80"/>
  <c r="G33" i="80"/>
  <c r="L33" i="80"/>
  <c r="L32" i="80"/>
  <c r="O32" i="80"/>
  <c r="O31" i="80"/>
  <c r="M32" i="80"/>
  <c r="K32" i="80"/>
  <c r="J32" i="80"/>
  <c r="J31" i="80"/>
  <c r="G32" i="80"/>
  <c r="F32" i="80"/>
  <c r="E32" i="80"/>
  <c r="E31" i="80"/>
  <c r="D32" i="80"/>
  <c r="C32" i="80"/>
  <c r="C31" i="80"/>
  <c r="M31" i="80"/>
  <c r="K31" i="80"/>
  <c r="F31" i="80"/>
  <c r="D31" i="80"/>
  <c r="H31" i="80"/>
  <c r="P31" i="80"/>
  <c r="L30" i="80"/>
  <c r="L29" i="80"/>
  <c r="H30" i="80"/>
  <c r="P30" i="80"/>
  <c r="G30" i="80"/>
  <c r="G29" i="80"/>
  <c r="P29" i="80"/>
  <c r="O29" i="80"/>
  <c r="M29" i="80"/>
  <c r="M28" i="80"/>
  <c r="K29" i="80"/>
  <c r="K28" i="80"/>
  <c r="J29" i="80"/>
  <c r="H29" i="80"/>
  <c r="F29" i="80"/>
  <c r="F28" i="80"/>
  <c r="E29" i="80"/>
  <c r="D29" i="80"/>
  <c r="D28" i="80"/>
  <c r="C29" i="80"/>
  <c r="O28" i="80"/>
  <c r="J28" i="80"/>
  <c r="E28" i="80"/>
  <c r="C28" i="80"/>
  <c r="G28" i="80"/>
  <c r="H27" i="80"/>
  <c r="H26" i="80"/>
  <c r="P26" i="80"/>
  <c r="G27" i="80"/>
  <c r="L27" i="80"/>
  <c r="L26" i="80"/>
  <c r="O26" i="80"/>
  <c r="M26" i="80"/>
  <c r="K26" i="80"/>
  <c r="J26" i="80"/>
  <c r="G26" i="80"/>
  <c r="F26" i="80"/>
  <c r="E26" i="80"/>
  <c r="D26" i="80"/>
  <c r="C26" i="80"/>
  <c r="P25" i="80"/>
  <c r="H25" i="80"/>
  <c r="H24" i="80"/>
  <c r="P24" i="80"/>
  <c r="G25" i="80"/>
  <c r="L25" i="80"/>
  <c r="L24" i="80"/>
  <c r="O24" i="80"/>
  <c r="M24" i="80"/>
  <c r="K24" i="80"/>
  <c r="J24" i="80"/>
  <c r="G24" i="80"/>
  <c r="F24" i="80"/>
  <c r="E24" i="80"/>
  <c r="D24" i="80"/>
  <c r="C24" i="80"/>
  <c r="C21" i="80"/>
  <c r="G21" i="80"/>
  <c r="H23" i="80"/>
  <c r="L23" i="80"/>
  <c r="L22" i="80"/>
  <c r="G23" i="80"/>
  <c r="O22" i="80"/>
  <c r="O21" i="80"/>
  <c r="M22" i="80"/>
  <c r="K22" i="80"/>
  <c r="J22" i="80"/>
  <c r="G22" i="80"/>
  <c r="F22" i="80"/>
  <c r="E22" i="80"/>
  <c r="D22" i="80"/>
  <c r="C22" i="80"/>
  <c r="M21" i="80"/>
  <c r="K21" i="80"/>
  <c r="J21" i="80"/>
  <c r="F21" i="80"/>
  <c r="E21" i="80"/>
  <c r="D21" i="80"/>
  <c r="H21" i="80"/>
  <c r="P21" i="80"/>
  <c r="P20" i="80"/>
  <c r="H20" i="80"/>
  <c r="G20" i="80"/>
  <c r="L20" i="80"/>
  <c r="H19" i="80"/>
  <c r="P19" i="80"/>
  <c r="G19" i="80"/>
  <c r="L19" i="80"/>
  <c r="H18" i="80"/>
  <c r="L18" i="80"/>
  <c r="G18" i="80"/>
  <c r="P17" i="80"/>
  <c r="L17" i="80"/>
  <c r="H17" i="80"/>
  <c r="G17" i="80"/>
  <c r="P16" i="80"/>
  <c r="H16" i="80"/>
  <c r="G16" i="80"/>
  <c r="L16" i="80"/>
  <c r="H15" i="80"/>
  <c r="P15" i="80"/>
  <c r="G15" i="80"/>
  <c r="L15" i="80"/>
  <c r="H14" i="80"/>
  <c r="L14" i="80"/>
  <c r="G14" i="80"/>
  <c r="H13" i="80"/>
  <c r="L13" i="80"/>
  <c r="G13" i="80"/>
  <c r="O12" i="80"/>
  <c r="M12" i="80"/>
  <c r="K12" i="80"/>
  <c r="J12" i="80"/>
  <c r="G12" i="80"/>
  <c r="L12" i="80"/>
  <c r="F12" i="80"/>
  <c r="D12" i="80"/>
  <c r="H12" i="80"/>
  <c r="P12" i="80"/>
  <c r="C12" i="80"/>
  <c r="P11" i="80"/>
  <c r="L11" i="80"/>
  <c r="H11" i="80"/>
  <c r="G11" i="80"/>
  <c r="P10" i="80"/>
  <c r="H10" i="80"/>
  <c r="G10" i="80"/>
  <c r="L10" i="80"/>
  <c r="H9" i="80"/>
  <c r="P9" i="80"/>
  <c r="P8" i="80"/>
  <c r="P7" i="80"/>
  <c r="P34" i="80"/>
  <c r="G9" i="80"/>
  <c r="G8" i="80"/>
  <c r="G7" i="80"/>
  <c r="O8" i="80"/>
  <c r="M8" i="80"/>
  <c r="M7" i="80"/>
  <c r="K8" i="80"/>
  <c r="K7" i="80"/>
  <c r="K34" i="80"/>
  <c r="J8" i="80"/>
  <c r="H8" i="80"/>
  <c r="F8" i="80"/>
  <c r="F7" i="80"/>
  <c r="E8" i="80"/>
  <c r="D8" i="80"/>
  <c r="D7" i="80"/>
  <c r="D34" i="80"/>
  <c r="C8" i="80"/>
  <c r="A8" i="80"/>
  <c r="A9" i="80"/>
  <c r="A10" i="80"/>
  <c r="A11" i="80"/>
  <c r="A12" i="80"/>
  <c r="A13" i="80"/>
  <c r="A15" i="80"/>
  <c r="A16" i="80"/>
  <c r="A17" i="80"/>
  <c r="A18" i="80"/>
  <c r="A19" i="80"/>
  <c r="A20" i="80"/>
  <c r="A21" i="80"/>
  <c r="A22" i="80"/>
  <c r="A23" i="80"/>
  <c r="A24" i="80"/>
  <c r="A25" i="80"/>
  <c r="A26" i="80"/>
  <c r="A27" i="80"/>
  <c r="A28" i="80"/>
  <c r="A29" i="80"/>
  <c r="A30" i="80"/>
  <c r="A31" i="80"/>
  <c r="A32" i="80"/>
  <c r="A33" i="80"/>
  <c r="A34" i="80"/>
  <c r="O7" i="80"/>
  <c r="J7" i="80"/>
  <c r="J34" i="80"/>
  <c r="E7" i="80"/>
  <c r="C7" i="80"/>
  <c r="C34" i="80"/>
  <c r="R8" i="79"/>
  <c r="R9" i="79"/>
  <c r="R10" i="79"/>
  <c r="R11" i="79"/>
  <c r="R12" i="79"/>
  <c r="R13" i="79"/>
  <c r="R15" i="79"/>
  <c r="R16" i="79"/>
  <c r="R17" i="79"/>
  <c r="R18" i="79"/>
  <c r="R19" i="79"/>
  <c r="R20" i="79"/>
  <c r="R21" i="79"/>
  <c r="R22" i="79"/>
  <c r="R23" i="79"/>
  <c r="R24" i="79"/>
  <c r="R25" i="79"/>
  <c r="R26" i="79"/>
  <c r="R27" i="79"/>
  <c r="R28" i="79"/>
  <c r="R29" i="79"/>
  <c r="R30" i="79"/>
  <c r="R31" i="79"/>
  <c r="R32" i="79"/>
  <c r="R33" i="79"/>
  <c r="R34" i="79"/>
  <c r="O35" i="79"/>
  <c r="H28" i="79"/>
  <c r="P28" i="79"/>
  <c r="G28" i="79"/>
  <c r="L27" i="79"/>
  <c r="K27" i="79"/>
  <c r="J27" i="79"/>
  <c r="G27" i="79"/>
  <c r="D27" i="79"/>
  <c r="C27" i="79"/>
  <c r="H26" i="79"/>
  <c r="L26" i="79"/>
  <c r="L25" i="79"/>
  <c r="G26" i="79"/>
  <c r="K25" i="79"/>
  <c r="J25" i="79"/>
  <c r="G25" i="79"/>
  <c r="D25" i="79"/>
  <c r="C25" i="79"/>
  <c r="P24" i="79"/>
  <c r="H24" i="79"/>
  <c r="H22" i="79"/>
  <c r="G24" i="79"/>
  <c r="L24" i="79"/>
  <c r="H23" i="79"/>
  <c r="P23" i="79"/>
  <c r="P22" i="79"/>
  <c r="G23" i="79"/>
  <c r="L23" i="79"/>
  <c r="L22" i="79"/>
  <c r="K22" i="79"/>
  <c r="K21" i="79"/>
  <c r="D22" i="79"/>
  <c r="D21" i="79"/>
  <c r="D35" i="79"/>
  <c r="C22" i="79"/>
  <c r="C21" i="79"/>
  <c r="G21" i="79"/>
  <c r="O21" i="79"/>
  <c r="H9" i="79"/>
  <c r="P9" i="79"/>
  <c r="P8" i="79"/>
  <c r="P7" i="79"/>
  <c r="G9" i="79"/>
  <c r="L9" i="79"/>
  <c r="L8" i="79"/>
  <c r="L7" i="79"/>
  <c r="K8" i="79"/>
  <c r="K7" i="79"/>
  <c r="D8" i="79"/>
  <c r="C8" i="79"/>
  <c r="A8" i="79"/>
  <c r="A9" i="79"/>
  <c r="A10" i="79"/>
  <c r="A11" i="79"/>
  <c r="A12" i="79"/>
  <c r="A13" i="79"/>
  <c r="A15" i="79"/>
  <c r="A16" i="79"/>
  <c r="A17" i="79"/>
  <c r="A18" i="79"/>
  <c r="A19" i="79"/>
  <c r="A20" i="79"/>
  <c r="A21" i="79"/>
  <c r="A22" i="79"/>
  <c r="A23" i="79"/>
  <c r="A24" i="79"/>
  <c r="A25" i="79"/>
  <c r="A26" i="79"/>
  <c r="A27" i="79"/>
  <c r="A28" i="79"/>
  <c r="A29" i="79"/>
  <c r="A30" i="79"/>
  <c r="A31" i="79"/>
  <c r="A32" i="79"/>
  <c r="A33" i="79"/>
  <c r="A34" i="79"/>
  <c r="A35" i="79"/>
  <c r="O7" i="79"/>
  <c r="J7" i="79"/>
  <c r="J35" i="79"/>
  <c r="F7" i="79"/>
  <c r="F35" i="79"/>
  <c r="E7" i="79"/>
  <c r="E35" i="79"/>
  <c r="D7" i="79"/>
  <c r="C7" i="79"/>
  <c r="C35" i="79"/>
  <c r="F34" i="80"/>
  <c r="M34" i="80"/>
  <c r="H28" i="80"/>
  <c r="P28" i="80"/>
  <c r="G31" i="80"/>
  <c r="L31" i="80"/>
  <c r="E34" i="80"/>
  <c r="H7" i="80"/>
  <c r="H34" i="80"/>
  <c r="O34" i="80"/>
  <c r="L28" i="80"/>
  <c r="L9" i="80"/>
  <c r="L8" i="80"/>
  <c r="L7" i="80"/>
  <c r="L34" i="80"/>
  <c r="P13" i="80"/>
  <c r="P14" i="80"/>
  <c r="P18" i="80"/>
  <c r="P23" i="80"/>
  <c r="P27" i="80"/>
  <c r="H22" i="80"/>
  <c r="P22" i="80"/>
  <c r="H8" i="79"/>
  <c r="H7" i="79"/>
  <c r="K35" i="79"/>
  <c r="L21" i="79"/>
  <c r="L35" i="79"/>
  <c r="G8" i="79"/>
  <c r="G7" i="79"/>
  <c r="G35" i="79"/>
  <c r="H21" i="79"/>
  <c r="G22" i="79"/>
  <c r="P26" i="79"/>
  <c r="H27" i="79"/>
  <c r="P27" i="79"/>
  <c r="H25" i="79"/>
  <c r="P25" i="79"/>
  <c r="G34" i="80"/>
  <c r="H35" i="79"/>
  <c r="P21" i="79"/>
  <c r="P35" i="79"/>
  <c r="R8" i="78"/>
  <c r="R9" i="78"/>
  <c r="R10" i="78"/>
  <c r="R11" i="78"/>
  <c r="R12" i="78"/>
  <c r="R13" i="78"/>
  <c r="R15" i="78"/>
  <c r="R16" i="78"/>
  <c r="R17" i="78"/>
  <c r="R18" i="78"/>
  <c r="R19" i="78"/>
  <c r="R20" i="78"/>
  <c r="R21" i="78"/>
  <c r="R22" i="78"/>
  <c r="R23" i="78"/>
  <c r="R24" i="78"/>
  <c r="R25" i="78"/>
  <c r="R26" i="78"/>
  <c r="R27" i="78"/>
  <c r="R28" i="78"/>
  <c r="R29" i="78"/>
  <c r="R30" i="78"/>
  <c r="R31" i="78"/>
  <c r="R32" i="78"/>
  <c r="R33" i="78"/>
  <c r="R34" i="78"/>
  <c r="L33" i="78"/>
  <c r="L32" i="78"/>
  <c r="H33" i="78"/>
  <c r="P33" i="78"/>
  <c r="G33" i="78"/>
  <c r="G32" i="78"/>
  <c r="P32" i="78"/>
  <c r="O32" i="78"/>
  <c r="M32" i="78"/>
  <c r="M31" i="78"/>
  <c r="K32" i="78"/>
  <c r="K31" i="78"/>
  <c r="J32" i="78"/>
  <c r="H32" i="78"/>
  <c r="F32" i="78"/>
  <c r="F31" i="78"/>
  <c r="E32" i="78"/>
  <c r="D32" i="78"/>
  <c r="C32" i="78"/>
  <c r="O31" i="78"/>
  <c r="J31" i="78"/>
  <c r="E31" i="78"/>
  <c r="D31" i="78"/>
  <c r="C31" i="78"/>
  <c r="G31" i="78"/>
  <c r="H30" i="78"/>
  <c r="P30" i="78"/>
  <c r="G30" i="78"/>
  <c r="L30" i="78"/>
  <c r="L29" i="78"/>
  <c r="O29" i="78"/>
  <c r="O28" i="78"/>
  <c r="M29" i="78"/>
  <c r="K29" i="78"/>
  <c r="J29" i="78"/>
  <c r="J28" i="78"/>
  <c r="G29" i="78"/>
  <c r="F29" i="78"/>
  <c r="E29" i="78"/>
  <c r="E28" i="78"/>
  <c r="D29" i="78"/>
  <c r="C29" i="78"/>
  <c r="M28" i="78"/>
  <c r="K28" i="78"/>
  <c r="F28" i="78"/>
  <c r="D28" i="78"/>
  <c r="H28" i="78"/>
  <c r="P28" i="78"/>
  <c r="C28" i="78"/>
  <c r="H27" i="78"/>
  <c r="P27" i="78"/>
  <c r="G27" i="78"/>
  <c r="L27" i="78"/>
  <c r="L26" i="78"/>
  <c r="O26" i="78"/>
  <c r="M26" i="78"/>
  <c r="M21" i="78"/>
  <c r="M34" i="78"/>
  <c r="K26" i="78"/>
  <c r="J26" i="78"/>
  <c r="H26" i="78"/>
  <c r="P26" i="78"/>
  <c r="F26" i="78"/>
  <c r="E26" i="78"/>
  <c r="D26" i="78"/>
  <c r="D21" i="78"/>
  <c r="C26" i="78"/>
  <c r="G25" i="78"/>
  <c r="D25" i="78"/>
  <c r="H25" i="78"/>
  <c r="O24" i="78"/>
  <c r="M24" i="78"/>
  <c r="K24" i="78"/>
  <c r="J24" i="78"/>
  <c r="G24" i="78"/>
  <c r="F24" i="78"/>
  <c r="E24" i="78"/>
  <c r="D24" i="78"/>
  <c r="C24" i="78"/>
  <c r="C21" i="78"/>
  <c r="G21" i="78"/>
  <c r="H23" i="78"/>
  <c r="P23" i="78"/>
  <c r="G23" i="78"/>
  <c r="L23" i="78"/>
  <c r="L22" i="78"/>
  <c r="O22" i="78"/>
  <c r="O21" i="78"/>
  <c r="M22" i="78"/>
  <c r="K22" i="78"/>
  <c r="J22" i="78"/>
  <c r="J21" i="78"/>
  <c r="G22" i="78"/>
  <c r="F22" i="78"/>
  <c r="E22" i="78"/>
  <c r="E21" i="78"/>
  <c r="D22" i="78"/>
  <c r="C22" i="78"/>
  <c r="K21" i="78"/>
  <c r="F21" i="78"/>
  <c r="H20" i="78"/>
  <c r="P20" i="78"/>
  <c r="G20" i="78"/>
  <c r="L20" i="78"/>
  <c r="H19" i="78"/>
  <c r="P19" i="78"/>
  <c r="G19" i="78"/>
  <c r="P18" i="78"/>
  <c r="L18" i="78"/>
  <c r="H18" i="78"/>
  <c r="G18" i="78"/>
  <c r="P17" i="78"/>
  <c r="H17" i="78"/>
  <c r="G17" i="78"/>
  <c r="L17" i="78"/>
  <c r="H16" i="78"/>
  <c r="P16" i="78"/>
  <c r="G16" i="78"/>
  <c r="L16" i="78"/>
  <c r="H15" i="78"/>
  <c r="P15" i="78"/>
  <c r="G15" i="78"/>
  <c r="L15" i="78"/>
  <c r="L14" i="78"/>
  <c r="H14" i="78"/>
  <c r="P14" i="78"/>
  <c r="G14" i="78"/>
  <c r="L13" i="78"/>
  <c r="H13" i="78"/>
  <c r="P13" i="78"/>
  <c r="G13" i="78"/>
  <c r="O12" i="78"/>
  <c r="M12" i="78"/>
  <c r="K12" i="78"/>
  <c r="J12" i="78"/>
  <c r="F12" i="78"/>
  <c r="E12" i="78"/>
  <c r="D12" i="78"/>
  <c r="H12" i="78"/>
  <c r="P12" i="78"/>
  <c r="C12" i="78"/>
  <c r="G12" i="78"/>
  <c r="L12" i="78"/>
  <c r="H11" i="78"/>
  <c r="P11" i="78"/>
  <c r="G11" i="78"/>
  <c r="L11" i="78"/>
  <c r="H10" i="78"/>
  <c r="P10" i="78"/>
  <c r="G10" i="78"/>
  <c r="L9" i="78"/>
  <c r="H9" i="78"/>
  <c r="P9" i="78"/>
  <c r="G9" i="78"/>
  <c r="O8" i="78"/>
  <c r="M8" i="78"/>
  <c r="K8" i="78"/>
  <c r="K7" i="78"/>
  <c r="J8" i="78"/>
  <c r="F8" i="78"/>
  <c r="F7" i="78"/>
  <c r="F34" i="78"/>
  <c r="E8" i="78"/>
  <c r="D8" i="78"/>
  <c r="C8" i="78"/>
  <c r="A8" i="78"/>
  <c r="A9" i="78"/>
  <c r="A10" i="78"/>
  <c r="A11" i="78"/>
  <c r="A12" i="78"/>
  <c r="A13" i="78"/>
  <c r="A15" i="78"/>
  <c r="A16" i="78"/>
  <c r="A17" i="78"/>
  <c r="A18" i="78"/>
  <c r="A19" i="78"/>
  <c r="A20" i="78"/>
  <c r="A21" i="78"/>
  <c r="A22" i="78"/>
  <c r="A23" i="78"/>
  <c r="A24" i="78"/>
  <c r="A25" i="78"/>
  <c r="A26" i="78"/>
  <c r="A27" i="78"/>
  <c r="A28" i="78"/>
  <c r="A29" i="78"/>
  <c r="A30" i="78"/>
  <c r="A31" i="78"/>
  <c r="A32" i="78"/>
  <c r="A33" i="78"/>
  <c r="A34" i="78"/>
  <c r="O7" i="78"/>
  <c r="O34" i="78"/>
  <c r="M7" i="78"/>
  <c r="J7" i="78"/>
  <c r="E7" i="78"/>
  <c r="D7" i="78"/>
  <c r="C7" i="78"/>
  <c r="C34" i="78"/>
  <c r="R8" i="77"/>
  <c r="R9" i="77"/>
  <c r="R10" i="77"/>
  <c r="R11" i="77"/>
  <c r="R12" i="77"/>
  <c r="R13" i="77"/>
  <c r="R15" i="77"/>
  <c r="R16" i="77"/>
  <c r="R17" i="77"/>
  <c r="R18" i="77"/>
  <c r="R19" i="77"/>
  <c r="R20" i="77"/>
  <c r="R21" i="77"/>
  <c r="R22" i="77"/>
  <c r="R23" i="77"/>
  <c r="R24" i="77"/>
  <c r="R25" i="77"/>
  <c r="R26" i="77"/>
  <c r="R27" i="77"/>
  <c r="R28" i="77"/>
  <c r="R29" i="77"/>
  <c r="R30" i="77"/>
  <c r="R31" i="77"/>
  <c r="R32" i="77"/>
  <c r="R33" i="77"/>
  <c r="R34" i="77"/>
  <c r="P33" i="77"/>
  <c r="H33" i="77"/>
  <c r="G33" i="77"/>
  <c r="L33" i="77"/>
  <c r="L32" i="77"/>
  <c r="O32" i="77"/>
  <c r="M32" i="77"/>
  <c r="K32" i="77"/>
  <c r="J32" i="77"/>
  <c r="H32" i="77"/>
  <c r="P32" i="77"/>
  <c r="G32" i="77"/>
  <c r="F32" i="77"/>
  <c r="E32" i="77"/>
  <c r="D32" i="77"/>
  <c r="C32" i="77"/>
  <c r="C31" i="77"/>
  <c r="G31" i="77"/>
  <c r="L31" i="77"/>
  <c r="O31" i="77"/>
  <c r="M31" i="77"/>
  <c r="K31" i="77"/>
  <c r="J31" i="77"/>
  <c r="F31" i="77"/>
  <c r="E31" i="77"/>
  <c r="D31" i="77"/>
  <c r="H31" i="77"/>
  <c r="P31" i="77"/>
  <c r="P30" i="77"/>
  <c r="L30" i="77"/>
  <c r="L29" i="77"/>
  <c r="H30" i="77"/>
  <c r="G30" i="77"/>
  <c r="P29" i="77"/>
  <c r="O29" i="77"/>
  <c r="M29" i="77"/>
  <c r="K29" i="77"/>
  <c r="K28" i="77"/>
  <c r="J29" i="77"/>
  <c r="H29" i="77"/>
  <c r="G29" i="77"/>
  <c r="F29" i="77"/>
  <c r="F28" i="77"/>
  <c r="E29" i="77"/>
  <c r="D29" i="77"/>
  <c r="C29" i="77"/>
  <c r="O28" i="77"/>
  <c r="M28" i="77"/>
  <c r="J28" i="77"/>
  <c r="E28" i="77"/>
  <c r="D28" i="77"/>
  <c r="H28" i="77"/>
  <c r="P28" i="77"/>
  <c r="C28" i="77"/>
  <c r="G28" i="77"/>
  <c r="L28" i="77"/>
  <c r="H27" i="77"/>
  <c r="H26" i="77"/>
  <c r="P26" i="77"/>
  <c r="G27" i="77"/>
  <c r="O26" i="77"/>
  <c r="M26" i="77"/>
  <c r="K26" i="77"/>
  <c r="J26" i="77"/>
  <c r="G26" i="77"/>
  <c r="F26" i="77"/>
  <c r="E26" i="77"/>
  <c r="D26" i="77"/>
  <c r="C26" i="77"/>
  <c r="P25" i="77"/>
  <c r="H25" i="77"/>
  <c r="G25" i="77"/>
  <c r="L25" i="77"/>
  <c r="L24" i="77"/>
  <c r="O24" i="77"/>
  <c r="M24" i="77"/>
  <c r="M21" i="77"/>
  <c r="K24" i="77"/>
  <c r="J24" i="77"/>
  <c r="H24" i="77"/>
  <c r="P24" i="77"/>
  <c r="G24" i="77"/>
  <c r="F24" i="77"/>
  <c r="E24" i="77"/>
  <c r="D24" i="77"/>
  <c r="D21" i="77"/>
  <c r="H21" i="77"/>
  <c r="C24" i="77"/>
  <c r="C21" i="77"/>
  <c r="G21" i="77"/>
  <c r="H23" i="77"/>
  <c r="H22" i="77"/>
  <c r="P22" i="77"/>
  <c r="G23" i="77"/>
  <c r="O22" i="77"/>
  <c r="O21" i="77"/>
  <c r="M22" i="77"/>
  <c r="K22" i="77"/>
  <c r="J22" i="77"/>
  <c r="G22" i="77"/>
  <c r="F22" i="77"/>
  <c r="E22" i="77"/>
  <c r="D22" i="77"/>
  <c r="C22" i="77"/>
  <c r="K21" i="77"/>
  <c r="J21" i="77"/>
  <c r="F21" i="77"/>
  <c r="E21" i="77"/>
  <c r="P20" i="77"/>
  <c r="H20" i="77"/>
  <c r="G20" i="77"/>
  <c r="L20" i="77"/>
  <c r="H19" i="77"/>
  <c r="P19" i="77"/>
  <c r="G19" i="77"/>
  <c r="L19" i="77"/>
  <c r="H18" i="77"/>
  <c r="L18" i="77"/>
  <c r="G18" i="77"/>
  <c r="P17" i="77"/>
  <c r="L17" i="77"/>
  <c r="H17" i="77"/>
  <c r="G17" i="77"/>
  <c r="P16" i="77"/>
  <c r="H16" i="77"/>
  <c r="G16" i="77"/>
  <c r="L16" i="77"/>
  <c r="H15" i="77"/>
  <c r="P15" i="77"/>
  <c r="G15" i="77"/>
  <c r="L15" i="77"/>
  <c r="H14" i="77"/>
  <c r="L14" i="77"/>
  <c r="G14" i="77"/>
  <c r="H13" i="77"/>
  <c r="L13" i="77"/>
  <c r="G13" i="77"/>
  <c r="O12" i="77"/>
  <c r="M12" i="77"/>
  <c r="K12" i="77"/>
  <c r="J12" i="77"/>
  <c r="F12" i="77"/>
  <c r="E12" i="77"/>
  <c r="D12" i="77"/>
  <c r="H12" i="77"/>
  <c r="P12" i="77"/>
  <c r="C12" i="77"/>
  <c r="G12" i="77"/>
  <c r="L12" i="77"/>
  <c r="P11" i="77"/>
  <c r="H11" i="77"/>
  <c r="G11" i="77"/>
  <c r="L11" i="77"/>
  <c r="H10" i="77"/>
  <c r="P10" i="77"/>
  <c r="G10" i="77"/>
  <c r="L10" i="77"/>
  <c r="H9" i="77"/>
  <c r="H8" i="77"/>
  <c r="H7" i="77"/>
  <c r="H34" i="77"/>
  <c r="G9" i="77"/>
  <c r="O8" i="77"/>
  <c r="O7" i="77"/>
  <c r="O34" i="77"/>
  <c r="M8" i="77"/>
  <c r="K8" i="77"/>
  <c r="J8" i="77"/>
  <c r="J7" i="77"/>
  <c r="J34" i="77"/>
  <c r="F8" i="77"/>
  <c r="E8" i="77"/>
  <c r="E7" i="77"/>
  <c r="E34" i="77"/>
  <c r="D8" i="77"/>
  <c r="C8" i="77"/>
  <c r="A8" i="77"/>
  <c r="A9" i="77"/>
  <c r="A10" i="77"/>
  <c r="A11" i="77"/>
  <c r="A12" i="77"/>
  <c r="A13" i="77"/>
  <c r="A15" i="77"/>
  <c r="A16" i="77"/>
  <c r="A17" i="77"/>
  <c r="A18" i="77"/>
  <c r="A19" i="77"/>
  <c r="A20" i="77"/>
  <c r="A21" i="77"/>
  <c r="A22" i="77"/>
  <c r="A23" i="77"/>
  <c r="A24" i="77"/>
  <c r="A25" i="77"/>
  <c r="A26" i="77"/>
  <c r="A27" i="77"/>
  <c r="A28" i="77"/>
  <c r="A29" i="77"/>
  <c r="A30" i="77"/>
  <c r="A31" i="77"/>
  <c r="A32" i="77"/>
  <c r="A33" i="77"/>
  <c r="A34" i="77"/>
  <c r="M7" i="77"/>
  <c r="M34" i="77"/>
  <c r="K7" i="77"/>
  <c r="K34" i="77"/>
  <c r="F7" i="77"/>
  <c r="F34" i="77"/>
  <c r="D7" i="77"/>
  <c r="D34" i="77"/>
  <c r="C7" i="77"/>
  <c r="C34" i="77"/>
  <c r="R10" i="76"/>
  <c r="R11" i="76"/>
  <c r="R12" i="76"/>
  <c r="R13" i="76"/>
  <c r="R15" i="76"/>
  <c r="R16" i="76"/>
  <c r="R17" i="76"/>
  <c r="R18" i="76"/>
  <c r="R19" i="76"/>
  <c r="R20" i="76"/>
  <c r="R21" i="76"/>
  <c r="R22" i="76"/>
  <c r="R23" i="76"/>
  <c r="R24" i="76"/>
  <c r="R25" i="76"/>
  <c r="R26" i="76"/>
  <c r="R27" i="76"/>
  <c r="R28" i="76"/>
  <c r="R29" i="76"/>
  <c r="R30" i="76"/>
  <c r="R31" i="76"/>
  <c r="R32" i="76"/>
  <c r="R33" i="76"/>
  <c r="R34" i="76"/>
  <c r="R9" i="76"/>
  <c r="R8" i="76"/>
  <c r="L33" i="76"/>
  <c r="L32" i="76"/>
  <c r="H33" i="76"/>
  <c r="P33" i="76"/>
  <c r="G33" i="76"/>
  <c r="G32" i="76"/>
  <c r="P32" i="76"/>
  <c r="O32" i="76"/>
  <c r="M32" i="76"/>
  <c r="M31" i="76"/>
  <c r="K32" i="76"/>
  <c r="K31" i="76"/>
  <c r="J32" i="76"/>
  <c r="H32" i="76"/>
  <c r="F32" i="76"/>
  <c r="F31" i="76"/>
  <c r="E32" i="76"/>
  <c r="D32" i="76"/>
  <c r="C32" i="76"/>
  <c r="O31" i="76"/>
  <c r="J31" i="76"/>
  <c r="E31" i="76"/>
  <c r="D31" i="76"/>
  <c r="C31" i="76"/>
  <c r="G31" i="76"/>
  <c r="H30" i="76"/>
  <c r="P30" i="76"/>
  <c r="G30" i="76"/>
  <c r="L30" i="76"/>
  <c r="L29" i="76"/>
  <c r="O29" i="76"/>
  <c r="O28" i="76"/>
  <c r="M29" i="76"/>
  <c r="K29" i="76"/>
  <c r="J29" i="76"/>
  <c r="J28" i="76"/>
  <c r="G29" i="76"/>
  <c r="F29" i="76"/>
  <c r="E29" i="76"/>
  <c r="E28" i="76"/>
  <c r="D29" i="76"/>
  <c r="C29" i="76"/>
  <c r="M28" i="76"/>
  <c r="K28" i="76"/>
  <c r="F28" i="76"/>
  <c r="D28" i="76"/>
  <c r="H28" i="76"/>
  <c r="P28" i="76"/>
  <c r="C28" i="76"/>
  <c r="G28" i="76"/>
  <c r="L28" i="76"/>
  <c r="H27" i="76"/>
  <c r="P27" i="76"/>
  <c r="G27" i="76"/>
  <c r="L27" i="76"/>
  <c r="L26" i="76"/>
  <c r="O26" i="76"/>
  <c r="M26" i="76"/>
  <c r="K26" i="76"/>
  <c r="J26" i="76"/>
  <c r="H26" i="76"/>
  <c r="P26" i="76"/>
  <c r="F26" i="76"/>
  <c r="E26" i="76"/>
  <c r="D26" i="76"/>
  <c r="D21" i="76"/>
  <c r="C26" i="76"/>
  <c r="P25" i="76"/>
  <c r="L25" i="76"/>
  <c r="L24" i="76"/>
  <c r="H25" i="76"/>
  <c r="G25" i="76"/>
  <c r="P24" i="76"/>
  <c r="O24" i="76"/>
  <c r="M24" i="76"/>
  <c r="J24" i="76"/>
  <c r="J21" i="76"/>
  <c r="H24" i="76"/>
  <c r="G24" i="76"/>
  <c r="F24" i="76"/>
  <c r="E24" i="76"/>
  <c r="E21" i="76"/>
  <c r="D24" i="76"/>
  <c r="C24" i="76"/>
  <c r="G23" i="76"/>
  <c r="D23" i="76"/>
  <c r="H23" i="76"/>
  <c r="O22" i="76"/>
  <c r="M22" i="76"/>
  <c r="L22" i="76"/>
  <c r="K22" i="76"/>
  <c r="J22" i="76"/>
  <c r="G22" i="76"/>
  <c r="F22" i="76"/>
  <c r="E22" i="76"/>
  <c r="D22" i="76"/>
  <c r="C22" i="76"/>
  <c r="O21" i="76"/>
  <c r="M21" i="76"/>
  <c r="K21" i="76"/>
  <c r="F21" i="76"/>
  <c r="C21" i="76"/>
  <c r="H20" i="76"/>
  <c r="P20" i="76"/>
  <c r="G20" i="76"/>
  <c r="P19" i="76"/>
  <c r="L19" i="76"/>
  <c r="H19" i="76"/>
  <c r="G19" i="76"/>
  <c r="P18" i="76"/>
  <c r="H18" i="76"/>
  <c r="G18" i="76"/>
  <c r="L18" i="76"/>
  <c r="H17" i="76"/>
  <c r="P17" i="76"/>
  <c r="G17" i="76"/>
  <c r="L17" i="76"/>
  <c r="H16" i="76"/>
  <c r="P16" i="76"/>
  <c r="G16" i="76"/>
  <c r="P15" i="76"/>
  <c r="L15" i="76"/>
  <c r="H15" i="76"/>
  <c r="G15" i="76"/>
  <c r="P14" i="76"/>
  <c r="H14" i="76"/>
  <c r="G14" i="76"/>
  <c r="L14" i="76"/>
  <c r="P13" i="76"/>
  <c r="H13" i="76"/>
  <c r="G13" i="76"/>
  <c r="L13" i="76"/>
  <c r="O12" i="76"/>
  <c r="M12" i="76"/>
  <c r="K12" i="76"/>
  <c r="J12" i="76"/>
  <c r="F12" i="76"/>
  <c r="E12" i="76"/>
  <c r="D12" i="76"/>
  <c r="H12" i="76"/>
  <c r="P12" i="76"/>
  <c r="C12" i="76"/>
  <c r="G12" i="76"/>
  <c r="H11" i="76"/>
  <c r="P11" i="76"/>
  <c r="P8" i="76"/>
  <c r="G11" i="76"/>
  <c r="P10" i="76"/>
  <c r="L10" i="76"/>
  <c r="H10" i="76"/>
  <c r="G10" i="76"/>
  <c r="P9" i="76"/>
  <c r="H9" i="76"/>
  <c r="H8" i="76"/>
  <c r="G9" i="76"/>
  <c r="O8" i="76"/>
  <c r="M8" i="76"/>
  <c r="K8" i="76"/>
  <c r="K7" i="76"/>
  <c r="K34" i="76"/>
  <c r="J8" i="76"/>
  <c r="G8" i="76"/>
  <c r="F8" i="76"/>
  <c r="F7" i="76"/>
  <c r="F34" i="76"/>
  <c r="E8" i="76"/>
  <c r="D8" i="76"/>
  <c r="C8" i="76"/>
  <c r="A8" i="76"/>
  <c r="A9" i="76"/>
  <c r="A10" i="76"/>
  <c r="A11" i="76"/>
  <c r="A12" i="76"/>
  <c r="A13" i="76"/>
  <c r="A15" i="76"/>
  <c r="A16" i="76"/>
  <c r="A17" i="76"/>
  <c r="A18" i="76"/>
  <c r="A19" i="76"/>
  <c r="A20" i="76"/>
  <c r="A21" i="76"/>
  <c r="A22" i="76"/>
  <c r="A23" i="76"/>
  <c r="A24" i="76"/>
  <c r="A25" i="76"/>
  <c r="A26" i="76"/>
  <c r="A27" i="76"/>
  <c r="A28" i="76"/>
  <c r="A29" i="76"/>
  <c r="A30" i="76"/>
  <c r="A31" i="76"/>
  <c r="A32" i="76"/>
  <c r="A33" i="76"/>
  <c r="A34" i="76"/>
  <c r="O7" i="76"/>
  <c r="M7" i="76"/>
  <c r="J7" i="76"/>
  <c r="J34" i="76"/>
  <c r="E7" i="76"/>
  <c r="E34" i="76"/>
  <c r="D7" i="76"/>
  <c r="C7" i="76"/>
  <c r="C34" i="76"/>
  <c r="R8" i="75"/>
  <c r="R9" i="75"/>
  <c r="R10" i="75"/>
  <c r="R11" i="75"/>
  <c r="R12" i="75"/>
  <c r="R13" i="75"/>
  <c r="R15" i="75"/>
  <c r="R16" i="75"/>
  <c r="R17" i="75"/>
  <c r="R18" i="75"/>
  <c r="R19" i="75"/>
  <c r="R20" i="75"/>
  <c r="R21" i="75"/>
  <c r="R22" i="75"/>
  <c r="R23" i="75"/>
  <c r="R24" i="75"/>
  <c r="R25" i="75"/>
  <c r="R26" i="75"/>
  <c r="R27" i="75"/>
  <c r="R28" i="75"/>
  <c r="R29" i="75"/>
  <c r="R30" i="75"/>
  <c r="R31" i="75"/>
  <c r="R32" i="75"/>
  <c r="R33" i="75"/>
  <c r="R34" i="75"/>
  <c r="H33" i="75"/>
  <c r="G33" i="75"/>
  <c r="O32" i="75"/>
  <c r="O31" i="75"/>
  <c r="M32" i="75"/>
  <c r="K32" i="75"/>
  <c r="J32" i="75"/>
  <c r="J31" i="75"/>
  <c r="G32" i="75"/>
  <c r="F32" i="75"/>
  <c r="F31" i="75"/>
  <c r="E32" i="75"/>
  <c r="E31" i="75"/>
  <c r="D32" i="75"/>
  <c r="C32" i="75"/>
  <c r="C31" i="75"/>
  <c r="M31" i="75"/>
  <c r="K31" i="75"/>
  <c r="D31" i="75"/>
  <c r="H30" i="75"/>
  <c r="P30" i="75"/>
  <c r="G30" i="75"/>
  <c r="O29" i="75"/>
  <c r="O28" i="75"/>
  <c r="M29" i="75"/>
  <c r="M28" i="75"/>
  <c r="K29" i="75"/>
  <c r="K28" i="75"/>
  <c r="J29" i="75"/>
  <c r="J28" i="75"/>
  <c r="F29" i="75"/>
  <c r="E29" i="75"/>
  <c r="E28" i="75"/>
  <c r="D29" i="75"/>
  <c r="D28" i="75"/>
  <c r="C29" i="75"/>
  <c r="C28" i="75"/>
  <c r="F28" i="75"/>
  <c r="H27" i="75"/>
  <c r="P27" i="75"/>
  <c r="G27" i="75"/>
  <c r="O26" i="75"/>
  <c r="M26" i="75"/>
  <c r="K26" i="75"/>
  <c r="J26" i="75"/>
  <c r="G26" i="75"/>
  <c r="F26" i="75"/>
  <c r="E26" i="75"/>
  <c r="D26" i="75"/>
  <c r="C26" i="75"/>
  <c r="H25" i="75"/>
  <c r="G25" i="75"/>
  <c r="O24" i="75"/>
  <c r="M24" i="75"/>
  <c r="K24" i="75"/>
  <c r="J24" i="75"/>
  <c r="G24" i="75"/>
  <c r="F24" i="75"/>
  <c r="E24" i="75"/>
  <c r="D24" i="75"/>
  <c r="C24" i="75"/>
  <c r="G23" i="75"/>
  <c r="D23" i="75"/>
  <c r="C23" i="75"/>
  <c r="C22" i="75"/>
  <c r="O22" i="75"/>
  <c r="M22" i="75"/>
  <c r="K22" i="75"/>
  <c r="J22" i="75"/>
  <c r="F22" i="75"/>
  <c r="E22" i="75"/>
  <c r="K21" i="75"/>
  <c r="H20" i="75"/>
  <c r="P20" i="75"/>
  <c r="G20" i="75"/>
  <c r="L20" i="75"/>
  <c r="H19" i="75"/>
  <c r="P19" i="75"/>
  <c r="G19" i="75"/>
  <c r="H18" i="75"/>
  <c r="P18" i="75"/>
  <c r="G18" i="75"/>
  <c r="H17" i="75"/>
  <c r="P17" i="75"/>
  <c r="G17" i="75"/>
  <c r="L17" i="75"/>
  <c r="H16" i="75"/>
  <c r="P16" i="75"/>
  <c r="G16" i="75"/>
  <c r="H15" i="75"/>
  <c r="P15" i="75"/>
  <c r="G15" i="75"/>
  <c r="H14" i="75"/>
  <c r="P14" i="75"/>
  <c r="G14" i="75"/>
  <c r="L14" i="75"/>
  <c r="H13" i="75"/>
  <c r="P13" i="75"/>
  <c r="G13" i="75"/>
  <c r="L13" i="75"/>
  <c r="O12" i="75"/>
  <c r="M12" i="75"/>
  <c r="K12" i="75"/>
  <c r="J12" i="75"/>
  <c r="F12" i="75"/>
  <c r="E12" i="75"/>
  <c r="D12" i="75"/>
  <c r="H12" i="75"/>
  <c r="P12" i="75"/>
  <c r="C12" i="75"/>
  <c r="G12" i="75"/>
  <c r="L12" i="75"/>
  <c r="H11" i="75"/>
  <c r="P11" i="75"/>
  <c r="G11" i="75"/>
  <c r="L11" i="75"/>
  <c r="H10" i="75"/>
  <c r="G10" i="75"/>
  <c r="H9" i="75"/>
  <c r="P9" i="75"/>
  <c r="G9" i="75"/>
  <c r="O8" i="75"/>
  <c r="M8" i="75"/>
  <c r="M7" i="75"/>
  <c r="K8" i="75"/>
  <c r="J8" i="75"/>
  <c r="F8" i="75"/>
  <c r="F7" i="75"/>
  <c r="E8" i="75"/>
  <c r="E7" i="75"/>
  <c r="D8" i="75"/>
  <c r="C8" i="75"/>
  <c r="A8" i="75"/>
  <c r="A9" i="75"/>
  <c r="A10" i="75"/>
  <c r="A11" i="75"/>
  <c r="A12" i="75"/>
  <c r="A13" i="75"/>
  <c r="A15" i="75"/>
  <c r="A16" i="75"/>
  <c r="A17" i="75"/>
  <c r="A18" i="75"/>
  <c r="A19" i="75"/>
  <c r="A20" i="75"/>
  <c r="A21" i="75"/>
  <c r="A22" i="75"/>
  <c r="A23" i="75"/>
  <c r="A24" i="75"/>
  <c r="A25" i="75"/>
  <c r="A26" i="75"/>
  <c r="A27" i="75"/>
  <c r="A28" i="75"/>
  <c r="A29" i="75"/>
  <c r="A30" i="75"/>
  <c r="A31" i="75"/>
  <c r="A32" i="75"/>
  <c r="A33" i="75"/>
  <c r="A34" i="75"/>
  <c r="O7" i="75"/>
  <c r="K34" i="78"/>
  <c r="P8" i="78"/>
  <c r="P7" i="78"/>
  <c r="H21" i="78"/>
  <c r="P21" i="78"/>
  <c r="D34" i="78"/>
  <c r="P25" i="78"/>
  <c r="H24" i="78"/>
  <c r="P24" i="78"/>
  <c r="L25" i="78"/>
  <c r="L24" i="78"/>
  <c r="L21" i="78"/>
  <c r="E34" i="78"/>
  <c r="G28" i="78"/>
  <c r="L28" i="78"/>
  <c r="L31" i="78"/>
  <c r="J34" i="78"/>
  <c r="H31" i="78"/>
  <c r="P31" i="78"/>
  <c r="H22" i="78"/>
  <c r="P22" i="78"/>
  <c r="G26" i="78"/>
  <c r="H29" i="78"/>
  <c r="P29" i="78"/>
  <c r="G8" i="78"/>
  <c r="G7" i="78"/>
  <c r="G34" i="78"/>
  <c r="L10" i="78"/>
  <c r="L8" i="78"/>
  <c r="L7" i="78"/>
  <c r="L19" i="78"/>
  <c r="H8" i="78"/>
  <c r="H7" i="78"/>
  <c r="P21" i="77"/>
  <c r="G8" i="77"/>
  <c r="G7" i="77"/>
  <c r="G34" i="77"/>
  <c r="P9" i="77"/>
  <c r="P8" i="77"/>
  <c r="P7" i="77"/>
  <c r="P13" i="77"/>
  <c r="P14" i="77"/>
  <c r="P18" i="77"/>
  <c r="P23" i="77"/>
  <c r="P27" i="77"/>
  <c r="L9" i="77"/>
  <c r="L8" i="77"/>
  <c r="L7" i="77"/>
  <c r="L34" i="77"/>
  <c r="L23" i="77"/>
  <c r="L22" i="77"/>
  <c r="L27" i="77"/>
  <c r="L26" i="77"/>
  <c r="M34" i="76"/>
  <c r="P23" i="76"/>
  <c r="H22" i="76"/>
  <c r="P22" i="76"/>
  <c r="H31" i="76"/>
  <c r="P31" i="76"/>
  <c r="P7" i="76"/>
  <c r="P34" i="76"/>
  <c r="G21" i="76"/>
  <c r="H21" i="76"/>
  <c r="P21" i="76"/>
  <c r="D34" i="76"/>
  <c r="O34" i="76"/>
  <c r="H7" i="76"/>
  <c r="L12" i="76"/>
  <c r="G7" i="76"/>
  <c r="G34" i="76"/>
  <c r="G26" i="76"/>
  <c r="H29" i="76"/>
  <c r="P29" i="76"/>
  <c r="L11" i="76"/>
  <c r="L8" i="76"/>
  <c r="L7" i="76"/>
  <c r="L16" i="76"/>
  <c r="L20" i="76"/>
  <c r="J7" i="75"/>
  <c r="L10" i="75"/>
  <c r="E21" i="75"/>
  <c r="F21" i="75"/>
  <c r="C7" i="75"/>
  <c r="O21" i="75"/>
  <c r="O34" i="75"/>
  <c r="H31" i="75"/>
  <c r="P31" i="75"/>
  <c r="G31" i="75"/>
  <c r="D7" i="75"/>
  <c r="K7" i="75"/>
  <c r="K34" i="75"/>
  <c r="C21" i="75"/>
  <c r="G21" i="75"/>
  <c r="G28" i="75"/>
  <c r="H29" i="75"/>
  <c r="P29" i="75"/>
  <c r="C34" i="75"/>
  <c r="L9" i="75"/>
  <c r="L18" i="75"/>
  <c r="L19" i="75"/>
  <c r="H26" i="75"/>
  <c r="P26" i="75"/>
  <c r="M21" i="75"/>
  <c r="H28" i="75"/>
  <c r="P28" i="75"/>
  <c r="F34" i="75"/>
  <c r="L27" i="75"/>
  <c r="L26" i="75"/>
  <c r="D22" i="75"/>
  <c r="D21" i="75"/>
  <c r="H21" i="75"/>
  <c r="H23" i="75"/>
  <c r="L23" i="75"/>
  <c r="L22" i="75"/>
  <c r="G29" i="75"/>
  <c r="L30" i="75"/>
  <c r="L29" i="75"/>
  <c r="D34" i="75"/>
  <c r="H24" i="75"/>
  <c r="P24" i="75"/>
  <c r="P25" i="75"/>
  <c r="L25" i="75"/>
  <c r="L24" i="75"/>
  <c r="L28" i="75"/>
  <c r="E34" i="75"/>
  <c r="G8" i="75"/>
  <c r="G7" i="75"/>
  <c r="L15" i="75"/>
  <c r="M34" i="75"/>
  <c r="P10" i="75"/>
  <c r="P8" i="75"/>
  <c r="P7" i="75"/>
  <c r="H8" i="75"/>
  <c r="H7" i="75"/>
  <c r="L16" i="75"/>
  <c r="J21" i="75"/>
  <c r="J34" i="75"/>
  <c r="L31" i="75"/>
  <c r="H32" i="75"/>
  <c r="P32" i="75"/>
  <c r="P33" i="75"/>
  <c r="L33" i="75"/>
  <c r="L32" i="75"/>
  <c r="G22" i="75"/>
  <c r="L34" i="78"/>
  <c r="P34" i="78"/>
  <c r="H34" i="78"/>
  <c r="P34" i="77"/>
  <c r="L31" i="76"/>
  <c r="L34" i="76"/>
  <c r="H34" i="76"/>
  <c r="P21" i="75"/>
  <c r="P34" i="75"/>
  <c r="L8" i="75"/>
  <c r="L7" i="75"/>
  <c r="G34" i="75"/>
  <c r="H34" i="75"/>
  <c r="L21" i="75"/>
  <c r="H22" i="75"/>
  <c r="P22" i="75"/>
  <c r="P23" i="75"/>
  <c r="L34" i="75"/>
  <c r="R8" i="74"/>
  <c r="R9" i="74"/>
  <c r="R10" i="74"/>
  <c r="R11" i="74"/>
  <c r="R12" i="74"/>
  <c r="R13" i="74"/>
  <c r="R15" i="74"/>
  <c r="R16" i="74"/>
  <c r="R17" i="74"/>
  <c r="R18" i="74"/>
  <c r="R19" i="74"/>
  <c r="R20" i="74"/>
  <c r="R21" i="74"/>
  <c r="R22" i="74"/>
  <c r="R23" i="74"/>
  <c r="R24" i="74"/>
  <c r="R25" i="74"/>
  <c r="R26" i="74"/>
  <c r="R27" i="74"/>
  <c r="R28" i="74"/>
  <c r="R29" i="74"/>
  <c r="R30" i="74"/>
  <c r="R31" i="74"/>
  <c r="R32" i="74"/>
  <c r="R33" i="74"/>
  <c r="R34" i="74"/>
  <c r="M49" i="74"/>
  <c r="L49" i="74"/>
  <c r="K49" i="74"/>
  <c r="J49" i="74"/>
  <c r="I49" i="74"/>
  <c r="H49" i="74"/>
  <c r="P49" i="74"/>
  <c r="G49" i="74"/>
  <c r="F49" i="74"/>
  <c r="E49" i="74"/>
  <c r="D49" i="74"/>
  <c r="C49" i="74"/>
  <c r="H48" i="74"/>
  <c r="P48" i="74"/>
  <c r="G48" i="74"/>
  <c r="L48" i="74"/>
  <c r="H47" i="74"/>
  <c r="P47" i="74"/>
  <c r="G47" i="74"/>
  <c r="L47" i="74"/>
  <c r="H46" i="74"/>
  <c r="P46" i="74"/>
  <c r="G46" i="74"/>
  <c r="L46" i="74"/>
  <c r="H45" i="74"/>
  <c r="P45" i="74"/>
  <c r="G45" i="74"/>
  <c r="L45" i="74"/>
  <c r="D45" i="74"/>
  <c r="C45" i="74"/>
  <c r="O44" i="74"/>
  <c r="M44" i="74"/>
  <c r="K44" i="74"/>
  <c r="K40" i="74"/>
  <c r="J44" i="74"/>
  <c r="F44" i="74"/>
  <c r="F40" i="74"/>
  <c r="E44" i="74"/>
  <c r="D44" i="74"/>
  <c r="C44" i="74"/>
  <c r="P43" i="74"/>
  <c r="H42" i="74"/>
  <c r="P42" i="74"/>
  <c r="G42" i="74"/>
  <c r="L42" i="74"/>
  <c r="L41" i="74"/>
  <c r="O41" i="74"/>
  <c r="M41" i="74"/>
  <c r="K41" i="74"/>
  <c r="J41" i="74"/>
  <c r="I41" i="74"/>
  <c r="H41" i="74"/>
  <c r="P41" i="74"/>
  <c r="F41" i="74"/>
  <c r="E41" i="74"/>
  <c r="D41" i="74"/>
  <c r="C41" i="74"/>
  <c r="O40" i="74"/>
  <c r="M40" i="74"/>
  <c r="J40" i="74"/>
  <c r="E40" i="74"/>
  <c r="D40" i="74"/>
  <c r="C40" i="74"/>
  <c r="H39" i="74"/>
  <c r="P39" i="74"/>
  <c r="G39" i="74"/>
  <c r="O38" i="74"/>
  <c r="M38" i="74"/>
  <c r="K38" i="74"/>
  <c r="J38" i="74"/>
  <c r="H38" i="74"/>
  <c r="P38" i="74"/>
  <c r="G38" i="74"/>
  <c r="F38" i="74"/>
  <c r="E38" i="74"/>
  <c r="D38" i="74"/>
  <c r="C38" i="74"/>
  <c r="O37" i="74"/>
  <c r="M37" i="74"/>
  <c r="K37" i="74"/>
  <c r="J37" i="74"/>
  <c r="F37" i="74"/>
  <c r="E37" i="74"/>
  <c r="D37" i="74"/>
  <c r="H37" i="74"/>
  <c r="P37" i="74"/>
  <c r="C37" i="74"/>
  <c r="G37" i="74"/>
  <c r="H36" i="74"/>
  <c r="P36" i="74"/>
  <c r="G36" i="74"/>
  <c r="H35" i="74"/>
  <c r="P35" i="74"/>
  <c r="D35" i="74"/>
  <c r="C35" i="74"/>
  <c r="G35" i="74"/>
  <c r="L35" i="74"/>
  <c r="O34" i="74"/>
  <c r="M34" i="74"/>
  <c r="K34" i="74"/>
  <c r="J34" i="74"/>
  <c r="D34" i="74"/>
  <c r="H34" i="74"/>
  <c r="P34" i="74"/>
  <c r="C34" i="74"/>
  <c r="G34" i="74"/>
  <c r="L34" i="74"/>
  <c r="H33" i="74"/>
  <c r="P33" i="74"/>
  <c r="P32" i="74"/>
  <c r="G33" i="74"/>
  <c r="O32" i="74"/>
  <c r="M32" i="74"/>
  <c r="K32" i="74"/>
  <c r="J32" i="74"/>
  <c r="G32" i="74"/>
  <c r="F32" i="74"/>
  <c r="E32" i="74"/>
  <c r="D32" i="74"/>
  <c r="C32" i="74"/>
  <c r="H31" i="74"/>
  <c r="P31" i="74"/>
  <c r="G31" i="74"/>
  <c r="L31" i="74"/>
  <c r="H30" i="74"/>
  <c r="P30" i="74"/>
  <c r="G30" i="74"/>
  <c r="L30" i="74"/>
  <c r="H29" i="74"/>
  <c r="P29" i="74"/>
  <c r="G29" i="74"/>
  <c r="H28" i="74"/>
  <c r="P28" i="74"/>
  <c r="G28" i="74"/>
  <c r="L28" i="74"/>
  <c r="H27" i="74"/>
  <c r="P27" i="74"/>
  <c r="G27" i="74"/>
  <c r="L27" i="74"/>
  <c r="H26" i="74"/>
  <c r="P26" i="74"/>
  <c r="G26" i="74"/>
  <c r="L26" i="74"/>
  <c r="O25" i="74"/>
  <c r="M25" i="74"/>
  <c r="K25" i="74"/>
  <c r="J25" i="74"/>
  <c r="G25" i="74"/>
  <c r="F25" i="74"/>
  <c r="E25" i="74"/>
  <c r="D25" i="74"/>
  <c r="C25" i="74"/>
  <c r="C20" i="74"/>
  <c r="G24" i="74"/>
  <c r="D24" i="74"/>
  <c r="H24" i="74"/>
  <c r="O23" i="74"/>
  <c r="M23" i="74"/>
  <c r="K23" i="74"/>
  <c r="J23" i="74"/>
  <c r="F23" i="74"/>
  <c r="E23" i="74"/>
  <c r="D23" i="74"/>
  <c r="C23" i="74"/>
  <c r="H22" i="74"/>
  <c r="P22" i="74"/>
  <c r="G22" i="74"/>
  <c r="L22" i="74"/>
  <c r="L21" i="74"/>
  <c r="O21" i="74"/>
  <c r="M21" i="74"/>
  <c r="K21" i="74"/>
  <c r="J21" i="74"/>
  <c r="H21" i="74"/>
  <c r="P21" i="74"/>
  <c r="G21" i="74"/>
  <c r="F21" i="74"/>
  <c r="E21" i="74"/>
  <c r="D21" i="74"/>
  <c r="C21" i="74"/>
  <c r="O20" i="74"/>
  <c r="M20" i="74"/>
  <c r="K20" i="74"/>
  <c r="J20" i="74"/>
  <c r="F20" i="74"/>
  <c r="E20" i="74"/>
  <c r="D20" i="74"/>
  <c r="H19" i="74"/>
  <c r="P19" i="74"/>
  <c r="G19" i="74"/>
  <c r="H18" i="74"/>
  <c r="P18" i="74"/>
  <c r="G18" i="74"/>
  <c r="L18" i="74"/>
  <c r="H17" i="74"/>
  <c r="P17" i="74"/>
  <c r="G17" i="74"/>
  <c r="L17" i="74"/>
  <c r="H16" i="74"/>
  <c r="P16" i="74"/>
  <c r="G16" i="74"/>
  <c r="L16" i="74"/>
  <c r="H15" i="74"/>
  <c r="P15" i="74"/>
  <c r="G15" i="74"/>
  <c r="L15" i="74"/>
  <c r="H14" i="74"/>
  <c r="P14" i="74"/>
  <c r="G14" i="74"/>
  <c r="L14" i="74"/>
  <c r="H13" i="74"/>
  <c r="P13" i="74"/>
  <c r="G13" i="74"/>
  <c r="L13" i="74"/>
  <c r="O12" i="74"/>
  <c r="K12" i="74"/>
  <c r="J12" i="74"/>
  <c r="I12" i="74"/>
  <c r="H12" i="74"/>
  <c r="G12" i="74"/>
  <c r="F12" i="74"/>
  <c r="E12" i="74"/>
  <c r="D12" i="74"/>
  <c r="D11" i="74"/>
  <c r="H11" i="74"/>
  <c r="P11" i="74"/>
  <c r="C12" i="74"/>
  <c r="O11" i="74"/>
  <c r="K11" i="74"/>
  <c r="J11" i="74"/>
  <c r="F11" i="74"/>
  <c r="E11" i="74"/>
  <c r="C11" i="74"/>
  <c r="G11" i="74"/>
  <c r="G10" i="74"/>
  <c r="L10" i="74"/>
  <c r="D10" i="74"/>
  <c r="H10" i="74"/>
  <c r="H9" i="74"/>
  <c r="P9" i="74"/>
  <c r="D9" i="74"/>
  <c r="C9" i="74"/>
  <c r="G9" i="74"/>
  <c r="O8" i="74"/>
  <c r="M8" i="74"/>
  <c r="M7" i="74"/>
  <c r="M53" i="74"/>
  <c r="K8" i="74"/>
  <c r="J8" i="74"/>
  <c r="F8" i="74"/>
  <c r="E8" i="74"/>
  <c r="D8" i="74"/>
  <c r="A8" i="74"/>
  <c r="A9" i="74"/>
  <c r="A10" i="74"/>
  <c r="O7" i="74"/>
  <c r="O53" i="74"/>
  <c r="K7" i="74"/>
  <c r="J7" i="74"/>
  <c r="J53" i="74"/>
  <c r="F7" i="74"/>
  <c r="F53" i="74"/>
  <c r="E7" i="74"/>
  <c r="E53" i="74"/>
  <c r="R8" i="73"/>
  <c r="R9" i="73"/>
  <c r="R10" i="73"/>
  <c r="R11" i="73"/>
  <c r="R12" i="73"/>
  <c r="R13" i="73"/>
  <c r="R15" i="73"/>
  <c r="R16" i="73"/>
  <c r="R17" i="73"/>
  <c r="R18" i="73"/>
  <c r="R19" i="73"/>
  <c r="R20" i="73"/>
  <c r="R21" i="73"/>
  <c r="R22" i="73"/>
  <c r="R23" i="73"/>
  <c r="R24" i="73"/>
  <c r="R25" i="73"/>
  <c r="R26" i="73"/>
  <c r="R27" i="73"/>
  <c r="R28" i="73"/>
  <c r="R29" i="73"/>
  <c r="R30" i="73"/>
  <c r="R31" i="73"/>
  <c r="R32" i="73"/>
  <c r="R33" i="73"/>
  <c r="R34" i="73"/>
  <c r="A33" i="73"/>
  <c r="A34" i="73"/>
  <c r="A35" i="73"/>
  <c r="A13" i="73"/>
  <c r="A14" i="73"/>
  <c r="A9" i="73"/>
  <c r="A10" i="73"/>
  <c r="A8" i="73"/>
  <c r="L42" i="71"/>
  <c r="L40" i="71"/>
  <c r="L39" i="71"/>
  <c r="H42" i="71"/>
  <c r="P42" i="71"/>
  <c r="G42" i="71"/>
  <c r="H41" i="71"/>
  <c r="G41" i="71"/>
  <c r="O40" i="71"/>
  <c r="O39" i="71"/>
  <c r="M40" i="71"/>
  <c r="K40" i="71"/>
  <c r="J40" i="71"/>
  <c r="J39" i="71"/>
  <c r="F40" i="71"/>
  <c r="H40" i="71"/>
  <c r="E40" i="71"/>
  <c r="G40" i="71"/>
  <c r="G39" i="71"/>
  <c r="M39" i="71"/>
  <c r="K39" i="71"/>
  <c r="I39" i="71"/>
  <c r="F39" i="71"/>
  <c r="E39" i="71"/>
  <c r="D39" i="71"/>
  <c r="C39" i="71"/>
  <c r="P38" i="71"/>
  <c r="H38" i="71"/>
  <c r="G38" i="71"/>
  <c r="L38" i="71"/>
  <c r="L37" i="71"/>
  <c r="O37" i="71"/>
  <c r="M37" i="71"/>
  <c r="K37" i="71"/>
  <c r="J37" i="71"/>
  <c r="H37" i="71"/>
  <c r="P37" i="71"/>
  <c r="G37" i="71"/>
  <c r="F37" i="71"/>
  <c r="E37" i="71"/>
  <c r="D37" i="71"/>
  <c r="C37" i="71"/>
  <c r="C36" i="71"/>
  <c r="G36" i="71"/>
  <c r="L36" i="71"/>
  <c r="O36" i="71"/>
  <c r="M36" i="71"/>
  <c r="K36" i="71"/>
  <c r="J36" i="71"/>
  <c r="H36" i="71"/>
  <c r="P36" i="71"/>
  <c r="F36" i="71"/>
  <c r="E36" i="71"/>
  <c r="D36" i="71"/>
  <c r="A36" i="71"/>
  <c r="A37" i="71"/>
  <c r="A38" i="71"/>
  <c r="A39" i="71"/>
  <c r="A40" i="71"/>
  <c r="A41" i="71"/>
  <c r="A42" i="71"/>
  <c r="A43" i="71"/>
  <c r="L35" i="71"/>
  <c r="H35" i="71"/>
  <c r="P35" i="71"/>
  <c r="G35" i="71"/>
  <c r="L34" i="71"/>
  <c r="H34" i="71"/>
  <c r="P34" i="71"/>
  <c r="G34" i="71"/>
  <c r="L33" i="71"/>
  <c r="H33" i="71"/>
  <c r="P33" i="71"/>
  <c r="G33" i="71"/>
  <c r="L32" i="71"/>
  <c r="H32" i="71"/>
  <c r="P32" i="71"/>
  <c r="G32" i="71"/>
  <c r="L31" i="71"/>
  <c r="L30" i="71"/>
  <c r="H31" i="71"/>
  <c r="P31" i="71"/>
  <c r="G31" i="71"/>
  <c r="O30" i="71"/>
  <c r="O22" i="71"/>
  <c r="M30" i="71"/>
  <c r="K30" i="71"/>
  <c r="J30" i="71"/>
  <c r="J22" i="71"/>
  <c r="I30" i="71"/>
  <c r="F30" i="71"/>
  <c r="F22" i="71"/>
  <c r="E30" i="71"/>
  <c r="D30" i="71"/>
  <c r="H30" i="71"/>
  <c r="P30" i="71"/>
  <c r="C30" i="71"/>
  <c r="G30" i="71"/>
  <c r="A30" i="71"/>
  <c r="H29" i="71"/>
  <c r="P29" i="71"/>
  <c r="G29" i="71"/>
  <c r="L29" i="71"/>
  <c r="H28" i="71"/>
  <c r="P28" i="71"/>
  <c r="G28" i="71"/>
  <c r="L28" i="71"/>
  <c r="H27" i="71"/>
  <c r="P27" i="71"/>
  <c r="G27" i="71"/>
  <c r="L27" i="71"/>
  <c r="L26" i="71"/>
  <c r="O26" i="71"/>
  <c r="M26" i="71"/>
  <c r="K26" i="71"/>
  <c r="J26" i="71"/>
  <c r="I26" i="71"/>
  <c r="H26" i="71"/>
  <c r="P26" i="71"/>
  <c r="F26" i="71"/>
  <c r="E26" i="71"/>
  <c r="D26" i="71"/>
  <c r="D22" i="71"/>
  <c r="C26" i="71"/>
  <c r="A26" i="71"/>
  <c r="L25" i="71"/>
  <c r="L23" i="71"/>
  <c r="L22" i="71"/>
  <c r="H25" i="71"/>
  <c r="P25" i="71"/>
  <c r="G25" i="71"/>
  <c r="H24" i="71"/>
  <c r="P24" i="71"/>
  <c r="G24" i="71"/>
  <c r="O23" i="71"/>
  <c r="M23" i="71"/>
  <c r="M22" i="71"/>
  <c r="K23" i="71"/>
  <c r="J23" i="71"/>
  <c r="I23" i="71"/>
  <c r="I22" i="71"/>
  <c r="G23" i="71"/>
  <c r="F23" i="71"/>
  <c r="E23" i="71"/>
  <c r="E22" i="71"/>
  <c r="D23" i="71"/>
  <c r="C23" i="71"/>
  <c r="K22" i="71"/>
  <c r="C22" i="71"/>
  <c r="H21" i="71"/>
  <c r="P21" i="71"/>
  <c r="G21" i="71"/>
  <c r="L21" i="71"/>
  <c r="L20" i="71"/>
  <c r="H20" i="71"/>
  <c r="P20" i="71"/>
  <c r="G20" i="71"/>
  <c r="P19" i="71"/>
  <c r="H19" i="71"/>
  <c r="G19" i="71"/>
  <c r="L19" i="71"/>
  <c r="A19" i="71"/>
  <c r="A20" i="71"/>
  <c r="A21" i="71"/>
  <c r="A22" i="71"/>
  <c r="A23" i="71"/>
  <c r="H18" i="71"/>
  <c r="P18" i="71"/>
  <c r="G18" i="71"/>
  <c r="L18" i="71"/>
  <c r="K17" i="71"/>
  <c r="H17" i="71"/>
  <c r="P17" i="71"/>
  <c r="F17" i="71"/>
  <c r="E17" i="71"/>
  <c r="D17" i="71"/>
  <c r="D12" i="71"/>
  <c r="C17" i="71"/>
  <c r="A17" i="71"/>
  <c r="L16" i="71"/>
  <c r="L13" i="71"/>
  <c r="H16" i="71"/>
  <c r="P16" i="71"/>
  <c r="G16" i="71"/>
  <c r="H15" i="71"/>
  <c r="P15" i="71"/>
  <c r="G15" i="71"/>
  <c r="H14" i="71"/>
  <c r="G14" i="71"/>
  <c r="L14" i="71"/>
  <c r="O13" i="71"/>
  <c r="K13" i="71"/>
  <c r="G13" i="71"/>
  <c r="F13" i="71"/>
  <c r="E13" i="71"/>
  <c r="E12" i="71"/>
  <c r="E7" i="71"/>
  <c r="D13" i="71"/>
  <c r="C13" i="71"/>
  <c r="O12" i="71"/>
  <c r="M12" i="71"/>
  <c r="K12" i="71"/>
  <c r="J12" i="71"/>
  <c r="F12" i="71"/>
  <c r="F7" i="71"/>
  <c r="F43" i="71"/>
  <c r="C12" i="71"/>
  <c r="G12" i="71"/>
  <c r="H11" i="71"/>
  <c r="P11" i="71"/>
  <c r="G11" i="71"/>
  <c r="L11" i="71"/>
  <c r="H10" i="71"/>
  <c r="P10" i="71"/>
  <c r="G10" i="71"/>
  <c r="L10" i="71"/>
  <c r="L9" i="71"/>
  <c r="H9" i="71"/>
  <c r="P9" i="71"/>
  <c r="G9" i="71"/>
  <c r="O8" i="71"/>
  <c r="M8" i="71"/>
  <c r="K8" i="71"/>
  <c r="K7" i="71"/>
  <c r="K43" i="71"/>
  <c r="J8" i="71"/>
  <c r="I8" i="71"/>
  <c r="G8" i="71"/>
  <c r="F8" i="71"/>
  <c r="E8" i="71"/>
  <c r="D8" i="71"/>
  <c r="C8" i="71"/>
  <c r="C7" i="71"/>
  <c r="C43" i="71"/>
  <c r="A8" i="71"/>
  <c r="A9" i="71"/>
  <c r="A10" i="71"/>
  <c r="A11" i="71"/>
  <c r="A12" i="71"/>
  <c r="A13" i="71"/>
  <c r="O7" i="71"/>
  <c r="O43" i="71"/>
  <c r="M7" i="71"/>
  <c r="M43" i="71"/>
  <c r="J7" i="71"/>
  <c r="J43" i="71"/>
  <c r="R8" i="72"/>
  <c r="R9" i="72"/>
  <c r="R10" i="72"/>
  <c r="R11" i="72"/>
  <c r="R12" i="72"/>
  <c r="R13" i="72"/>
  <c r="R15" i="72"/>
  <c r="R16" i="72"/>
  <c r="R17" i="72"/>
  <c r="R18" i="72"/>
  <c r="R19" i="72"/>
  <c r="R20" i="72"/>
  <c r="R21" i="72"/>
  <c r="R22" i="72"/>
  <c r="R23" i="72"/>
  <c r="R24" i="72"/>
  <c r="R25" i="72"/>
  <c r="R26" i="72"/>
  <c r="R27" i="72"/>
  <c r="R28" i="72"/>
  <c r="R29" i="72"/>
  <c r="R30" i="72"/>
  <c r="R31" i="72"/>
  <c r="R32" i="72"/>
  <c r="R33" i="72"/>
  <c r="R34" i="72"/>
  <c r="I25" i="72"/>
  <c r="P24" i="72"/>
  <c r="H24" i="72"/>
  <c r="G24" i="72"/>
  <c r="L24" i="72"/>
  <c r="A24" i="72"/>
  <c r="A25" i="72"/>
  <c r="H23" i="72"/>
  <c r="P23" i="72"/>
  <c r="G23" i="72"/>
  <c r="L23" i="72"/>
  <c r="F23" i="72"/>
  <c r="E23" i="72"/>
  <c r="A23" i="72"/>
  <c r="O22" i="72"/>
  <c r="M22" i="72"/>
  <c r="K22" i="72"/>
  <c r="J22" i="72"/>
  <c r="I22" i="72"/>
  <c r="F22" i="72"/>
  <c r="E22" i="72"/>
  <c r="D22" i="72"/>
  <c r="H22" i="72"/>
  <c r="P22" i="72"/>
  <c r="C22" i="72"/>
  <c r="G22" i="72"/>
  <c r="L22" i="72"/>
  <c r="H21" i="72"/>
  <c r="P21" i="72"/>
  <c r="G21" i="72"/>
  <c r="L21" i="72"/>
  <c r="H20" i="72"/>
  <c r="P20" i="72"/>
  <c r="G20" i="72"/>
  <c r="L20" i="72"/>
  <c r="H19" i="72"/>
  <c r="P19" i="72"/>
  <c r="G19" i="72"/>
  <c r="L19" i="72"/>
  <c r="H18" i="72"/>
  <c r="P18" i="72"/>
  <c r="G18" i="72"/>
  <c r="L18" i="72"/>
  <c r="L17" i="72"/>
  <c r="A18" i="72"/>
  <c r="O17" i="72"/>
  <c r="M17" i="72"/>
  <c r="K17" i="72"/>
  <c r="J17" i="72"/>
  <c r="F17" i="72"/>
  <c r="E17" i="72"/>
  <c r="D17" i="72"/>
  <c r="H17" i="72"/>
  <c r="P17" i="72"/>
  <c r="C17" i="72"/>
  <c r="G17" i="72"/>
  <c r="H16" i="72"/>
  <c r="P16" i="72"/>
  <c r="G16" i="72"/>
  <c r="A16" i="72"/>
  <c r="P15" i="72"/>
  <c r="L15" i="72"/>
  <c r="H15" i="72"/>
  <c r="G15" i="72"/>
  <c r="P14" i="72"/>
  <c r="L14" i="72"/>
  <c r="H14" i="72"/>
  <c r="G14" i="72"/>
  <c r="P13" i="72"/>
  <c r="L13" i="72"/>
  <c r="H13" i="72"/>
  <c r="G13" i="72"/>
  <c r="P12" i="72"/>
  <c r="L12" i="72"/>
  <c r="H12" i="72"/>
  <c r="G12" i="72"/>
  <c r="A12" i="72"/>
  <c r="O11" i="72"/>
  <c r="M11" i="72"/>
  <c r="K11" i="72"/>
  <c r="K7" i="72"/>
  <c r="K25" i="72"/>
  <c r="J11" i="72"/>
  <c r="F11" i="72"/>
  <c r="F7" i="72"/>
  <c r="F25" i="72"/>
  <c r="E11" i="72"/>
  <c r="D11" i="72"/>
  <c r="H11" i="72"/>
  <c r="P11" i="72"/>
  <c r="C11" i="72"/>
  <c r="G11" i="72"/>
  <c r="L11" i="72"/>
  <c r="P10" i="72"/>
  <c r="H10" i="72"/>
  <c r="G10" i="72"/>
  <c r="L10" i="72"/>
  <c r="H9" i="72"/>
  <c r="P9" i="72"/>
  <c r="P8" i="72"/>
  <c r="P7" i="72"/>
  <c r="P25" i="72"/>
  <c r="G9" i="72"/>
  <c r="L9" i="72"/>
  <c r="O8" i="72"/>
  <c r="M8" i="72"/>
  <c r="M7" i="72"/>
  <c r="M25" i="72"/>
  <c r="K8" i="72"/>
  <c r="J8" i="72"/>
  <c r="H8" i="72"/>
  <c r="F8" i="72"/>
  <c r="E8" i="72"/>
  <c r="D8" i="72"/>
  <c r="D7" i="72"/>
  <c r="D25" i="72"/>
  <c r="C8" i="72"/>
  <c r="A8" i="72"/>
  <c r="A9" i="72"/>
  <c r="A10" i="72"/>
  <c r="O7" i="72"/>
  <c r="O25" i="72"/>
  <c r="J7" i="72"/>
  <c r="J25" i="72"/>
  <c r="E7" i="72"/>
  <c r="E25" i="72"/>
  <c r="C7" i="72"/>
  <c r="C25" i="72"/>
  <c r="D7" i="74"/>
  <c r="D53" i="74"/>
  <c r="L11" i="74"/>
  <c r="L12" i="74"/>
  <c r="L25" i="74"/>
  <c r="L44" i="74"/>
  <c r="K53" i="74"/>
  <c r="P12" i="74"/>
  <c r="H23" i="74"/>
  <c r="P23" i="74"/>
  <c r="P20" i="74"/>
  <c r="P24" i="74"/>
  <c r="P25" i="74"/>
  <c r="P44" i="74"/>
  <c r="P40" i="74"/>
  <c r="L9" i="74"/>
  <c r="L8" i="74"/>
  <c r="L7" i="74"/>
  <c r="G8" i="74"/>
  <c r="G7" i="74"/>
  <c r="H8" i="74"/>
  <c r="H7" i="74"/>
  <c r="P10" i="74"/>
  <c r="P8" i="74"/>
  <c r="P7" i="74"/>
  <c r="P53" i="74"/>
  <c r="L24" i="74"/>
  <c r="L23" i="74"/>
  <c r="L20" i="74"/>
  <c r="L37" i="74"/>
  <c r="L40" i="74"/>
  <c r="C8" i="74"/>
  <c r="C7" i="74"/>
  <c r="C53" i="74"/>
  <c r="G23" i="74"/>
  <c r="G20" i="74"/>
  <c r="G41" i="74"/>
  <c r="G40" i="74"/>
  <c r="G53" i="74"/>
  <c r="H32" i="74"/>
  <c r="L19" i="74"/>
  <c r="H25" i="74"/>
  <c r="L33" i="74"/>
  <c r="L32" i="74"/>
  <c r="L36" i="74"/>
  <c r="L39" i="74"/>
  <c r="L38" i="74"/>
  <c r="H40" i="74"/>
  <c r="P8" i="71"/>
  <c r="H12" i="71"/>
  <c r="P12" i="71"/>
  <c r="D7" i="71"/>
  <c r="D43" i="71"/>
  <c r="G7" i="71"/>
  <c r="G43" i="71"/>
  <c r="L8" i="71"/>
  <c r="P40" i="71"/>
  <c r="H39" i="71"/>
  <c r="P39" i="71"/>
  <c r="L12" i="71"/>
  <c r="E43" i="71"/>
  <c r="H13" i="71"/>
  <c r="P13" i="71"/>
  <c r="G17" i="71"/>
  <c r="L17" i="71"/>
  <c r="H23" i="71"/>
  <c r="G26" i="71"/>
  <c r="G22" i="71"/>
  <c r="H8" i="71"/>
  <c r="H7" i="71"/>
  <c r="H7" i="72"/>
  <c r="H25" i="72"/>
  <c r="L8" i="72"/>
  <c r="L7" i="72"/>
  <c r="L25" i="72"/>
  <c r="G8" i="72"/>
  <c r="G7" i="72"/>
  <c r="G25" i="72"/>
  <c r="L16" i="72"/>
  <c r="H20" i="74"/>
  <c r="L53" i="74"/>
  <c r="H53" i="74"/>
  <c r="P23" i="71"/>
  <c r="P22" i="71"/>
  <c r="H22" i="71"/>
  <c r="H43" i="71"/>
  <c r="L7" i="71"/>
  <c r="L43" i="71"/>
  <c r="P7" i="71"/>
  <c r="P43" i="71"/>
  <c r="R8" i="71"/>
  <c r="R9" i="71"/>
  <c r="R10" i="71"/>
  <c r="R11" i="71"/>
  <c r="R12" i="71"/>
  <c r="R13" i="71"/>
  <c r="R15" i="71"/>
  <c r="R16" i="71"/>
  <c r="R17" i="71"/>
  <c r="R18" i="71"/>
  <c r="R19" i="71"/>
  <c r="R20" i="71"/>
  <c r="R21" i="71"/>
  <c r="R22" i="71"/>
  <c r="R23" i="71"/>
  <c r="R24" i="71"/>
  <c r="R25" i="71"/>
  <c r="R26" i="71"/>
  <c r="R27" i="71"/>
  <c r="R28" i="71"/>
  <c r="R29" i="71"/>
  <c r="R30" i="71"/>
  <c r="R31" i="71"/>
  <c r="R32" i="71"/>
  <c r="R33" i="71"/>
  <c r="R34" i="71"/>
  <c r="R8" i="70"/>
  <c r="R9" i="70"/>
  <c r="R10" i="70"/>
  <c r="R11" i="70"/>
  <c r="R12" i="70"/>
  <c r="R13" i="70"/>
  <c r="R15" i="70"/>
  <c r="R16" i="70"/>
  <c r="R17" i="70"/>
  <c r="R18" i="70"/>
  <c r="R19" i="70"/>
  <c r="R20" i="70"/>
  <c r="R21" i="70"/>
  <c r="R22" i="70"/>
  <c r="R23" i="70"/>
  <c r="R24" i="70"/>
  <c r="R25" i="70"/>
  <c r="R26" i="70"/>
  <c r="R27" i="70"/>
  <c r="R28" i="70"/>
  <c r="R29" i="70"/>
  <c r="R30" i="70"/>
  <c r="R31" i="70"/>
  <c r="R32" i="70"/>
  <c r="R33" i="70"/>
  <c r="R34" i="70"/>
  <c r="A42" i="70"/>
  <c r="H41" i="70"/>
  <c r="P41" i="70"/>
  <c r="G41" i="70"/>
  <c r="H40" i="70"/>
  <c r="G40" i="70"/>
  <c r="P39" i="70"/>
  <c r="H39" i="70"/>
  <c r="G39" i="70"/>
  <c r="O38" i="70"/>
  <c r="L38" i="70"/>
  <c r="K38" i="70"/>
  <c r="I38" i="70"/>
  <c r="H38" i="70"/>
  <c r="P38" i="70"/>
  <c r="G38" i="70"/>
  <c r="J37" i="70"/>
  <c r="F37" i="70"/>
  <c r="E37" i="70"/>
  <c r="D37" i="70"/>
  <c r="H37" i="70"/>
  <c r="P37" i="70"/>
  <c r="C37" i="70"/>
  <c r="A37" i="70"/>
  <c r="A38" i="70"/>
  <c r="O34" i="70"/>
  <c r="K34" i="70"/>
  <c r="J34" i="70"/>
  <c r="I34" i="70"/>
  <c r="H34" i="70"/>
  <c r="P34" i="70"/>
  <c r="G34" i="70"/>
  <c r="F33" i="70"/>
  <c r="E33" i="70"/>
  <c r="D33" i="70"/>
  <c r="H33" i="70"/>
  <c r="P33" i="70"/>
  <c r="C33" i="70"/>
  <c r="A33" i="70"/>
  <c r="A34" i="70"/>
  <c r="H31" i="70"/>
  <c r="P31" i="70"/>
  <c r="G31" i="70"/>
  <c r="H30" i="70"/>
  <c r="P30" i="70"/>
  <c r="G30" i="70"/>
  <c r="H29" i="70"/>
  <c r="P29" i="70"/>
  <c r="G29" i="70"/>
  <c r="H28" i="70"/>
  <c r="P28" i="70"/>
  <c r="G28" i="70"/>
  <c r="K27" i="70"/>
  <c r="J27" i="70"/>
  <c r="I27" i="70"/>
  <c r="F27" i="70"/>
  <c r="E27" i="70"/>
  <c r="D27" i="70"/>
  <c r="H27" i="70"/>
  <c r="C27" i="70"/>
  <c r="A27" i="70"/>
  <c r="A28" i="70"/>
  <c r="H25" i="70"/>
  <c r="P25" i="70"/>
  <c r="G25" i="70"/>
  <c r="H23" i="70"/>
  <c r="P23" i="70"/>
  <c r="G23" i="70"/>
  <c r="K22" i="70"/>
  <c r="J22" i="70"/>
  <c r="I22" i="70"/>
  <c r="G22" i="70"/>
  <c r="F22" i="70"/>
  <c r="E22" i="70"/>
  <c r="D22" i="70"/>
  <c r="C22" i="70"/>
  <c r="H20" i="70"/>
  <c r="P20" i="70"/>
  <c r="G20" i="70"/>
  <c r="A19" i="70"/>
  <c r="A20" i="70"/>
  <c r="H18" i="70"/>
  <c r="P18" i="70"/>
  <c r="G18" i="70"/>
  <c r="H17" i="70"/>
  <c r="P17" i="70"/>
  <c r="G17" i="70"/>
  <c r="K16" i="70"/>
  <c r="J16" i="70"/>
  <c r="D16" i="70"/>
  <c r="H16" i="70"/>
  <c r="P16" i="70"/>
  <c r="C16" i="70"/>
  <c r="G16" i="70"/>
  <c r="H14" i="70"/>
  <c r="P14" i="70"/>
  <c r="G14" i="70"/>
  <c r="L14" i="70"/>
  <c r="K13" i="70"/>
  <c r="J13" i="70"/>
  <c r="F13" i="70"/>
  <c r="E13" i="70"/>
  <c r="D13" i="70"/>
  <c r="H13" i="70"/>
  <c r="C13" i="70"/>
  <c r="A12" i="70"/>
  <c r="A13" i="70"/>
  <c r="D10" i="70"/>
  <c r="H10" i="70"/>
  <c r="C10" i="70"/>
  <c r="G10" i="70"/>
  <c r="A10" i="70"/>
  <c r="H9" i="70"/>
  <c r="P9" i="70"/>
  <c r="G9" i="70"/>
  <c r="O8" i="70"/>
  <c r="K8" i="70"/>
  <c r="J8" i="70"/>
  <c r="I8" i="70"/>
  <c r="I7" i="70"/>
  <c r="I42" i="70"/>
  <c r="F8" i="70"/>
  <c r="E8" i="70"/>
  <c r="A8" i="70"/>
  <c r="O7" i="70"/>
  <c r="O42" i="70"/>
  <c r="R8" i="69"/>
  <c r="R9" i="69"/>
  <c r="R10" i="69"/>
  <c r="R11" i="69"/>
  <c r="R12" i="69"/>
  <c r="R13" i="69"/>
  <c r="R15" i="69"/>
  <c r="R16" i="69"/>
  <c r="R17" i="69"/>
  <c r="R18" i="69"/>
  <c r="R19" i="69"/>
  <c r="R20" i="69"/>
  <c r="R21" i="69"/>
  <c r="R22" i="69"/>
  <c r="R23" i="69"/>
  <c r="R24" i="69"/>
  <c r="R25" i="69"/>
  <c r="R26" i="69"/>
  <c r="R27" i="69"/>
  <c r="R28" i="69"/>
  <c r="R29" i="69"/>
  <c r="R30" i="69"/>
  <c r="R31" i="69"/>
  <c r="R32" i="69"/>
  <c r="R33" i="69"/>
  <c r="R34" i="69"/>
  <c r="P40" i="69"/>
  <c r="H40" i="69"/>
  <c r="C40" i="69"/>
  <c r="G40" i="69"/>
  <c r="L40" i="69"/>
  <c r="G39" i="69"/>
  <c r="D39" i="69"/>
  <c r="H39" i="69"/>
  <c r="P39" i="69"/>
  <c r="C39" i="69"/>
  <c r="H38" i="69"/>
  <c r="P38" i="69"/>
  <c r="G38" i="69"/>
  <c r="C38" i="69"/>
  <c r="P37" i="69"/>
  <c r="H37" i="69"/>
  <c r="C37" i="69"/>
  <c r="G37" i="69"/>
  <c r="P36" i="69"/>
  <c r="H36" i="69"/>
  <c r="C36" i="69"/>
  <c r="C35" i="69"/>
  <c r="G35" i="69"/>
  <c r="L35" i="69"/>
  <c r="O35" i="69"/>
  <c r="M35" i="69"/>
  <c r="K35" i="69"/>
  <c r="J35" i="69"/>
  <c r="F35" i="69"/>
  <c r="E35" i="69"/>
  <c r="D35" i="69"/>
  <c r="H35" i="69"/>
  <c r="P35" i="69"/>
  <c r="P34" i="69"/>
  <c r="H34" i="69"/>
  <c r="C34" i="69"/>
  <c r="G34" i="69"/>
  <c r="M33" i="69"/>
  <c r="H33" i="69"/>
  <c r="P33" i="69"/>
  <c r="G33" i="69"/>
  <c r="O32" i="69"/>
  <c r="M32" i="69"/>
  <c r="K32" i="69"/>
  <c r="J32" i="69"/>
  <c r="F32" i="69"/>
  <c r="E32" i="69"/>
  <c r="D32" i="69"/>
  <c r="G31" i="69"/>
  <c r="D31" i="69"/>
  <c r="H31" i="69"/>
  <c r="P31" i="69"/>
  <c r="K30" i="69"/>
  <c r="H30" i="69"/>
  <c r="P30" i="69"/>
  <c r="G30" i="69"/>
  <c r="L30" i="69"/>
  <c r="D30" i="69"/>
  <c r="G29" i="69"/>
  <c r="D29" i="69"/>
  <c r="H29" i="69"/>
  <c r="P29" i="69"/>
  <c r="K28" i="69"/>
  <c r="K25" i="69"/>
  <c r="G28" i="69"/>
  <c r="D28" i="69"/>
  <c r="H28" i="69"/>
  <c r="H27" i="69"/>
  <c r="P27" i="69"/>
  <c r="G27" i="69"/>
  <c r="L27" i="69"/>
  <c r="D27" i="69"/>
  <c r="C27" i="69"/>
  <c r="G26" i="69"/>
  <c r="L26" i="69"/>
  <c r="D26" i="69"/>
  <c r="H26" i="69"/>
  <c r="P26" i="69"/>
  <c r="O25" i="69"/>
  <c r="M25" i="69"/>
  <c r="J25" i="69"/>
  <c r="F25" i="69"/>
  <c r="E25" i="69"/>
  <c r="D25" i="69"/>
  <c r="H25" i="69"/>
  <c r="P25" i="69"/>
  <c r="C25" i="69"/>
  <c r="G25" i="69"/>
  <c r="L25" i="69"/>
  <c r="G24" i="69"/>
  <c r="D24" i="69"/>
  <c r="H24" i="69"/>
  <c r="H23" i="69"/>
  <c r="P23" i="69"/>
  <c r="G23" i="69"/>
  <c r="L23" i="69"/>
  <c r="D23" i="69"/>
  <c r="C23" i="69"/>
  <c r="G22" i="69"/>
  <c r="D22" i="69"/>
  <c r="H22" i="69"/>
  <c r="P22" i="69"/>
  <c r="H21" i="69"/>
  <c r="P21" i="69"/>
  <c r="G21" i="69"/>
  <c r="D21" i="69"/>
  <c r="G20" i="69"/>
  <c r="L20" i="69"/>
  <c r="D20" i="69"/>
  <c r="H20" i="69"/>
  <c r="P20" i="69"/>
  <c r="O19" i="69"/>
  <c r="O16" i="69"/>
  <c r="O7" i="69"/>
  <c r="O41" i="69"/>
  <c r="M19" i="69"/>
  <c r="M16" i="69"/>
  <c r="K19" i="69"/>
  <c r="J19" i="69"/>
  <c r="J16" i="69"/>
  <c r="J7" i="69"/>
  <c r="J41" i="69"/>
  <c r="F19" i="69"/>
  <c r="E19" i="69"/>
  <c r="E16" i="69"/>
  <c r="E7" i="69"/>
  <c r="E41" i="69"/>
  <c r="D19" i="69"/>
  <c r="H19" i="69"/>
  <c r="P19" i="69"/>
  <c r="C19" i="69"/>
  <c r="G19" i="69"/>
  <c r="G18" i="69"/>
  <c r="D18" i="69"/>
  <c r="D17" i="69"/>
  <c r="O17" i="69"/>
  <c r="M17" i="69"/>
  <c r="K17" i="69"/>
  <c r="F17" i="69"/>
  <c r="F16" i="69"/>
  <c r="E17" i="69"/>
  <c r="C17" i="69"/>
  <c r="G17" i="69"/>
  <c r="K16" i="69"/>
  <c r="C16" i="69"/>
  <c r="G16" i="69"/>
  <c r="H15" i="69"/>
  <c r="P15" i="69"/>
  <c r="G15" i="69"/>
  <c r="D15" i="69"/>
  <c r="G14" i="69"/>
  <c r="D14" i="69"/>
  <c r="H14" i="69"/>
  <c r="P14" i="69"/>
  <c r="H13" i="69"/>
  <c r="P13" i="69"/>
  <c r="D13" i="69"/>
  <c r="C13" i="69"/>
  <c r="G13" i="69"/>
  <c r="L13" i="69"/>
  <c r="H12" i="69"/>
  <c r="P12" i="69"/>
  <c r="G12" i="69"/>
  <c r="L12" i="69"/>
  <c r="D12" i="69"/>
  <c r="G11" i="69"/>
  <c r="D11" i="69"/>
  <c r="H11" i="69"/>
  <c r="O10" i="69"/>
  <c r="M10" i="69"/>
  <c r="M8" i="69"/>
  <c r="K10" i="69"/>
  <c r="J10" i="69"/>
  <c r="F10" i="69"/>
  <c r="E10" i="69"/>
  <c r="C10" i="69"/>
  <c r="H9" i="69"/>
  <c r="G9" i="69"/>
  <c r="D9" i="69"/>
  <c r="O8" i="69"/>
  <c r="K8" i="69"/>
  <c r="K7" i="69"/>
  <c r="K41" i="69"/>
  <c r="J8" i="69"/>
  <c r="F8" i="69"/>
  <c r="F7" i="69"/>
  <c r="F41" i="69"/>
  <c r="E8" i="69"/>
  <c r="A8" i="69"/>
  <c r="A9" i="69"/>
  <c r="A10" i="69"/>
  <c r="A11" i="69"/>
  <c r="A12" i="69"/>
  <c r="A13" i="69"/>
  <c r="A14" i="69"/>
  <c r="A15" i="69"/>
  <c r="A16" i="69"/>
  <c r="A17" i="69"/>
  <c r="A18" i="69"/>
  <c r="A19" i="69"/>
  <c r="A20" i="69"/>
  <c r="A21" i="69"/>
  <c r="A22" i="69"/>
  <c r="A23" i="69"/>
  <c r="A24" i="69"/>
  <c r="A25" i="69"/>
  <c r="A26" i="69"/>
  <c r="A27" i="69"/>
  <c r="A28" i="69"/>
  <c r="A29" i="69"/>
  <c r="A30" i="69"/>
  <c r="A31" i="69"/>
  <c r="A32" i="69"/>
  <c r="A33" i="69"/>
  <c r="A34" i="69"/>
  <c r="A35" i="69"/>
  <c r="A36" i="69"/>
  <c r="A37" i="69"/>
  <c r="A38" i="69"/>
  <c r="A39" i="69"/>
  <c r="A40" i="69"/>
  <c r="A41" i="69"/>
  <c r="R8" i="68"/>
  <c r="R9" i="68"/>
  <c r="R10" i="68"/>
  <c r="R11" i="68"/>
  <c r="R12" i="68"/>
  <c r="R13" i="68"/>
  <c r="R15" i="68"/>
  <c r="R16" i="68"/>
  <c r="R17" i="68"/>
  <c r="R18" i="68"/>
  <c r="R19" i="68"/>
  <c r="R20" i="68"/>
  <c r="R21" i="68"/>
  <c r="R22" i="68"/>
  <c r="R23" i="68"/>
  <c r="R24" i="68"/>
  <c r="R25" i="68"/>
  <c r="R26" i="68"/>
  <c r="R27" i="68"/>
  <c r="R28" i="68"/>
  <c r="R29" i="68"/>
  <c r="R30" i="68"/>
  <c r="R31" i="68"/>
  <c r="R32" i="68"/>
  <c r="R33" i="68"/>
  <c r="R34" i="68"/>
  <c r="P41" i="68"/>
  <c r="L41" i="68"/>
  <c r="L40" i="68"/>
  <c r="H41" i="68"/>
  <c r="G41" i="68"/>
  <c r="O40" i="68"/>
  <c r="M40" i="68"/>
  <c r="K40" i="68"/>
  <c r="J40" i="68"/>
  <c r="F40" i="68"/>
  <c r="E40" i="68"/>
  <c r="D40" i="68"/>
  <c r="H40" i="68"/>
  <c r="P40" i="68"/>
  <c r="C40" i="68"/>
  <c r="G40" i="68"/>
  <c r="H39" i="68"/>
  <c r="P39" i="68"/>
  <c r="G39" i="68"/>
  <c r="L39" i="68"/>
  <c r="H38" i="68"/>
  <c r="P38" i="68"/>
  <c r="G38" i="68"/>
  <c r="O37" i="68"/>
  <c r="O36" i="68"/>
  <c r="M37" i="68"/>
  <c r="K37" i="68"/>
  <c r="J37" i="68"/>
  <c r="J36" i="68"/>
  <c r="F37" i="68"/>
  <c r="E37" i="68"/>
  <c r="E36" i="68"/>
  <c r="D37" i="68"/>
  <c r="H37" i="68"/>
  <c r="P37" i="68"/>
  <c r="C37" i="68"/>
  <c r="G37" i="68"/>
  <c r="M36" i="68"/>
  <c r="K36" i="68"/>
  <c r="F36" i="68"/>
  <c r="D36" i="68"/>
  <c r="H36" i="68"/>
  <c r="P36" i="68"/>
  <c r="C36" i="68"/>
  <c r="H35" i="68"/>
  <c r="P35" i="68"/>
  <c r="G35" i="68"/>
  <c r="L35" i="68"/>
  <c r="H34" i="68"/>
  <c r="P34" i="68"/>
  <c r="G34" i="68"/>
  <c r="P33" i="68"/>
  <c r="L33" i="68"/>
  <c r="H33" i="68"/>
  <c r="G33" i="68"/>
  <c r="P32" i="68"/>
  <c r="H32" i="68"/>
  <c r="G32" i="68"/>
  <c r="L32" i="68"/>
  <c r="O31" i="68"/>
  <c r="M31" i="68"/>
  <c r="K31" i="68"/>
  <c r="J31" i="68"/>
  <c r="F31" i="68"/>
  <c r="E31" i="68"/>
  <c r="D31" i="68"/>
  <c r="H31" i="68"/>
  <c r="P31" i="68"/>
  <c r="C31" i="68"/>
  <c r="G31" i="68"/>
  <c r="H30" i="68"/>
  <c r="P30" i="68"/>
  <c r="G30" i="68"/>
  <c r="P29" i="68"/>
  <c r="L29" i="68"/>
  <c r="H29" i="68"/>
  <c r="G29" i="68"/>
  <c r="O28" i="68"/>
  <c r="M28" i="68"/>
  <c r="K28" i="68"/>
  <c r="K22" i="68"/>
  <c r="J28" i="68"/>
  <c r="F28" i="68"/>
  <c r="F22" i="68"/>
  <c r="E28" i="68"/>
  <c r="D28" i="68"/>
  <c r="H28" i="68"/>
  <c r="P28" i="68"/>
  <c r="C28" i="68"/>
  <c r="C22" i="68"/>
  <c r="G22" i="68"/>
  <c r="K27" i="68"/>
  <c r="H27" i="68"/>
  <c r="P27" i="68"/>
  <c r="C27" i="68"/>
  <c r="G27" i="68"/>
  <c r="L27" i="68"/>
  <c r="P26" i="68"/>
  <c r="K26" i="68"/>
  <c r="H26" i="68"/>
  <c r="G26" i="68"/>
  <c r="L26" i="68"/>
  <c r="L25" i="68"/>
  <c r="C26" i="68"/>
  <c r="O25" i="68"/>
  <c r="M25" i="68"/>
  <c r="K25" i="68"/>
  <c r="J25" i="68"/>
  <c r="F25" i="68"/>
  <c r="E25" i="68"/>
  <c r="D25" i="68"/>
  <c r="H25" i="68"/>
  <c r="P25" i="68"/>
  <c r="C25" i="68"/>
  <c r="G25" i="68"/>
  <c r="P24" i="68"/>
  <c r="J24" i="68"/>
  <c r="H24" i="68"/>
  <c r="G24" i="68"/>
  <c r="L24" i="68"/>
  <c r="L23" i="68"/>
  <c r="O23" i="68"/>
  <c r="M23" i="68"/>
  <c r="M22" i="68"/>
  <c r="K23" i="68"/>
  <c r="J23" i="68"/>
  <c r="F23" i="68"/>
  <c r="E23" i="68"/>
  <c r="D23" i="68"/>
  <c r="H23" i="68"/>
  <c r="P23" i="68"/>
  <c r="C23" i="68"/>
  <c r="G23" i="68"/>
  <c r="O22" i="68"/>
  <c r="J22" i="68"/>
  <c r="E22" i="68"/>
  <c r="P21" i="68"/>
  <c r="H21" i="68"/>
  <c r="G21" i="68"/>
  <c r="L21" i="68"/>
  <c r="O20" i="68"/>
  <c r="M20" i="68"/>
  <c r="K20" i="68"/>
  <c r="J20" i="68"/>
  <c r="I20" i="68"/>
  <c r="F20" i="68"/>
  <c r="E20" i="68"/>
  <c r="D20" i="68"/>
  <c r="H20" i="68"/>
  <c r="P20" i="68"/>
  <c r="C20" i="68"/>
  <c r="G20" i="68"/>
  <c r="P19" i="68"/>
  <c r="L19" i="68"/>
  <c r="H19" i="68"/>
  <c r="G19" i="68"/>
  <c r="P18" i="68"/>
  <c r="H18" i="68"/>
  <c r="G18" i="68"/>
  <c r="L18" i="68"/>
  <c r="H17" i="68"/>
  <c r="P17" i="68"/>
  <c r="G17" i="68"/>
  <c r="L17" i="68"/>
  <c r="C17" i="68"/>
  <c r="O16" i="68"/>
  <c r="M16" i="68"/>
  <c r="K16" i="68"/>
  <c r="J16" i="68"/>
  <c r="F16" i="68"/>
  <c r="E16" i="68"/>
  <c r="D16" i="68"/>
  <c r="H16" i="68"/>
  <c r="P16" i="68"/>
  <c r="C16" i="68"/>
  <c r="G16" i="68"/>
  <c r="L16" i="68"/>
  <c r="P15" i="68"/>
  <c r="H15" i="68"/>
  <c r="G15" i="68"/>
  <c r="L15" i="68"/>
  <c r="H14" i="68"/>
  <c r="P14" i="68"/>
  <c r="G14" i="68"/>
  <c r="L14" i="68"/>
  <c r="M13" i="68"/>
  <c r="M12" i="68"/>
  <c r="K13" i="68"/>
  <c r="J13" i="68"/>
  <c r="I13" i="68"/>
  <c r="F13" i="68"/>
  <c r="E13" i="68"/>
  <c r="D13" i="68"/>
  <c r="H13" i="68"/>
  <c r="P13" i="68"/>
  <c r="C13" i="68"/>
  <c r="G13" i="68"/>
  <c r="O12" i="68"/>
  <c r="K12" i="68"/>
  <c r="J12" i="68"/>
  <c r="F12" i="68"/>
  <c r="E12" i="68"/>
  <c r="C12" i="68"/>
  <c r="G12" i="68"/>
  <c r="P11" i="68"/>
  <c r="H11" i="68"/>
  <c r="C11" i="68"/>
  <c r="G11" i="68"/>
  <c r="L11" i="68"/>
  <c r="O10" i="68"/>
  <c r="O8" i="68"/>
  <c r="O7" i="68"/>
  <c r="O42" i="68"/>
  <c r="M10" i="68"/>
  <c r="M8" i="68"/>
  <c r="M7" i="68"/>
  <c r="M42" i="68"/>
  <c r="K10" i="68"/>
  <c r="J10" i="68"/>
  <c r="J8" i="68"/>
  <c r="J7" i="68"/>
  <c r="J42" i="68"/>
  <c r="F10" i="68"/>
  <c r="E10" i="68"/>
  <c r="E8" i="68"/>
  <c r="E7" i="68"/>
  <c r="E42" i="68"/>
  <c r="D10" i="68"/>
  <c r="D8" i="68"/>
  <c r="P9" i="68"/>
  <c r="L9" i="68"/>
  <c r="H9" i="68"/>
  <c r="G9" i="68"/>
  <c r="K8" i="68"/>
  <c r="K7" i="68"/>
  <c r="K42" i="68"/>
  <c r="F8" i="68"/>
  <c r="F7" i="68"/>
  <c r="A8" i="68"/>
  <c r="A9" i="68"/>
  <c r="A10" i="68"/>
  <c r="A11" i="68"/>
  <c r="A12" i="68"/>
  <c r="A13" i="68"/>
  <c r="A14" i="68"/>
  <c r="A15" i="68"/>
  <c r="A16" i="68"/>
  <c r="A17" i="68"/>
  <c r="A18" i="68"/>
  <c r="A19" i="68"/>
  <c r="A20" i="68"/>
  <c r="A21" i="68"/>
  <c r="A22" i="68"/>
  <c r="A23" i="68"/>
  <c r="A24" i="68"/>
  <c r="A25" i="68"/>
  <c r="A26" i="68"/>
  <c r="A27" i="68"/>
  <c r="A28" i="68"/>
  <c r="A29" i="68"/>
  <c r="A30" i="68"/>
  <c r="A31" i="68"/>
  <c r="A32" i="68"/>
  <c r="A33" i="68"/>
  <c r="A34" i="68"/>
  <c r="A35" i="68"/>
  <c r="A36" i="68"/>
  <c r="A37" i="68"/>
  <c r="A38" i="68"/>
  <c r="A39" i="68"/>
  <c r="A40" i="68"/>
  <c r="A41" i="68"/>
  <c r="A42" i="68"/>
  <c r="R8" i="67"/>
  <c r="R9" i="67"/>
  <c r="R10" i="67"/>
  <c r="R11" i="67"/>
  <c r="R12" i="67"/>
  <c r="R13" i="67"/>
  <c r="R15" i="67"/>
  <c r="R16" i="67"/>
  <c r="R17" i="67"/>
  <c r="R18" i="67"/>
  <c r="R19" i="67"/>
  <c r="R20" i="67"/>
  <c r="R21" i="67"/>
  <c r="R22" i="67"/>
  <c r="R23" i="67"/>
  <c r="R24" i="67"/>
  <c r="R25" i="67"/>
  <c r="R26" i="67"/>
  <c r="R27" i="67"/>
  <c r="R28" i="67"/>
  <c r="R29" i="67"/>
  <c r="R30" i="67"/>
  <c r="R31" i="67"/>
  <c r="R32" i="67"/>
  <c r="R33" i="67"/>
  <c r="R34" i="67"/>
  <c r="H38" i="67"/>
  <c r="P38" i="67"/>
  <c r="G38" i="67"/>
  <c r="H37" i="67"/>
  <c r="P37" i="67"/>
  <c r="G37" i="67"/>
  <c r="O36" i="67"/>
  <c r="M36" i="67"/>
  <c r="K36" i="67"/>
  <c r="J36" i="67"/>
  <c r="G36" i="67"/>
  <c r="F36" i="67"/>
  <c r="E36" i="67"/>
  <c r="D36" i="67"/>
  <c r="H36" i="67"/>
  <c r="P36" i="67"/>
  <c r="C36" i="67"/>
  <c r="O35" i="67"/>
  <c r="M35" i="67"/>
  <c r="K35" i="67"/>
  <c r="J35" i="67"/>
  <c r="F35" i="67"/>
  <c r="E35" i="67"/>
  <c r="D35" i="67"/>
  <c r="H35" i="67"/>
  <c r="P35" i="67"/>
  <c r="C35" i="67"/>
  <c r="G35" i="67"/>
  <c r="H34" i="67"/>
  <c r="P34" i="67"/>
  <c r="G34" i="67"/>
  <c r="G33" i="67"/>
  <c r="O33" i="67"/>
  <c r="M33" i="67"/>
  <c r="M32" i="67"/>
  <c r="K33" i="67"/>
  <c r="J33" i="67"/>
  <c r="H33" i="67"/>
  <c r="P33" i="67"/>
  <c r="F33" i="67"/>
  <c r="E33" i="67"/>
  <c r="D33" i="67"/>
  <c r="D32" i="67"/>
  <c r="H32" i="67"/>
  <c r="P32" i="67"/>
  <c r="C33" i="67"/>
  <c r="O32" i="67"/>
  <c r="K32" i="67"/>
  <c r="J32" i="67"/>
  <c r="F32" i="67"/>
  <c r="E32" i="67"/>
  <c r="C32" i="67"/>
  <c r="G32" i="67"/>
  <c r="P31" i="67"/>
  <c r="H31" i="67"/>
  <c r="G31" i="67"/>
  <c r="O30" i="67"/>
  <c r="M30" i="67"/>
  <c r="L30" i="67"/>
  <c r="K30" i="67"/>
  <c r="J30" i="67"/>
  <c r="H30" i="67"/>
  <c r="P30" i="67"/>
  <c r="G30" i="67"/>
  <c r="F30" i="67"/>
  <c r="E30" i="67"/>
  <c r="D30" i="67"/>
  <c r="C30" i="67"/>
  <c r="A30" i="67"/>
  <c r="A31" i="67"/>
  <c r="A32" i="67"/>
  <c r="A33" i="67"/>
  <c r="A34" i="67"/>
  <c r="A35" i="67"/>
  <c r="A36" i="67"/>
  <c r="A38" i="67"/>
  <c r="A39" i="67"/>
  <c r="H29" i="67"/>
  <c r="P29" i="67"/>
  <c r="G29" i="67"/>
  <c r="G28" i="67"/>
  <c r="A29" i="67"/>
  <c r="O28" i="67"/>
  <c r="M28" i="67"/>
  <c r="K28" i="67"/>
  <c r="J28" i="67"/>
  <c r="H28" i="67"/>
  <c r="P28" i="67"/>
  <c r="F28" i="67"/>
  <c r="E28" i="67"/>
  <c r="D28" i="67"/>
  <c r="C28" i="67"/>
  <c r="H27" i="67"/>
  <c r="G27" i="67"/>
  <c r="L27" i="67"/>
  <c r="L26" i="67"/>
  <c r="O26" i="67"/>
  <c r="M26" i="67"/>
  <c r="K26" i="67"/>
  <c r="J26" i="67"/>
  <c r="H26" i="67"/>
  <c r="P26" i="67"/>
  <c r="G26" i="67"/>
  <c r="F26" i="67"/>
  <c r="E26" i="67"/>
  <c r="D26" i="67"/>
  <c r="C26" i="67"/>
  <c r="H25" i="67"/>
  <c r="G25" i="67"/>
  <c r="L25" i="67"/>
  <c r="L24" i="67"/>
  <c r="O24" i="67"/>
  <c r="M24" i="67"/>
  <c r="K24" i="67"/>
  <c r="J24" i="67"/>
  <c r="H24" i="67"/>
  <c r="P24" i="67"/>
  <c r="G24" i="67"/>
  <c r="F24" i="67"/>
  <c r="E24" i="67"/>
  <c r="D24" i="67"/>
  <c r="C24" i="67"/>
  <c r="H23" i="67"/>
  <c r="P23" i="67"/>
  <c r="G23" i="67"/>
  <c r="L23" i="67"/>
  <c r="L22" i="67"/>
  <c r="O22" i="67"/>
  <c r="M22" i="67"/>
  <c r="M21" i="67"/>
  <c r="K22" i="67"/>
  <c r="J22" i="67"/>
  <c r="H22" i="67"/>
  <c r="P22" i="67"/>
  <c r="P21" i="67"/>
  <c r="F22" i="67"/>
  <c r="E22" i="67"/>
  <c r="D22" i="67"/>
  <c r="C22" i="67"/>
  <c r="O21" i="67"/>
  <c r="N21" i="67"/>
  <c r="K21" i="67"/>
  <c r="J21" i="67"/>
  <c r="I21" i="67"/>
  <c r="F21" i="67"/>
  <c r="E21" i="67"/>
  <c r="D21" i="67"/>
  <c r="C21" i="67"/>
  <c r="H20" i="67"/>
  <c r="P20" i="67"/>
  <c r="G20" i="67"/>
  <c r="P19" i="67"/>
  <c r="L19" i="67"/>
  <c r="J19" i="67"/>
  <c r="H19" i="67"/>
  <c r="G19" i="67"/>
  <c r="H18" i="67"/>
  <c r="P18" i="67"/>
  <c r="G18" i="67"/>
  <c r="L18" i="67"/>
  <c r="H17" i="67"/>
  <c r="P17" i="67"/>
  <c r="G17" i="67"/>
  <c r="P16" i="67"/>
  <c r="L16" i="67"/>
  <c r="H16" i="67"/>
  <c r="G16" i="67"/>
  <c r="P15" i="67"/>
  <c r="H15" i="67"/>
  <c r="G15" i="67"/>
  <c r="L15" i="67"/>
  <c r="H14" i="67"/>
  <c r="P14" i="67"/>
  <c r="G14" i="67"/>
  <c r="L14" i="67"/>
  <c r="H13" i="67"/>
  <c r="P13" i="67"/>
  <c r="G13" i="67"/>
  <c r="L13" i="67"/>
  <c r="O12" i="67"/>
  <c r="M12" i="67"/>
  <c r="K12" i="67"/>
  <c r="J12" i="67"/>
  <c r="F12" i="67"/>
  <c r="E12" i="67"/>
  <c r="D12" i="67"/>
  <c r="H12" i="67"/>
  <c r="P12" i="67"/>
  <c r="C12" i="67"/>
  <c r="G12" i="67"/>
  <c r="L12" i="67"/>
  <c r="P11" i="67"/>
  <c r="L11" i="67"/>
  <c r="H11" i="67"/>
  <c r="G11" i="67"/>
  <c r="P10" i="67"/>
  <c r="H10" i="67"/>
  <c r="G10" i="67"/>
  <c r="L10" i="67"/>
  <c r="H9" i="67"/>
  <c r="P9" i="67"/>
  <c r="P8" i="67"/>
  <c r="P7" i="67"/>
  <c r="P39" i="67"/>
  <c r="G9" i="67"/>
  <c r="L9" i="67"/>
  <c r="L8" i="67"/>
  <c r="O8" i="67"/>
  <c r="M8" i="67"/>
  <c r="M7" i="67"/>
  <c r="M39" i="67"/>
  <c r="K8" i="67"/>
  <c r="J8" i="67"/>
  <c r="H8" i="67"/>
  <c r="H7" i="67"/>
  <c r="F8" i="67"/>
  <c r="E8" i="67"/>
  <c r="D8" i="67"/>
  <c r="D7" i="67"/>
  <c r="D39" i="67"/>
  <c r="C8" i="67"/>
  <c r="A8" i="67"/>
  <c r="A9" i="67"/>
  <c r="A10" i="67"/>
  <c r="A11" i="67"/>
  <c r="A12" i="67"/>
  <c r="A13" i="67"/>
  <c r="A15" i="67"/>
  <c r="A16" i="67"/>
  <c r="A17" i="67"/>
  <c r="A18" i="67"/>
  <c r="A19" i="67"/>
  <c r="A20" i="67"/>
  <c r="A21" i="67"/>
  <c r="A22" i="67"/>
  <c r="A23" i="67"/>
  <c r="O7" i="67"/>
  <c r="O39" i="67"/>
  <c r="K7" i="67"/>
  <c r="K39" i="67"/>
  <c r="J7" i="67"/>
  <c r="J39" i="67"/>
  <c r="F7" i="67"/>
  <c r="F39" i="67"/>
  <c r="E7" i="67"/>
  <c r="E39" i="67"/>
  <c r="C7" i="67"/>
  <c r="C39" i="67"/>
  <c r="E12" i="70"/>
  <c r="E7" i="70"/>
  <c r="E42" i="70"/>
  <c r="D12" i="70"/>
  <c r="G13" i="70"/>
  <c r="G12" i="70"/>
  <c r="J12" i="70"/>
  <c r="J7" i="70"/>
  <c r="J42" i="70"/>
  <c r="G37" i="70"/>
  <c r="F12" i="70"/>
  <c r="F7" i="70"/>
  <c r="F42" i="70"/>
  <c r="G27" i="70"/>
  <c r="G33" i="70"/>
  <c r="L33" i="70"/>
  <c r="D8" i="70"/>
  <c r="D7" i="70"/>
  <c r="D42" i="70"/>
  <c r="K12" i="70"/>
  <c r="K7" i="70"/>
  <c r="K42" i="70"/>
  <c r="L20" i="70"/>
  <c r="L34" i="70"/>
  <c r="P10" i="70"/>
  <c r="P8" i="70"/>
  <c r="H8" i="70"/>
  <c r="L13" i="70"/>
  <c r="L16" i="70"/>
  <c r="P27" i="70"/>
  <c r="P13" i="70"/>
  <c r="G8" i="70"/>
  <c r="L10" i="70"/>
  <c r="L9" i="70"/>
  <c r="L8" i="70"/>
  <c r="H22" i="70"/>
  <c r="P22" i="70"/>
  <c r="L29" i="70"/>
  <c r="L30" i="70"/>
  <c r="C8" i="70"/>
  <c r="C12" i="70"/>
  <c r="L23" i="70"/>
  <c r="L22" i="70"/>
  <c r="L28" i="70"/>
  <c r="L31" i="70"/>
  <c r="P9" i="69"/>
  <c r="L9" i="69"/>
  <c r="L19" i="69"/>
  <c r="P11" i="69"/>
  <c r="L11" i="69"/>
  <c r="C8" i="69"/>
  <c r="C7" i="69"/>
  <c r="C41" i="69"/>
  <c r="G10" i="69"/>
  <c r="L14" i="69"/>
  <c r="L16" i="69"/>
  <c r="H17" i="69"/>
  <c r="P17" i="69"/>
  <c r="D16" i="69"/>
  <c r="H16" i="69"/>
  <c r="P16" i="69"/>
  <c r="L22" i="69"/>
  <c r="P28" i="69"/>
  <c r="L28" i="69"/>
  <c r="L29" i="69"/>
  <c r="M7" i="69"/>
  <c r="M41" i="69"/>
  <c r="L24" i="69"/>
  <c r="P24" i="69"/>
  <c r="G32" i="69"/>
  <c r="L34" i="69"/>
  <c r="L21" i="69"/>
  <c r="L33" i="69"/>
  <c r="G36" i="69"/>
  <c r="H18" i="69"/>
  <c r="H32" i="69"/>
  <c r="P32" i="69"/>
  <c r="D10" i="69"/>
  <c r="L15" i="69"/>
  <c r="C32" i="69"/>
  <c r="L13" i="68"/>
  <c r="L28" i="68"/>
  <c r="F42" i="68"/>
  <c r="L12" i="68"/>
  <c r="L20" i="68"/>
  <c r="G36" i="68"/>
  <c r="H10" i="68"/>
  <c r="L34" i="68"/>
  <c r="L31" i="68"/>
  <c r="C10" i="68"/>
  <c r="D12" i="68"/>
  <c r="H12" i="68"/>
  <c r="P12" i="68"/>
  <c r="D22" i="68"/>
  <c r="H22" i="68"/>
  <c r="P22" i="68"/>
  <c r="G28" i="68"/>
  <c r="L30" i="68"/>
  <c r="L38" i="68"/>
  <c r="L37" i="68"/>
  <c r="L36" i="68"/>
  <c r="L7" i="67"/>
  <c r="L32" i="67"/>
  <c r="G8" i="67"/>
  <c r="G7" i="67"/>
  <c r="G22" i="67"/>
  <c r="G21" i="67"/>
  <c r="L17" i="67"/>
  <c r="L20" i="67"/>
  <c r="H21" i="67"/>
  <c r="H39" i="67"/>
  <c r="L29" i="67"/>
  <c r="L28" i="67"/>
  <c r="L21" i="67"/>
  <c r="L34" i="67"/>
  <c r="L33" i="67"/>
  <c r="C7" i="70"/>
  <c r="C42" i="70"/>
  <c r="H12" i="70"/>
  <c r="P12" i="70"/>
  <c r="P7" i="70"/>
  <c r="L27" i="70"/>
  <c r="G7" i="70"/>
  <c r="G42" i="70"/>
  <c r="L12" i="70"/>
  <c r="L7" i="70"/>
  <c r="L17" i="69"/>
  <c r="L18" i="69"/>
  <c r="P18" i="69"/>
  <c r="D8" i="69"/>
  <c r="D7" i="69"/>
  <c r="D41" i="69"/>
  <c r="H10" i="69"/>
  <c r="L32" i="69"/>
  <c r="G8" i="69"/>
  <c r="G7" i="69"/>
  <c r="G41" i="69"/>
  <c r="L22" i="68"/>
  <c r="P10" i="68"/>
  <c r="P8" i="68"/>
  <c r="P7" i="68"/>
  <c r="P42" i="68"/>
  <c r="H8" i="68"/>
  <c r="H7" i="68"/>
  <c r="H42" i="68"/>
  <c r="G10" i="68"/>
  <c r="C8" i="68"/>
  <c r="C7" i="68"/>
  <c r="C42" i="68"/>
  <c r="D7" i="68"/>
  <c r="D42" i="68"/>
  <c r="G39" i="67"/>
  <c r="L39" i="67"/>
  <c r="L42" i="70"/>
  <c r="H7" i="70"/>
  <c r="H42" i="70"/>
  <c r="P42" i="70"/>
  <c r="P10" i="69"/>
  <c r="P8" i="69"/>
  <c r="P7" i="69"/>
  <c r="P41" i="69"/>
  <c r="H8" i="69"/>
  <c r="H7" i="69"/>
  <c r="H41" i="69"/>
  <c r="L10" i="69"/>
  <c r="L8" i="69"/>
  <c r="L7" i="69"/>
  <c r="L41" i="69"/>
  <c r="G8" i="68"/>
  <c r="G7" i="68"/>
  <c r="G42" i="68"/>
  <c r="L10" i="68"/>
  <c r="L8" i="68"/>
  <c r="L7" i="68"/>
  <c r="L42" i="68"/>
  <c r="R8" i="66"/>
  <c r="R9" i="66"/>
  <c r="R10" i="66"/>
  <c r="R11" i="66"/>
  <c r="R12" i="66"/>
  <c r="R13" i="66"/>
  <c r="R15" i="66"/>
  <c r="R16" i="66"/>
  <c r="R17" i="66"/>
  <c r="R18" i="66"/>
  <c r="R19" i="66"/>
  <c r="R20" i="66"/>
  <c r="R21" i="66"/>
  <c r="R22" i="66"/>
  <c r="R23" i="66"/>
  <c r="R24" i="66"/>
  <c r="R25" i="66"/>
  <c r="R26" i="66"/>
  <c r="R27" i="66"/>
  <c r="R28" i="66"/>
  <c r="R29" i="66"/>
  <c r="R30" i="66"/>
  <c r="R31" i="66"/>
  <c r="R32" i="66"/>
  <c r="R33" i="66"/>
  <c r="R34" i="66"/>
  <c r="L29" i="66"/>
  <c r="H29" i="66"/>
  <c r="P29" i="66"/>
  <c r="G29" i="66"/>
  <c r="O28" i="66"/>
  <c r="M28" i="66"/>
  <c r="K28" i="66"/>
  <c r="J28" i="66"/>
  <c r="F28" i="66"/>
  <c r="E28" i="66"/>
  <c r="D28" i="66"/>
  <c r="H28" i="66"/>
  <c r="P28" i="66"/>
  <c r="C28" i="66"/>
  <c r="H27" i="66"/>
  <c r="P27" i="66"/>
  <c r="G27" i="66"/>
  <c r="L27" i="66"/>
  <c r="H26" i="66"/>
  <c r="P26" i="66"/>
  <c r="G26" i="66"/>
  <c r="L25" i="66"/>
  <c r="H25" i="66"/>
  <c r="P25" i="66"/>
  <c r="G25" i="66"/>
  <c r="H24" i="66"/>
  <c r="P24" i="66"/>
  <c r="G24" i="66"/>
  <c r="H23" i="66"/>
  <c r="P23" i="66"/>
  <c r="G23" i="66"/>
  <c r="O22" i="66"/>
  <c r="O21" i="66"/>
  <c r="M22" i="66"/>
  <c r="M21" i="66"/>
  <c r="H22" i="66"/>
  <c r="G22" i="66"/>
  <c r="K21" i="66"/>
  <c r="J21" i="66"/>
  <c r="F21" i="66"/>
  <c r="E21" i="66"/>
  <c r="D21" i="66"/>
  <c r="H21" i="66"/>
  <c r="P21" i="66"/>
  <c r="C21" i="66"/>
  <c r="G21" i="66"/>
  <c r="H20" i="66"/>
  <c r="P20" i="66"/>
  <c r="G20" i="66"/>
  <c r="P19" i="66"/>
  <c r="H19" i="66"/>
  <c r="L19" i="66"/>
  <c r="G19" i="66"/>
  <c r="P18" i="66"/>
  <c r="H18" i="66"/>
  <c r="G18" i="66"/>
  <c r="L18" i="66"/>
  <c r="H17" i="66"/>
  <c r="P17" i="66"/>
  <c r="G17" i="66"/>
  <c r="L17" i="66"/>
  <c r="H16" i="66"/>
  <c r="P16" i="66"/>
  <c r="G16" i="66"/>
  <c r="O15" i="66"/>
  <c r="K15" i="66"/>
  <c r="K11" i="66"/>
  <c r="K7" i="66"/>
  <c r="K30" i="66"/>
  <c r="J15" i="66"/>
  <c r="F15" i="66"/>
  <c r="E15" i="66"/>
  <c r="D15" i="66"/>
  <c r="H15" i="66"/>
  <c r="P15" i="66"/>
  <c r="C15" i="66"/>
  <c r="H14" i="66"/>
  <c r="L14" i="66"/>
  <c r="G14" i="66"/>
  <c r="P13" i="66"/>
  <c r="H13" i="66"/>
  <c r="G13" i="66"/>
  <c r="L13" i="66"/>
  <c r="O12" i="66"/>
  <c r="M12" i="66"/>
  <c r="M11" i="66"/>
  <c r="K12" i="66"/>
  <c r="J12" i="66"/>
  <c r="J11" i="66"/>
  <c r="J7" i="66"/>
  <c r="J30" i="66"/>
  <c r="F12" i="66"/>
  <c r="E12" i="66"/>
  <c r="E11" i="66"/>
  <c r="E7" i="66"/>
  <c r="E30" i="66"/>
  <c r="D12" i="66"/>
  <c r="H12" i="66"/>
  <c r="P12" i="66"/>
  <c r="C12" i="66"/>
  <c r="G12" i="66"/>
  <c r="F11" i="66"/>
  <c r="F7" i="66"/>
  <c r="F30" i="66"/>
  <c r="P10" i="66"/>
  <c r="L10" i="66"/>
  <c r="H10" i="66"/>
  <c r="G10" i="66"/>
  <c r="H9" i="66"/>
  <c r="P9" i="66"/>
  <c r="P8" i="66"/>
  <c r="G9" i="66"/>
  <c r="A9" i="66"/>
  <c r="A10" i="66"/>
  <c r="A11" i="66"/>
  <c r="A12" i="66"/>
  <c r="A13" i="66"/>
  <c r="A14" i="66"/>
  <c r="A15" i="66"/>
  <c r="A16" i="66"/>
  <c r="A17" i="66"/>
  <c r="A18" i="66"/>
  <c r="A19" i="66"/>
  <c r="A20" i="66"/>
  <c r="A21" i="66"/>
  <c r="A22" i="66"/>
  <c r="A23" i="66"/>
  <c r="A24" i="66"/>
  <c r="A25" i="66"/>
  <c r="A26" i="66"/>
  <c r="A27" i="66"/>
  <c r="A28" i="66"/>
  <c r="A29" i="66"/>
  <c r="A30" i="66"/>
  <c r="O8" i="66"/>
  <c r="M8" i="66"/>
  <c r="M7" i="66"/>
  <c r="M30" i="66"/>
  <c r="K8" i="66"/>
  <c r="J8" i="66"/>
  <c r="G8" i="66"/>
  <c r="F8" i="66"/>
  <c r="E8" i="66"/>
  <c r="D8" i="66"/>
  <c r="C8" i="66"/>
  <c r="A8" i="66"/>
  <c r="R8" i="65"/>
  <c r="R9" i="65"/>
  <c r="R10" i="65"/>
  <c r="R11" i="65"/>
  <c r="R12" i="65"/>
  <c r="R13" i="65"/>
  <c r="R15" i="65"/>
  <c r="R16" i="65"/>
  <c r="R17" i="65"/>
  <c r="R18" i="65"/>
  <c r="R19" i="65"/>
  <c r="R20" i="65"/>
  <c r="R21" i="65"/>
  <c r="R22" i="65"/>
  <c r="R23" i="65"/>
  <c r="R24" i="65"/>
  <c r="R25" i="65"/>
  <c r="R26" i="65"/>
  <c r="R27" i="65"/>
  <c r="R28" i="65"/>
  <c r="R29" i="65"/>
  <c r="R30" i="65"/>
  <c r="R31" i="65"/>
  <c r="R32" i="65"/>
  <c r="R33" i="65"/>
  <c r="R34" i="65"/>
  <c r="H49" i="65"/>
  <c r="P49" i="65"/>
  <c r="G49" i="65"/>
  <c r="L49" i="65"/>
  <c r="H48" i="65"/>
  <c r="G48" i="65"/>
  <c r="C47" i="65"/>
  <c r="H46" i="65"/>
  <c r="G46" i="65"/>
  <c r="L46" i="65"/>
  <c r="O45" i="65"/>
  <c r="O44" i="65"/>
  <c r="K45" i="65"/>
  <c r="K44" i="65"/>
  <c r="J45" i="65"/>
  <c r="I45" i="65"/>
  <c r="F45" i="65"/>
  <c r="E45" i="65"/>
  <c r="J44" i="65"/>
  <c r="F44" i="65"/>
  <c r="E44" i="65"/>
  <c r="P43" i="65"/>
  <c r="H43" i="65"/>
  <c r="G43" i="65"/>
  <c r="L43" i="65"/>
  <c r="L42" i="65"/>
  <c r="O42" i="65"/>
  <c r="O41" i="65"/>
  <c r="K42" i="65"/>
  <c r="K41" i="65"/>
  <c r="J42" i="65"/>
  <c r="H42" i="65"/>
  <c r="G42" i="65"/>
  <c r="F42" i="65"/>
  <c r="E42" i="65"/>
  <c r="D42" i="65"/>
  <c r="D41" i="65"/>
  <c r="C42" i="65"/>
  <c r="J41" i="65"/>
  <c r="F41" i="65"/>
  <c r="E41" i="65"/>
  <c r="C41" i="65"/>
  <c r="H40" i="65"/>
  <c r="P40" i="65"/>
  <c r="G40" i="65"/>
  <c r="D40" i="65"/>
  <c r="O39" i="65"/>
  <c r="K39" i="65"/>
  <c r="J39" i="65"/>
  <c r="H39" i="65"/>
  <c r="F39" i="65"/>
  <c r="E39" i="65"/>
  <c r="D39" i="65"/>
  <c r="C39" i="65"/>
  <c r="G38" i="65"/>
  <c r="F38" i="65"/>
  <c r="D38" i="65"/>
  <c r="O37" i="65"/>
  <c r="K37" i="65"/>
  <c r="J37" i="65"/>
  <c r="G37" i="65"/>
  <c r="F37" i="65"/>
  <c r="E37" i="65"/>
  <c r="C37" i="65"/>
  <c r="C28" i="65"/>
  <c r="H36" i="65"/>
  <c r="P36" i="65"/>
  <c r="G36" i="65"/>
  <c r="H35" i="65"/>
  <c r="P35" i="65"/>
  <c r="G35" i="65"/>
  <c r="L35" i="65"/>
  <c r="H34" i="65"/>
  <c r="P34" i="65"/>
  <c r="G34" i="65"/>
  <c r="L34" i="65"/>
  <c r="H33" i="65"/>
  <c r="P33" i="65"/>
  <c r="G33" i="65"/>
  <c r="H32" i="65"/>
  <c r="P32" i="65"/>
  <c r="G32" i="65"/>
  <c r="L32" i="65"/>
  <c r="L31" i="65"/>
  <c r="H31" i="65"/>
  <c r="P31" i="65"/>
  <c r="G31" i="65"/>
  <c r="D31" i="65"/>
  <c r="P30" i="65"/>
  <c r="H30" i="65"/>
  <c r="G30" i="65"/>
  <c r="O29" i="65"/>
  <c r="K29" i="65"/>
  <c r="K28" i="65"/>
  <c r="J29" i="65"/>
  <c r="I29" i="65"/>
  <c r="F29" i="65"/>
  <c r="E29" i="65"/>
  <c r="D29" i="65"/>
  <c r="C29" i="65"/>
  <c r="F28" i="65"/>
  <c r="L27" i="65"/>
  <c r="H27" i="65"/>
  <c r="P27" i="65"/>
  <c r="G27" i="65"/>
  <c r="P26" i="65"/>
  <c r="H26" i="65"/>
  <c r="G26" i="65"/>
  <c r="P25" i="65"/>
  <c r="L25" i="65"/>
  <c r="H24" i="65"/>
  <c r="P24" i="65"/>
  <c r="G24" i="65"/>
  <c r="H23" i="65"/>
  <c r="P23" i="65"/>
  <c r="G23" i="65"/>
  <c r="H22" i="65"/>
  <c r="P22" i="65"/>
  <c r="G22" i="65"/>
  <c r="L22" i="65"/>
  <c r="D22" i="65"/>
  <c r="G21" i="65"/>
  <c r="D21" i="65"/>
  <c r="H21" i="65"/>
  <c r="P21" i="65"/>
  <c r="L20" i="65"/>
  <c r="H20" i="65"/>
  <c r="P20" i="65"/>
  <c r="G20" i="65"/>
  <c r="D20" i="65"/>
  <c r="G19" i="65"/>
  <c r="D19" i="65"/>
  <c r="H19" i="65"/>
  <c r="P19" i="65"/>
  <c r="H18" i="65"/>
  <c r="G18" i="65"/>
  <c r="L18" i="65"/>
  <c r="D18" i="65"/>
  <c r="O17" i="65"/>
  <c r="K17" i="65"/>
  <c r="J17" i="65"/>
  <c r="I17" i="65"/>
  <c r="F17" i="65"/>
  <c r="E17" i="65"/>
  <c r="C17" i="65"/>
  <c r="H16" i="65"/>
  <c r="P16" i="65"/>
  <c r="G16" i="65"/>
  <c r="L16" i="65"/>
  <c r="P15" i="65"/>
  <c r="L15" i="65"/>
  <c r="H15" i="65"/>
  <c r="G15" i="65"/>
  <c r="G14" i="65"/>
  <c r="D14" i="65"/>
  <c r="H14" i="65"/>
  <c r="H13" i="65"/>
  <c r="P13" i="65"/>
  <c r="K13" i="65"/>
  <c r="J13" i="65"/>
  <c r="I13" i="65"/>
  <c r="G13" i="65"/>
  <c r="F13" i="65"/>
  <c r="F12" i="65"/>
  <c r="F7" i="65"/>
  <c r="F50" i="65"/>
  <c r="E13" i="65"/>
  <c r="C13" i="65"/>
  <c r="O12" i="65"/>
  <c r="O7" i="65"/>
  <c r="E12" i="65"/>
  <c r="C12" i="65"/>
  <c r="H11" i="65"/>
  <c r="P11" i="65"/>
  <c r="G11" i="65"/>
  <c r="L11" i="65"/>
  <c r="H10" i="65"/>
  <c r="G10" i="65"/>
  <c r="H9" i="65"/>
  <c r="P9" i="65"/>
  <c r="G9" i="65"/>
  <c r="O8" i="65"/>
  <c r="K8" i="65"/>
  <c r="J8" i="65"/>
  <c r="G8" i="65"/>
  <c r="F8" i="65"/>
  <c r="E8" i="65"/>
  <c r="D8" i="65"/>
  <c r="C8" i="65"/>
  <c r="C7" i="65"/>
  <c r="A8" i="65"/>
  <c r="A9" i="65"/>
  <c r="A10" i="65"/>
  <c r="A11" i="65"/>
  <c r="A12" i="65"/>
  <c r="A13" i="65"/>
  <c r="A14" i="65"/>
  <c r="A15" i="65"/>
  <c r="A16" i="65"/>
  <c r="A17" i="65"/>
  <c r="A18" i="65"/>
  <c r="A19" i="65"/>
  <c r="A20" i="65"/>
  <c r="A21" i="65"/>
  <c r="A22" i="65"/>
  <c r="A23" i="65"/>
  <c r="A24" i="65"/>
  <c r="A25" i="65"/>
  <c r="A26" i="65"/>
  <c r="A27" i="65"/>
  <c r="A28" i="65"/>
  <c r="A29" i="65"/>
  <c r="A30" i="65"/>
  <c r="A31" i="65"/>
  <c r="A32" i="65"/>
  <c r="A33" i="65"/>
  <c r="A34" i="65"/>
  <c r="A35" i="65"/>
  <c r="A36" i="65"/>
  <c r="A37" i="65"/>
  <c r="A38" i="65"/>
  <c r="A39" i="65"/>
  <c r="A40" i="65"/>
  <c r="A41" i="65"/>
  <c r="A42" i="65"/>
  <c r="A43" i="65"/>
  <c r="A44" i="65"/>
  <c r="A45" i="65"/>
  <c r="A46" i="65"/>
  <c r="A47" i="65"/>
  <c r="A48" i="65"/>
  <c r="A49" i="65"/>
  <c r="A50" i="65"/>
  <c r="I7" i="65"/>
  <c r="D11" i="66"/>
  <c r="P14" i="66"/>
  <c r="P22" i="66"/>
  <c r="G28" i="66"/>
  <c r="L28" i="66"/>
  <c r="L9" i="66"/>
  <c r="L8" i="66"/>
  <c r="G15" i="66"/>
  <c r="L15" i="66"/>
  <c r="L24" i="66"/>
  <c r="H8" i="66"/>
  <c r="O11" i="66"/>
  <c r="O7" i="66"/>
  <c r="O30" i="66"/>
  <c r="L22" i="66"/>
  <c r="L23" i="66"/>
  <c r="L12" i="66"/>
  <c r="L16" i="66"/>
  <c r="C11" i="66"/>
  <c r="G11" i="66"/>
  <c r="L20" i="66"/>
  <c r="L26" i="66"/>
  <c r="L21" i="66"/>
  <c r="E7" i="65"/>
  <c r="L9" i="65"/>
  <c r="K12" i="65"/>
  <c r="K7" i="65"/>
  <c r="K50" i="65"/>
  <c r="L24" i="65"/>
  <c r="P42" i="65"/>
  <c r="H8" i="65"/>
  <c r="L14" i="65"/>
  <c r="L13" i="65"/>
  <c r="G17" i="65"/>
  <c r="L26" i="65"/>
  <c r="E28" i="65"/>
  <c r="G28" i="65"/>
  <c r="O28" i="65"/>
  <c r="G41" i="65"/>
  <c r="G12" i="65"/>
  <c r="P14" i="65"/>
  <c r="L23" i="65"/>
  <c r="J28" i="65"/>
  <c r="L33" i="65"/>
  <c r="G7" i="65"/>
  <c r="G29" i="65"/>
  <c r="L30" i="65"/>
  <c r="P46" i="65"/>
  <c r="P10" i="65"/>
  <c r="P8" i="65"/>
  <c r="D13" i="65"/>
  <c r="D12" i="65"/>
  <c r="D17" i="65"/>
  <c r="P18" i="65"/>
  <c r="P17" i="65"/>
  <c r="H17" i="65"/>
  <c r="L36" i="65"/>
  <c r="O50" i="65"/>
  <c r="J12" i="65"/>
  <c r="J7" i="65"/>
  <c r="J50" i="65"/>
  <c r="H38" i="65"/>
  <c r="D37" i="65"/>
  <c r="D28" i="65"/>
  <c r="H28" i="65"/>
  <c r="P28" i="65"/>
  <c r="P39" i="65"/>
  <c r="P48" i="65"/>
  <c r="L48" i="65"/>
  <c r="L10" i="65"/>
  <c r="L8" i="65"/>
  <c r="L19" i="65"/>
  <c r="L21" i="65"/>
  <c r="H29" i="65"/>
  <c r="P29" i="65"/>
  <c r="G39" i="65"/>
  <c r="L40" i="65"/>
  <c r="L39" i="65"/>
  <c r="H41" i="65"/>
  <c r="P41" i="65"/>
  <c r="G47" i="65"/>
  <c r="C45" i="65"/>
  <c r="C44" i="65"/>
  <c r="G44" i="65"/>
  <c r="D47" i="65"/>
  <c r="C7" i="66"/>
  <c r="C30" i="66"/>
  <c r="H11" i="66"/>
  <c r="D7" i="66"/>
  <c r="D30" i="66"/>
  <c r="G7" i="66"/>
  <c r="G30" i="66"/>
  <c r="L17" i="65"/>
  <c r="L29" i="65"/>
  <c r="E50" i="65"/>
  <c r="H47" i="65"/>
  <c r="D45" i="65"/>
  <c r="D44" i="65"/>
  <c r="H44" i="65"/>
  <c r="P44" i="65"/>
  <c r="G50" i="65"/>
  <c r="C50" i="65"/>
  <c r="D7" i="65"/>
  <c r="D50" i="65"/>
  <c r="H12" i="65"/>
  <c r="L41" i="65"/>
  <c r="L44" i="65"/>
  <c r="G45" i="65"/>
  <c r="L47" i="65"/>
  <c r="L45" i="65"/>
  <c r="P38" i="65"/>
  <c r="H37" i="65"/>
  <c r="P37" i="65"/>
  <c r="L38" i="65"/>
  <c r="L37" i="65"/>
  <c r="L28" i="65"/>
  <c r="P11" i="66"/>
  <c r="P7" i="66"/>
  <c r="P30" i="66"/>
  <c r="H7" i="66"/>
  <c r="H30" i="66"/>
  <c r="L11" i="66"/>
  <c r="L7" i="66"/>
  <c r="L30" i="66"/>
  <c r="P47" i="65"/>
  <c r="H45" i="65"/>
  <c r="P45" i="65"/>
  <c r="P12" i="65"/>
  <c r="P7" i="65"/>
  <c r="P50" i="65"/>
  <c r="H7" i="65"/>
  <c r="H50" i="65"/>
  <c r="L12" i="65"/>
  <c r="L7" i="65"/>
  <c r="L50" i="65"/>
  <c r="R8" i="64"/>
  <c r="R9" i="64"/>
  <c r="R10" i="64"/>
  <c r="R11" i="64"/>
  <c r="R12" i="64"/>
  <c r="R13" i="64"/>
  <c r="R15" i="64"/>
  <c r="R16" i="64"/>
  <c r="R17" i="64"/>
  <c r="R18" i="64"/>
  <c r="R19" i="64"/>
  <c r="R20" i="64"/>
  <c r="R21" i="64"/>
  <c r="R22" i="64"/>
  <c r="R23" i="64"/>
  <c r="R24" i="64"/>
  <c r="R25" i="64"/>
  <c r="R26" i="64"/>
  <c r="R27" i="64"/>
  <c r="R28" i="64"/>
  <c r="R29" i="64"/>
  <c r="R30" i="64"/>
  <c r="R31" i="64"/>
  <c r="R32" i="64"/>
  <c r="R33" i="64"/>
  <c r="R34" i="64"/>
  <c r="A8" i="64"/>
  <c r="A9" i="64"/>
  <c r="A10" i="64"/>
  <c r="A11" i="64"/>
  <c r="A12" i="64"/>
  <c r="A13" i="64"/>
  <c r="A14" i="64"/>
  <c r="A15" i="64"/>
  <c r="A16" i="64"/>
  <c r="A17" i="64"/>
  <c r="A18" i="64"/>
  <c r="A19" i="64"/>
  <c r="A20" i="64"/>
  <c r="A21" i="64"/>
  <c r="A22" i="64"/>
  <c r="A23" i="64"/>
  <c r="A24" i="64"/>
  <c r="A25" i="64"/>
  <c r="A26" i="64"/>
  <c r="A27" i="64"/>
  <c r="A28" i="64"/>
  <c r="A29" i="64"/>
  <c r="A30" i="64"/>
  <c r="A31" i="64"/>
  <c r="A32" i="64"/>
  <c r="A33" i="64"/>
  <c r="A34" i="64"/>
  <c r="A35" i="64"/>
  <c r="A36" i="64"/>
  <c r="A37" i="64"/>
  <c r="A38" i="64"/>
  <c r="A39" i="64"/>
  <c r="A40" i="64"/>
  <c r="A41" i="64"/>
  <c r="A42" i="64"/>
  <c r="A43" i="64"/>
  <c r="A44" i="64"/>
  <c r="A45" i="64"/>
  <c r="A46" i="64"/>
  <c r="A47" i="64"/>
  <c r="A48" i="64"/>
  <c r="A49" i="64"/>
  <c r="A50" i="64"/>
  <c r="A51" i="64"/>
  <c r="A52" i="64"/>
  <c r="A53" i="64"/>
  <c r="A54" i="64"/>
  <c r="A55" i="64"/>
  <c r="A56" i="64"/>
  <c r="A57" i="64"/>
  <c r="A58" i="64"/>
  <c r="A59" i="64"/>
  <c r="A60" i="64"/>
  <c r="A61" i="64"/>
  <c r="A62" i="64"/>
  <c r="A63" i="64"/>
  <c r="A64" i="64"/>
  <c r="A65" i="64"/>
  <c r="A66" i="64"/>
  <c r="A67" i="64"/>
  <c r="A68" i="64"/>
  <c r="A69" i="64"/>
  <c r="A70" i="64"/>
  <c r="A72" i="64"/>
  <c r="A73" i="64"/>
  <c r="A74" i="64"/>
  <c r="R8" i="63"/>
  <c r="R9" i="63"/>
  <c r="R10" i="63"/>
  <c r="R11" i="63"/>
  <c r="R12" i="63"/>
  <c r="R13" i="63"/>
  <c r="R15" i="63"/>
  <c r="R16" i="63"/>
  <c r="R17" i="63"/>
  <c r="R18" i="63"/>
  <c r="R19" i="63"/>
  <c r="R20" i="63"/>
  <c r="R21" i="63"/>
  <c r="R22" i="63"/>
  <c r="R23" i="63"/>
  <c r="R24" i="63"/>
  <c r="R25" i="63"/>
  <c r="R26" i="63"/>
  <c r="R27" i="63"/>
  <c r="R28" i="63"/>
  <c r="R29" i="63"/>
  <c r="R30" i="63"/>
  <c r="R31" i="63"/>
  <c r="R32" i="63"/>
  <c r="R33" i="63"/>
  <c r="R34" i="63"/>
  <c r="H26" i="63"/>
  <c r="P26" i="63"/>
  <c r="G26" i="63"/>
  <c r="L26" i="63"/>
  <c r="O25" i="63"/>
  <c r="K25" i="63"/>
  <c r="J25" i="63"/>
  <c r="I25" i="63"/>
  <c r="H25" i="63"/>
  <c r="P25" i="63"/>
  <c r="G25" i="63"/>
  <c r="F25" i="63"/>
  <c r="E25" i="63"/>
  <c r="D25" i="63"/>
  <c r="C25" i="63"/>
  <c r="O24" i="63"/>
  <c r="K24" i="63"/>
  <c r="J24" i="63"/>
  <c r="I24" i="63"/>
  <c r="H24" i="63"/>
  <c r="P24" i="63"/>
  <c r="G24" i="63"/>
  <c r="F24" i="63"/>
  <c r="E24" i="63"/>
  <c r="D24" i="63"/>
  <c r="C24" i="63"/>
  <c r="H23" i="63"/>
  <c r="P23" i="63"/>
  <c r="G23" i="63"/>
  <c r="L23" i="63"/>
  <c r="O22" i="63"/>
  <c r="K22" i="63"/>
  <c r="J22" i="63"/>
  <c r="I22" i="63"/>
  <c r="G22" i="63"/>
  <c r="F22" i="63"/>
  <c r="E22" i="63"/>
  <c r="D22" i="63"/>
  <c r="C22" i="63"/>
  <c r="O21" i="63"/>
  <c r="K21" i="63"/>
  <c r="J21" i="63"/>
  <c r="I21" i="63"/>
  <c r="H21" i="63"/>
  <c r="P21" i="63"/>
  <c r="G21" i="63"/>
  <c r="F21" i="63"/>
  <c r="E21" i="63"/>
  <c r="D21" i="63"/>
  <c r="C21" i="63"/>
  <c r="H20" i="63"/>
  <c r="P20" i="63"/>
  <c r="G20" i="63"/>
  <c r="L20" i="63"/>
  <c r="H19" i="63"/>
  <c r="P19" i="63"/>
  <c r="G19" i="63"/>
  <c r="L19" i="63"/>
  <c r="D19" i="63"/>
  <c r="O18" i="63"/>
  <c r="K18" i="63"/>
  <c r="J18" i="63"/>
  <c r="I18" i="63"/>
  <c r="G18" i="63"/>
  <c r="F18" i="63"/>
  <c r="E18" i="63"/>
  <c r="D18" i="63"/>
  <c r="C18" i="63"/>
  <c r="O17" i="63"/>
  <c r="K17" i="63"/>
  <c r="J17" i="63"/>
  <c r="I17" i="63"/>
  <c r="G17" i="63"/>
  <c r="F17" i="63"/>
  <c r="E17" i="63"/>
  <c r="D17" i="63"/>
  <c r="C17" i="63"/>
  <c r="H16" i="63"/>
  <c r="P16" i="63"/>
  <c r="G16" i="63"/>
  <c r="H15" i="63"/>
  <c r="P15" i="63"/>
  <c r="G15" i="63"/>
  <c r="L15" i="63"/>
  <c r="H14" i="63"/>
  <c r="P14" i="63"/>
  <c r="G14" i="63"/>
  <c r="H13" i="63"/>
  <c r="P13" i="63"/>
  <c r="G13" i="63"/>
  <c r="K12" i="63"/>
  <c r="F12" i="63"/>
  <c r="E12" i="63"/>
  <c r="D12" i="63"/>
  <c r="H12" i="63"/>
  <c r="C12" i="63"/>
  <c r="C11" i="63"/>
  <c r="O11" i="63"/>
  <c r="K11" i="63"/>
  <c r="J11" i="63"/>
  <c r="I11" i="63"/>
  <c r="F11" i="63"/>
  <c r="E11" i="63"/>
  <c r="D11" i="63"/>
  <c r="L10" i="63"/>
  <c r="H10" i="63"/>
  <c r="P10" i="63"/>
  <c r="G10" i="63"/>
  <c r="P9" i="63"/>
  <c r="H9" i="63"/>
  <c r="G9" i="63"/>
  <c r="L9" i="63"/>
  <c r="L8" i="63"/>
  <c r="A9" i="63"/>
  <c r="A10" i="63"/>
  <c r="A11" i="63"/>
  <c r="A12" i="63"/>
  <c r="A13" i="63"/>
  <c r="A14" i="63"/>
  <c r="A15" i="63"/>
  <c r="A16" i="63"/>
  <c r="A17" i="63"/>
  <c r="O8" i="63"/>
  <c r="K8" i="63"/>
  <c r="J8" i="63"/>
  <c r="J7" i="63"/>
  <c r="J27" i="63"/>
  <c r="I8" i="63"/>
  <c r="I7" i="63"/>
  <c r="I27" i="63"/>
  <c r="H8" i="63"/>
  <c r="G8" i="63"/>
  <c r="F8" i="63"/>
  <c r="E8" i="63"/>
  <c r="D8" i="63"/>
  <c r="C8" i="63"/>
  <c r="C7" i="63"/>
  <c r="C27" i="63"/>
  <c r="A8" i="63"/>
  <c r="O7" i="63"/>
  <c r="O27" i="63"/>
  <c r="F7" i="63"/>
  <c r="F27" i="63"/>
  <c r="E7" i="63"/>
  <c r="E27" i="63"/>
  <c r="D7" i="63"/>
  <c r="D27" i="63"/>
  <c r="R8" i="62"/>
  <c r="R9" i="62"/>
  <c r="R10" i="62"/>
  <c r="R11" i="62"/>
  <c r="R12" i="62"/>
  <c r="R13" i="62"/>
  <c r="R15" i="62"/>
  <c r="R16" i="62"/>
  <c r="R17" i="62"/>
  <c r="R18" i="62"/>
  <c r="R19" i="62"/>
  <c r="R20" i="62"/>
  <c r="R21" i="62"/>
  <c r="R22" i="62"/>
  <c r="R23" i="62"/>
  <c r="R24" i="62"/>
  <c r="R25" i="62"/>
  <c r="R26" i="62"/>
  <c r="R27" i="62"/>
  <c r="R28" i="62"/>
  <c r="R29" i="62"/>
  <c r="R30" i="62"/>
  <c r="R31" i="62"/>
  <c r="R32" i="62"/>
  <c r="R33" i="62"/>
  <c r="R34" i="62"/>
  <c r="P33" i="62"/>
  <c r="L33" i="62"/>
  <c r="L32" i="62"/>
  <c r="H33" i="62"/>
  <c r="G33" i="62"/>
  <c r="P32" i="62"/>
  <c r="O32" i="62"/>
  <c r="M32" i="62"/>
  <c r="K32" i="62"/>
  <c r="K31" i="62"/>
  <c r="J32" i="62"/>
  <c r="H32" i="62"/>
  <c r="G32" i="62"/>
  <c r="F32" i="62"/>
  <c r="F31" i="62"/>
  <c r="E32" i="62"/>
  <c r="D32" i="62"/>
  <c r="C32" i="62"/>
  <c r="O31" i="62"/>
  <c r="M31" i="62"/>
  <c r="J31" i="62"/>
  <c r="E31" i="62"/>
  <c r="D31" i="62"/>
  <c r="H31" i="62"/>
  <c r="P31" i="62"/>
  <c r="C31" i="62"/>
  <c r="G31" i="62"/>
  <c r="H30" i="62"/>
  <c r="P30" i="62"/>
  <c r="G30" i="62"/>
  <c r="O29" i="62"/>
  <c r="O28" i="62"/>
  <c r="M29" i="62"/>
  <c r="K29" i="62"/>
  <c r="J29" i="62"/>
  <c r="J28" i="62"/>
  <c r="G29" i="62"/>
  <c r="F29" i="62"/>
  <c r="E29" i="62"/>
  <c r="E28" i="62"/>
  <c r="D29" i="62"/>
  <c r="C29" i="62"/>
  <c r="M28" i="62"/>
  <c r="K28" i="62"/>
  <c r="F28" i="62"/>
  <c r="D28" i="62"/>
  <c r="H28" i="62"/>
  <c r="P28" i="62"/>
  <c r="C28" i="62"/>
  <c r="H27" i="62"/>
  <c r="P27" i="62"/>
  <c r="G27" i="62"/>
  <c r="L27" i="62"/>
  <c r="L26" i="62"/>
  <c r="O26" i="62"/>
  <c r="M26" i="62"/>
  <c r="K26" i="62"/>
  <c r="J26" i="62"/>
  <c r="H26" i="62"/>
  <c r="P26" i="62"/>
  <c r="F26" i="62"/>
  <c r="E26" i="62"/>
  <c r="D26" i="62"/>
  <c r="C26" i="62"/>
  <c r="P25" i="62"/>
  <c r="L25" i="62"/>
  <c r="L24" i="62"/>
  <c r="H25" i="62"/>
  <c r="H24" i="62"/>
  <c r="P24" i="62"/>
  <c r="G25" i="62"/>
  <c r="O24" i="62"/>
  <c r="M24" i="62"/>
  <c r="K24" i="62"/>
  <c r="K21" i="62"/>
  <c r="J24" i="62"/>
  <c r="G24" i="62"/>
  <c r="F24" i="62"/>
  <c r="F21" i="62"/>
  <c r="E24" i="62"/>
  <c r="D24" i="62"/>
  <c r="C24" i="62"/>
  <c r="C21" i="62"/>
  <c r="G21" i="62"/>
  <c r="H23" i="62"/>
  <c r="P23" i="62"/>
  <c r="G23" i="62"/>
  <c r="L23" i="62"/>
  <c r="L22" i="62"/>
  <c r="O22" i="62"/>
  <c r="M22" i="62"/>
  <c r="M21" i="62"/>
  <c r="K22" i="62"/>
  <c r="J22" i="62"/>
  <c r="H22" i="62"/>
  <c r="P22" i="62"/>
  <c r="F22" i="62"/>
  <c r="E22" i="62"/>
  <c r="D22" i="62"/>
  <c r="C22" i="62"/>
  <c r="O21" i="62"/>
  <c r="J21" i="62"/>
  <c r="E21" i="62"/>
  <c r="D21" i="62"/>
  <c r="P20" i="62"/>
  <c r="L20" i="62"/>
  <c r="H20" i="62"/>
  <c r="G20" i="62"/>
  <c r="P19" i="62"/>
  <c r="H19" i="62"/>
  <c r="G19" i="62"/>
  <c r="L19" i="62"/>
  <c r="H18" i="62"/>
  <c r="P18" i="62"/>
  <c r="G18" i="62"/>
  <c r="L18" i="62"/>
  <c r="H17" i="62"/>
  <c r="P17" i="62"/>
  <c r="G17" i="62"/>
  <c r="P16" i="62"/>
  <c r="L16" i="62"/>
  <c r="H16" i="62"/>
  <c r="G16" i="62"/>
  <c r="P15" i="62"/>
  <c r="H15" i="62"/>
  <c r="G15" i="62"/>
  <c r="L15" i="62"/>
  <c r="H14" i="62"/>
  <c r="P14" i="62"/>
  <c r="G14" i="62"/>
  <c r="L14" i="62"/>
  <c r="H13" i="62"/>
  <c r="P13" i="62"/>
  <c r="G13" i="62"/>
  <c r="L13" i="62"/>
  <c r="O12" i="62"/>
  <c r="M12" i="62"/>
  <c r="K12" i="62"/>
  <c r="J12" i="62"/>
  <c r="F12" i="62"/>
  <c r="E12" i="62"/>
  <c r="D12" i="62"/>
  <c r="H12" i="62"/>
  <c r="P12" i="62"/>
  <c r="C12" i="62"/>
  <c r="G12" i="62"/>
  <c r="L12" i="62"/>
  <c r="P11" i="62"/>
  <c r="L11" i="62"/>
  <c r="H11" i="62"/>
  <c r="G11" i="62"/>
  <c r="P10" i="62"/>
  <c r="H10" i="62"/>
  <c r="G10" i="62"/>
  <c r="L10" i="62"/>
  <c r="H9" i="62"/>
  <c r="P9" i="62"/>
  <c r="P8" i="62"/>
  <c r="P7" i="62"/>
  <c r="G9" i="62"/>
  <c r="L9" i="62"/>
  <c r="O8" i="62"/>
  <c r="M8" i="62"/>
  <c r="M7" i="62"/>
  <c r="M34" i="62"/>
  <c r="K8" i="62"/>
  <c r="J8" i="62"/>
  <c r="H8" i="62"/>
  <c r="H7" i="62"/>
  <c r="F8" i="62"/>
  <c r="E8" i="62"/>
  <c r="D8" i="62"/>
  <c r="D7" i="62"/>
  <c r="D34" i="62"/>
  <c r="C8" i="62"/>
  <c r="C7" i="62"/>
  <c r="C34" i="62"/>
  <c r="A8" i="62"/>
  <c r="A9" i="62"/>
  <c r="A10" i="62"/>
  <c r="A11" i="62"/>
  <c r="A12" i="62"/>
  <c r="A13" i="62"/>
  <c r="A15" i="62"/>
  <c r="A16" i="62"/>
  <c r="A17" i="62"/>
  <c r="A18" i="62"/>
  <c r="A19" i="62"/>
  <c r="A20" i="62"/>
  <c r="A21" i="62"/>
  <c r="A22" i="62"/>
  <c r="A23" i="62"/>
  <c r="A24" i="62"/>
  <c r="A25" i="62"/>
  <c r="A26" i="62"/>
  <c r="A27" i="62"/>
  <c r="A28" i="62"/>
  <c r="A29" i="62"/>
  <c r="A30" i="62"/>
  <c r="A31" i="62"/>
  <c r="A32" i="62"/>
  <c r="A33" i="62"/>
  <c r="A34" i="62"/>
  <c r="O7" i="62"/>
  <c r="O34" i="62"/>
  <c r="K7" i="62"/>
  <c r="J7" i="62"/>
  <c r="J34" i="62"/>
  <c r="F7" i="62"/>
  <c r="E7" i="62"/>
  <c r="E34" i="62"/>
  <c r="R8" i="61"/>
  <c r="R9" i="61"/>
  <c r="R10" i="61"/>
  <c r="R11" i="61"/>
  <c r="R12" i="61"/>
  <c r="R13" i="61"/>
  <c r="R15" i="61"/>
  <c r="R16" i="61"/>
  <c r="R17" i="61"/>
  <c r="R18" i="61"/>
  <c r="R19" i="61"/>
  <c r="R20" i="61"/>
  <c r="R21" i="61"/>
  <c r="R22" i="61"/>
  <c r="R23" i="61"/>
  <c r="R24" i="61"/>
  <c r="R25" i="61"/>
  <c r="R26" i="61"/>
  <c r="R27" i="61"/>
  <c r="R28" i="61"/>
  <c r="R29" i="61"/>
  <c r="R30" i="61"/>
  <c r="R31" i="61"/>
  <c r="R32" i="61"/>
  <c r="R33" i="61"/>
  <c r="R34" i="61"/>
  <c r="O41" i="61"/>
  <c r="P40" i="61"/>
  <c r="H40" i="61"/>
  <c r="G40" i="61"/>
  <c r="L40" i="61"/>
  <c r="M40" i="61"/>
  <c r="D40" i="61"/>
  <c r="G39" i="61"/>
  <c r="D39" i="61"/>
  <c r="H39" i="61"/>
  <c r="P39" i="61"/>
  <c r="C39" i="61"/>
  <c r="G38" i="61"/>
  <c r="D38" i="61"/>
  <c r="H38" i="61"/>
  <c r="P38" i="61"/>
  <c r="P37" i="61"/>
  <c r="O37" i="61"/>
  <c r="K37" i="61"/>
  <c r="J37" i="61"/>
  <c r="F37" i="61"/>
  <c r="E37" i="61"/>
  <c r="C37" i="61"/>
  <c r="P36" i="61"/>
  <c r="M36" i="61"/>
  <c r="M35" i="61"/>
  <c r="H36" i="61"/>
  <c r="G36" i="61"/>
  <c r="L36" i="61"/>
  <c r="O35" i="61"/>
  <c r="L35" i="61"/>
  <c r="K35" i="61"/>
  <c r="J35" i="61"/>
  <c r="I35" i="61"/>
  <c r="H35" i="61"/>
  <c r="F35" i="61"/>
  <c r="E35" i="61"/>
  <c r="D35" i="61"/>
  <c r="D34" i="61"/>
  <c r="C35" i="61"/>
  <c r="O34" i="61"/>
  <c r="K34" i="61"/>
  <c r="J34" i="61"/>
  <c r="F34" i="61"/>
  <c r="E34" i="61"/>
  <c r="C34" i="61"/>
  <c r="P33" i="61"/>
  <c r="H33" i="61"/>
  <c r="G33" i="61"/>
  <c r="G32" i="61"/>
  <c r="D32" i="61"/>
  <c r="H32" i="61"/>
  <c r="P32" i="61"/>
  <c r="H31" i="61"/>
  <c r="G31" i="61"/>
  <c r="D31" i="61"/>
  <c r="O30" i="61"/>
  <c r="K30" i="61"/>
  <c r="J30" i="61"/>
  <c r="F30" i="61"/>
  <c r="E30" i="61"/>
  <c r="C30" i="61"/>
  <c r="M29" i="61"/>
  <c r="K29" i="61"/>
  <c r="C29" i="61"/>
  <c r="G29" i="61"/>
  <c r="H28" i="61"/>
  <c r="G28" i="61"/>
  <c r="D28" i="61"/>
  <c r="K27" i="61"/>
  <c r="C27" i="61"/>
  <c r="G27" i="61"/>
  <c r="K26" i="61"/>
  <c r="K25" i="61"/>
  <c r="J26" i="61"/>
  <c r="O25" i="61"/>
  <c r="O21" i="61"/>
  <c r="J25" i="61"/>
  <c r="F25" i="61"/>
  <c r="E25" i="61"/>
  <c r="E21" i="61"/>
  <c r="P24" i="61"/>
  <c r="H24" i="61"/>
  <c r="G24" i="61"/>
  <c r="L24" i="61"/>
  <c r="M24" i="61"/>
  <c r="K23" i="61"/>
  <c r="J23" i="61"/>
  <c r="J22" i="61"/>
  <c r="J21" i="61"/>
  <c r="H23" i="61"/>
  <c r="P23" i="61"/>
  <c r="G23" i="61"/>
  <c r="G22" i="61"/>
  <c r="D23" i="61"/>
  <c r="C23" i="61"/>
  <c r="O22" i="61"/>
  <c r="K22" i="61"/>
  <c r="F22" i="61"/>
  <c r="F21" i="61"/>
  <c r="E22" i="61"/>
  <c r="D22" i="61"/>
  <c r="C22" i="61"/>
  <c r="P20" i="61"/>
  <c r="L20" i="61"/>
  <c r="M20" i="61"/>
  <c r="H20" i="61"/>
  <c r="G20" i="61"/>
  <c r="P19" i="61"/>
  <c r="H19" i="61"/>
  <c r="G19" i="61"/>
  <c r="L19" i="61"/>
  <c r="M19" i="61"/>
  <c r="D19" i="61"/>
  <c r="G18" i="61"/>
  <c r="D18" i="61"/>
  <c r="H18" i="61"/>
  <c r="P18" i="61"/>
  <c r="O17" i="61"/>
  <c r="O13" i="61"/>
  <c r="K17" i="61"/>
  <c r="J17" i="61"/>
  <c r="J13" i="61"/>
  <c r="F17" i="61"/>
  <c r="E17" i="61"/>
  <c r="E13" i="61"/>
  <c r="D17" i="61"/>
  <c r="D13" i="61"/>
  <c r="C17" i="61"/>
  <c r="P16" i="61"/>
  <c r="M16" i="61"/>
  <c r="H16" i="61"/>
  <c r="G16" i="61"/>
  <c r="L16" i="61"/>
  <c r="H15" i="61"/>
  <c r="G15" i="61"/>
  <c r="D15" i="61"/>
  <c r="O14" i="61"/>
  <c r="K14" i="61"/>
  <c r="K13" i="61"/>
  <c r="J14" i="61"/>
  <c r="G14" i="61"/>
  <c r="F14" i="61"/>
  <c r="F13" i="61"/>
  <c r="E14" i="61"/>
  <c r="D14" i="61"/>
  <c r="C14" i="61"/>
  <c r="C13" i="61"/>
  <c r="L12" i="61"/>
  <c r="M12" i="61"/>
  <c r="G12" i="61"/>
  <c r="D12" i="61"/>
  <c r="H12" i="61"/>
  <c r="P12" i="61"/>
  <c r="H11" i="61"/>
  <c r="G11" i="61"/>
  <c r="O10" i="61"/>
  <c r="O8" i="61"/>
  <c r="O7" i="61"/>
  <c r="K10" i="61"/>
  <c r="J10" i="61"/>
  <c r="J8" i="61"/>
  <c r="G10" i="61"/>
  <c r="F10" i="61"/>
  <c r="E10" i="61"/>
  <c r="E8" i="61"/>
  <c r="C10" i="61"/>
  <c r="P9" i="61"/>
  <c r="H9" i="61"/>
  <c r="G9" i="61"/>
  <c r="F9" i="61"/>
  <c r="D9" i="61"/>
  <c r="K8" i="61"/>
  <c r="F8" i="61"/>
  <c r="F7" i="61"/>
  <c r="F41" i="61"/>
  <c r="C8" i="61"/>
  <c r="C7" i="61"/>
  <c r="A8" i="61"/>
  <c r="A9" i="61"/>
  <c r="A10" i="61"/>
  <c r="A11" i="61"/>
  <c r="A12" i="61"/>
  <c r="A13" i="61"/>
  <c r="A14" i="61"/>
  <c r="A15" i="61"/>
  <c r="A16" i="61"/>
  <c r="A17" i="61"/>
  <c r="A18" i="61"/>
  <c r="A19" i="61"/>
  <c r="A20" i="61"/>
  <c r="A21" i="61"/>
  <c r="A22" i="61"/>
  <c r="A23" i="61"/>
  <c r="A24" i="61"/>
  <c r="A25" i="61"/>
  <c r="A26" i="61"/>
  <c r="A27" i="61"/>
  <c r="A28" i="61"/>
  <c r="A29" i="61"/>
  <c r="A30" i="61"/>
  <c r="A31" i="61"/>
  <c r="A32" i="61"/>
  <c r="A33" i="61"/>
  <c r="A34" i="61"/>
  <c r="A35" i="61"/>
  <c r="A36" i="61"/>
  <c r="A37" i="61"/>
  <c r="A38" i="61"/>
  <c r="A39" i="61"/>
  <c r="A40" i="61"/>
  <c r="A41" i="61"/>
  <c r="L13" i="63"/>
  <c r="K7" i="63"/>
  <c r="K27" i="63"/>
  <c r="L16" i="63"/>
  <c r="L22" i="63"/>
  <c r="L21" i="63"/>
  <c r="L18" i="63"/>
  <c r="L17" i="63"/>
  <c r="P17" i="63"/>
  <c r="L25" i="63"/>
  <c r="L24" i="63"/>
  <c r="P8" i="63"/>
  <c r="P12" i="63"/>
  <c r="P11" i="63"/>
  <c r="H11" i="63"/>
  <c r="H7" i="63"/>
  <c r="H27" i="63"/>
  <c r="G12" i="63"/>
  <c r="H17" i="63"/>
  <c r="H18" i="63"/>
  <c r="P18" i="63"/>
  <c r="H22" i="63"/>
  <c r="P22" i="63"/>
  <c r="L14" i="63"/>
  <c r="H21" i="62"/>
  <c r="P21" i="62"/>
  <c r="P34" i="62"/>
  <c r="K34" i="62"/>
  <c r="L8" i="62"/>
  <c r="L7" i="62"/>
  <c r="F34" i="62"/>
  <c r="G28" i="62"/>
  <c r="L28" i="62"/>
  <c r="L31" i="62"/>
  <c r="G8" i="62"/>
  <c r="G7" i="62"/>
  <c r="G22" i="62"/>
  <c r="G26" i="62"/>
  <c r="H29" i="62"/>
  <c r="P29" i="62"/>
  <c r="L17" i="62"/>
  <c r="L30" i="62"/>
  <c r="L29" i="62"/>
  <c r="J7" i="61"/>
  <c r="J41" i="61"/>
  <c r="L18" i="61"/>
  <c r="K7" i="61"/>
  <c r="L9" i="61"/>
  <c r="G8" i="61"/>
  <c r="E7" i="61"/>
  <c r="E41" i="61"/>
  <c r="P28" i="61"/>
  <c r="L28" i="61"/>
  <c r="M28" i="61"/>
  <c r="P31" i="61"/>
  <c r="H30" i="61"/>
  <c r="P30" i="61"/>
  <c r="L31" i="61"/>
  <c r="L32" i="61"/>
  <c r="M32" i="61"/>
  <c r="L23" i="61"/>
  <c r="P35" i="61"/>
  <c r="P34" i="61"/>
  <c r="H34" i="61"/>
  <c r="M34" i="61"/>
  <c r="D37" i="61"/>
  <c r="P11" i="61"/>
  <c r="H10" i="61"/>
  <c r="P10" i="61"/>
  <c r="P8" i="61"/>
  <c r="L11" i="61"/>
  <c r="P15" i="61"/>
  <c r="L15" i="61"/>
  <c r="H14" i="61"/>
  <c r="P14" i="61"/>
  <c r="L38" i="61"/>
  <c r="L39" i="61"/>
  <c r="M39" i="61"/>
  <c r="H17" i="61"/>
  <c r="K21" i="61"/>
  <c r="L33" i="61"/>
  <c r="M33" i="61"/>
  <c r="G30" i="61"/>
  <c r="H37" i="61"/>
  <c r="H22" i="61"/>
  <c r="D27" i="61"/>
  <c r="D29" i="61"/>
  <c r="H29" i="61"/>
  <c r="P29" i="61"/>
  <c r="D30" i="61"/>
  <c r="D10" i="61"/>
  <c r="D8" i="61"/>
  <c r="D7" i="61"/>
  <c r="G17" i="61"/>
  <c r="G13" i="61"/>
  <c r="C26" i="61"/>
  <c r="G35" i="61"/>
  <c r="G34" i="61"/>
  <c r="G37" i="61"/>
  <c r="P7" i="63"/>
  <c r="P27" i="63"/>
  <c r="L12" i="63"/>
  <c r="L11" i="63"/>
  <c r="L7" i="63"/>
  <c r="L27" i="63"/>
  <c r="G11" i="63"/>
  <c r="G7" i="63"/>
  <c r="G27" i="63"/>
  <c r="H34" i="62"/>
  <c r="G34" i="62"/>
  <c r="L34" i="62"/>
  <c r="M11" i="61"/>
  <c r="M10" i="61"/>
  <c r="L10" i="61"/>
  <c r="K41" i="61"/>
  <c r="G26" i="61"/>
  <c r="C25" i="61"/>
  <c r="C21" i="61"/>
  <c r="C41" i="61"/>
  <c r="H8" i="61"/>
  <c r="H7" i="61"/>
  <c r="M15" i="61"/>
  <c r="M14" i="61"/>
  <c r="L14" i="61"/>
  <c r="L17" i="61"/>
  <c r="L13" i="61"/>
  <c r="M18" i="61"/>
  <c r="M17" i="61"/>
  <c r="M13" i="61"/>
  <c r="P22" i="61"/>
  <c r="L37" i="61"/>
  <c r="M38" i="61"/>
  <c r="M37" i="61"/>
  <c r="M9" i="61"/>
  <c r="L8" i="61"/>
  <c r="L7" i="61"/>
  <c r="L34" i="61"/>
  <c r="H13" i="61"/>
  <c r="P17" i="61"/>
  <c r="P13" i="61"/>
  <c r="P7" i="61"/>
  <c r="L30" i="61"/>
  <c r="M31" i="61"/>
  <c r="M30" i="61"/>
  <c r="D26" i="61"/>
  <c r="H27" i="61"/>
  <c r="M23" i="61"/>
  <c r="M22" i="61"/>
  <c r="L22" i="61"/>
  <c r="G7" i="61"/>
  <c r="P27" i="61"/>
  <c r="L27" i="61"/>
  <c r="M27" i="61"/>
  <c r="M8" i="61"/>
  <c r="M7" i="61"/>
  <c r="G25" i="61"/>
  <c r="G21" i="61"/>
  <c r="G41" i="61"/>
  <c r="D25" i="61"/>
  <c r="D21" i="61"/>
  <c r="D41" i="61"/>
  <c r="H26" i="61"/>
  <c r="P26" i="61"/>
  <c r="P25" i="61"/>
  <c r="P21" i="61"/>
  <c r="P41" i="61"/>
  <c r="H25" i="61"/>
  <c r="H21" i="61"/>
  <c r="H41" i="61"/>
  <c r="L26" i="61"/>
  <c r="M26" i="61"/>
  <c r="M25" i="61"/>
  <c r="M21" i="61"/>
  <c r="M41" i="61"/>
  <c r="L25" i="61"/>
  <c r="L21" i="61"/>
  <c r="L41" i="61"/>
  <c r="R8" i="60"/>
  <c r="R9" i="60"/>
  <c r="R10" i="60"/>
  <c r="R11" i="60"/>
  <c r="R12" i="60"/>
  <c r="R13" i="60"/>
  <c r="R15" i="60"/>
  <c r="R16" i="60"/>
  <c r="R17" i="60"/>
  <c r="R18" i="60"/>
  <c r="R19" i="60"/>
  <c r="R20" i="60"/>
  <c r="R21" i="60"/>
  <c r="R22" i="60"/>
  <c r="R23" i="60"/>
  <c r="R24" i="60"/>
  <c r="R25" i="60"/>
  <c r="R26" i="60"/>
  <c r="R27" i="60"/>
  <c r="R28" i="60"/>
  <c r="R29" i="60"/>
  <c r="R30" i="60"/>
  <c r="R31" i="60"/>
  <c r="R32" i="60"/>
  <c r="R33" i="60"/>
  <c r="R34" i="60"/>
  <c r="P38" i="60"/>
  <c r="H38" i="60"/>
  <c r="G38" i="60"/>
  <c r="L38" i="60"/>
  <c r="L37" i="60"/>
  <c r="L36" i="60"/>
  <c r="O37" i="60"/>
  <c r="M37" i="60"/>
  <c r="K37" i="60"/>
  <c r="J37" i="60"/>
  <c r="I37" i="60"/>
  <c r="H37" i="60"/>
  <c r="H36" i="60"/>
  <c r="G37" i="60"/>
  <c r="F37" i="60"/>
  <c r="E37" i="60"/>
  <c r="D37" i="60"/>
  <c r="D36" i="60"/>
  <c r="C37" i="60"/>
  <c r="O36" i="60"/>
  <c r="M36" i="60"/>
  <c r="K36" i="60"/>
  <c r="J36" i="60"/>
  <c r="I36" i="60"/>
  <c r="G36" i="60"/>
  <c r="F36" i="60"/>
  <c r="E36" i="60"/>
  <c r="C36" i="60"/>
  <c r="H35" i="60"/>
  <c r="P35" i="60"/>
  <c r="G35" i="60"/>
  <c r="L35" i="60"/>
  <c r="L34" i="60"/>
  <c r="L33" i="60"/>
  <c r="P34" i="60"/>
  <c r="O34" i="60"/>
  <c r="M34" i="60"/>
  <c r="M33" i="60"/>
  <c r="K34" i="60"/>
  <c r="J34" i="60"/>
  <c r="I34" i="60"/>
  <c r="I33" i="60"/>
  <c r="H34" i="60"/>
  <c r="F34" i="60"/>
  <c r="E34" i="60"/>
  <c r="E33" i="60"/>
  <c r="D34" i="60"/>
  <c r="C34" i="60"/>
  <c r="P33" i="60"/>
  <c r="O33" i="60"/>
  <c r="K33" i="60"/>
  <c r="J33" i="60"/>
  <c r="H33" i="60"/>
  <c r="F33" i="60"/>
  <c r="D33" i="60"/>
  <c r="C33" i="60"/>
  <c r="H32" i="60"/>
  <c r="P32" i="60"/>
  <c r="G32" i="60"/>
  <c r="L32" i="60"/>
  <c r="L31" i="60"/>
  <c r="O31" i="60"/>
  <c r="M31" i="60"/>
  <c r="K31" i="60"/>
  <c r="J31" i="60"/>
  <c r="I31" i="60"/>
  <c r="G31" i="60"/>
  <c r="F31" i="60"/>
  <c r="E31" i="60"/>
  <c r="D31" i="60"/>
  <c r="C31" i="60"/>
  <c r="H30" i="60"/>
  <c r="P30" i="60"/>
  <c r="G30" i="60"/>
  <c r="L30" i="60"/>
  <c r="L29" i="60"/>
  <c r="O29" i="60"/>
  <c r="M29" i="60"/>
  <c r="M22" i="60"/>
  <c r="K29" i="60"/>
  <c r="J29" i="60"/>
  <c r="I29" i="60"/>
  <c r="I22" i="60"/>
  <c r="H29" i="60"/>
  <c r="P29" i="60"/>
  <c r="F29" i="60"/>
  <c r="E29" i="60"/>
  <c r="E22" i="60"/>
  <c r="D29" i="60"/>
  <c r="C29" i="60"/>
  <c r="P28" i="60"/>
  <c r="P27" i="60"/>
  <c r="H28" i="60"/>
  <c r="G28" i="60"/>
  <c r="L28" i="60"/>
  <c r="L27" i="60"/>
  <c r="O27" i="60"/>
  <c r="M27" i="60"/>
  <c r="K27" i="60"/>
  <c r="J27" i="60"/>
  <c r="I27" i="60"/>
  <c r="H27" i="60"/>
  <c r="G27" i="60"/>
  <c r="F27" i="60"/>
  <c r="E27" i="60"/>
  <c r="D27" i="60"/>
  <c r="C27" i="60"/>
  <c r="L26" i="60"/>
  <c r="L25" i="60"/>
  <c r="H26" i="60"/>
  <c r="P26" i="60"/>
  <c r="P25" i="60"/>
  <c r="G26" i="60"/>
  <c r="O25" i="60"/>
  <c r="M25" i="60"/>
  <c r="K25" i="60"/>
  <c r="K22" i="60"/>
  <c r="J25" i="60"/>
  <c r="I25" i="60"/>
  <c r="H25" i="60"/>
  <c r="G25" i="60"/>
  <c r="F25" i="60"/>
  <c r="E25" i="60"/>
  <c r="D25" i="60"/>
  <c r="C25" i="60"/>
  <c r="C22" i="60"/>
  <c r="H24" i="60"/>
  <c r="P24" i="60"/>
  <c r="P23" i="60"/>
  <c r="G24" i="60"/>
  <c r="L24" i="60"/>
  <c r="L23" i="60"/>
  <c r="L22" i="60"/>
  <c r="O23" i="60"/>
  <c r="O22" i="60"/>
  <c r="M23" i="60"/>
  <c r="K23" i="60"/>
  <c r="J23" i="60"/>
  <c r="J22" i="60"/>
  <c r="I23" i="60"/>
  <c r="G23" i="60"/>
  <c r="F23" i="60"/>
  <c r="F22" i="60"/>
  <c r="E23" i="60"/>
  <c r="D23" i="60"/>
  <c r="C23" i="60"/>
  <c r="D22" i="60"/>
  <c r="P21" i="60"/>
  <c r="L21" i="60"/>
  <c r="H21" i="60"/>
  <c r="G21" i="60"/>
  <c r="O20" i="60"/>
  <c r="M20" i="60"/>
  <c r="K20" i="60"/>
  <c r="K12" i="60"/>
  <c r="J20" i="60"/>
  <c r="I20" i="60"/>
  <c r="G20" i="60"/>
  <c r="F20" i="60"/>
  <c r="E20" i="60"/>
  <c r="D20" i="60"/>
  <c r="C20" i="60"/>
  <c r="C12" i="60"/>
  <c r="H19" i="60"/>
  <c r="P19" i="60"/>
  <c r="G19" i="60"/>
  <c r="P18" i="60"/>
  <c r="L18" i="60"/>
  <c r="H18" i="60"/>
  <c r="G18" i="60"/>
  <c r="P17" i="60"/>
  <c r="P16" i="60"/>
  <c r="H17" i="60"/>
  <c r="G17" i="60"/>
  <c r="L17" i="60"/>
  <c r="L16" i="60"/>
  <c r="O16" i="60"/>
  <c r="M16" i="60"/>
  <c r="K16" i="60"/>
  <c r="J16" i="60"/>
  <c r="I16" i="60"/>
  <c r="H16" i="60"/>
  <c r="F16" i="60"/>
  <c r="E16" i="60"/>
  <c r="D16" i="60"/>
  <c r="C16" i="60"/>
  <c r="L15" i="60"/>
  <c r="L20" i="60"/>
  <c r="H15" i="60"/>
  <c r="H20" i="60"/>
  <c r="G15" i="60"/>
  <c r="P14" i="60"/>
  <c r="H14" i="60"/>
  <c r="G14" i="60"/>
  <c r="L14" i="60"/>
  <c r="L13" i="60"/>
  <c r="O13" i="60"/>
  <c r="M13" i="60"/>
  <c r="K13" i="60"/>
  <c r="J13" i="60"/>
  <c r="I13" i="60"/>
  <c r="H13" i="60"/>
  <c r="G13" i="60"/>
  <c r="F13" i="60"/>
  <c r="E13" i="60"/>
  <c r="D13" i="60"/>
  <c r="D12" i="60"/>
  <c r="D7" i="60"/>
  <c r="D39" i="60"/>
  <c r="C13" i="60"/>
  <c r="O12" i="60"/>
  <c r="O7" i="60"/>
  <c r="O39" i="60"/>
  <c r="M12" i="60"/>
  <c r="J12" i="60"/>
  <c r="J7" i="60"/>
  <c r="J39" i="60"/>
  <c r="I12" i="60"/>
  <c r="F12" i="60"/>
  <c r="F7" i="60"/>
  <c r="F39" i="60"/>
  <c r="E12" i="60"/>
  <c r="P11" i="60"/>
  <c r="H11" i="60"/>
  <c r="G11" i="60"/>
  <c r="L11" i="60"/>
  <c r="H10" i="60"/>
  <c r="P10" i="60"/>
  <c r="G10" i="60"/>
  <c r="L10" i="60"/>
  <c r="L9" i="60"/>
  <c r="H9" i="60"/>
  <c r="P9" i="60"/>
  <c r="P8" i="60"/>
  <c r="G9" i="60"/>
  <c r="O8" i="60"/>
  <c r="M8" i="60"/>
  <c r="K8" i="60"/>
  <c r="K7" i="60"/>
  <c r="K39" i="60"/>
  <c r="J8" i="60"/>
  <c r="I8" i="60"/>
  <c r="G8" i="60"/>
  <c r="F8" i="60"/>
  <c r="E8" i="60"/>
  <c r="D8" i="60"/>
  <c r="C8" i="60"/>
  <c r="C7" i="60"/>
  <c r="A8" i="60"/>
  <c r="A9" i="60"/>
  <c r="A10" i="60"/>
  <c r="A11" i="60"/>
  <c r="A12" i="60"/>
  <c r="A13" i="60"/>
  <c r="A14" i="60"/>
  <c r="A15" i="60"/>
  <c r="A16" i="60"/>
  <c r="A17" i="60"/>
  <c r="A18" i="60"/>
  <c r="A19" i="60"/>
  <c r="A20" i="60"/>
  <c r="A21" i="60"/>
  <c r="A22" i="60"/>
  <c r="A23" i="60"/>
  <c r="A24" i="60"/>
  <c r="A25" i="60"/>
  <c r="A26" i="60"/>
  <c r="A27" i="60"/>
  <c r="A28" i="60"/>
  <c r="A29" i="60"/>
  <c r="A30" i="60"/>
  <c r="A31" i="60"/>
  <c r="A32" i="60"/>
  <c r="A33" i="60"/>
  <c r="A34" i="60"/>
  <c r="A35" i="60"/>
  <c r="A36" i="60"/>
  <c r="A37" i="60"/>
  <c r="A38" i="60"/>
  <c r="A39" i="60"/>
  <c r="M7" i="60"/>
  <c r="I7" i="60"/>
  <c r="I39" i="60"/>
  <c r="E7" i="60"/>
  <c r="E39" i="60"/>
  <c r="C39" i="60"/>
  <c r="L8" i="60"/>
  <c r="H12" i="60"/>
  <c r="P13" i="60"/>
  <c r="P12" i="60"/>
  <c r="P7" i="60"/>
  <c r="P39" i="60"/>
  <c r="G22" i="60"/>
  <c r="M39" i="60"/>
  <c r="G16" i="60"/>
  <c r="G12" i="60"/>
  <c r="G7" i="60"/>
  <c r="G39" i="60"/>
  <c r="P37" i="60"/>
  <c r="P36" i="60"/>
  <c r="H8" i="60"/>
  <c r="P15" i="60"/>
  <c r="P20" i="60"/>
  <c r="L19" i="60"/>
  <c r="L12" i="60"/>
  <c r="H23" i="60"/>
  <c r="G29" i="60"/>
  <c r="H31" i="60"/>
  <c r="P31" i="60"/>
  <c r="P22" i="60"/>
  <c r="G34" i="60"/>
  <c r="G33" i="60"/>
  <c r="H22" i="60"/>
  <c r="L7" i="60"/>
  <c r="L39" i="60"/>
  <c r="H7" i="60"/>
  <c r="H39" i="60"/>
  <c r="R8" i="59"/>
  <c r="R9" i="59"/>
  <c r="R10" i="59"/>
  <c r="R11" i="59"/>
  <c r="R12" i="59"/>
  <c r="R13" i="59"/>
  <c r="R15" i="59"/>
  <c r="R16" i="59"/>
  <c r="R17" i="59"/>
  <c r="R18" i="59"/>
  <c r="R19" i="59"/>
  <c r="R20" i="59"/>
  <c r="R21" i="59"/>
  <c r="R22" i="59"/>
  <c r="R23" i="59"/>
  <c r="R24" i="59"/>
  <c r="R25" i="59"/>
  <c r="R26" i="59"/>
  <c r="R27" i="59"/>
  <c r="R28" i="59"/>
  <c r="R29" i="59"/>
  <c r="R30" i="59"/>
  <c r="R31" i="59"/>
  <c r="R32" i="59"/>
  <c r="R33" i="59"/>
  <c r="R34" i="59"/>
  <c r="P59" i="59"/>
  <c r="O59" i="59"/>
  <c r="M59" i="59"/>
  <c r="L59" i="59"/>
  <c r="K59" i="59"/>
  <c r="J59" i="59"/>
  <c r="I59" i="59"/>
  <c r="H59" i="59"/>
  <c r="G59" i="59"/>
  <c r="F59" i="59"/>
  <c r="E59" i="59"/>
  <c r="D59" i="59"/>
  <c r="C59" i="59"/>
  <c r="H57" i="59"/>
  <c r="P57" i="59"/>
  <c r="G57" i="59"/>
  <c r="L57" i="59"/>
  <c r="H56" i="59"/>
  <c r="P56" i="59"/>
  <c r="G56" i="59"/>
  <c r="L56" i="59"/>
  <c r="H55" i="59"/>
  <c r="P55" i="59"/>
  <c r="G55" i="59"/>
  <c r="L55" i="59"/>
  <c r="H54" i="59"/>
  <c r="P54" i="59"/>
  <c r="G54" i="59"/>
  <c r="L54" i="59"/>
  <c r="H53" i="59"/>
  <c r="P53" i="59"/>
  <c r="G53" i="59"/>
  <c r="L53" i="59"/>
  <c r="H52" i="59"/>
  <c r="P52" i="59"/>
  <c r="G52" i="59"/>
  <c r="L52" i="59"/>
  <c r="H51" i="59"/>
  <c r="P51" i="59"/>
  <c r="G51" i="59"/>
  <c r="L51" i="59"/>
  <c r="H50" i="59"/>
  <c r="P50" i="59"/>
  <c r="G50" i="59"/>
  <c r="L50" i="59"/>
  <c r="H49" i="59"/>
  <c r="H48" i="59"/>
  <c r="G49" i="59"/>
  <c r="L49" i="59"/>
  <c r="O48" i="59"/>
  <c r="M48" i="59"/>
  <c r="K48" i="59"/>
  <c r="J48" i="59"/>
  <c r="I48" i="59"/>
  <c r="G48" i="59"/>
  <c r="F48" i="59"/>
  <c r="E48" i="59"/>
  <c r="D48" i="59"/>
  <c r="C48" i="59"/>
  <c r="L47" i="59"/>
  <c r="H47" i="59"/>
  <c r="P47" i="59"/>
  <c r="G47" i="59"/>
  <c r="L46" i="59"/>
  <c r="H46" i="59"/>
  <c r="P46" i="59"/>
  <c r="G46" i="59"/>
  <c r="P45" i="59"/>
  <c r="L45" i="59"/>
  <c r="H45" i="59"/>
  <c r="G45" i="59"/>
  <c r="P44" i="59"/>
  <c r="L44" i="59"/>
  <c r="H44" i="59"/>
  <c r="G44" i="59"/>
  <c r="P43" i="59"/>
  <c r="L43" i="59"/>
  <c r="H43" i="59"/>
  <c r="G43" i="59"/>
  <c r="G42" i="59"/>
  <c r="L42" i="59"/>
  <c r="M42" i="59"/>
  <c r="M31" i="59"/>
  <c r="K42" i="59"/>
  <c r="J42" i="59"/>
  <c r="H42" i="59"/>
  <c r="P42" i="59"/>
  <c r="F42" i="59"/>
  <c r="E42" i="59"/>
  <c r="D42" i="59"/>
  <c r="D31" i="59"/>
  <c r="C42" i="59"/>
  <c r="H41" i="59"/>
  <c r="P41" i="59"/>
  <c r="G41" i="59"/>
  <c r="H40" i="59"/>
  <c r="P40" i="59"/>
  <c r="G40" i="59"/>
  <c r="H39" i="59"/>
  <c r="P39" i="59"/>
  <c r="G39" i="59"/>
  <c r="M38" i="59"/>
  <c r="K38" i="59"/>
  <c r="J38" i="59"/>
  <c r="G38" i="59"/>
  <c r="F38" i="59"/>
  <c r="E38" i="59"/>
  <c r="D38" i="59"/>
  <c r="C38" i="59"/>
  <c r="C31" i="59"/>
  <c r="H37" i="59"/>
  <c r="P37" i="59"/>
  <c r="G37" i="59"/>
  <c r="L37" i="59"/>
  <c r="H36" i="59"/>
  <c r="P36" i="59"/>
  <c r="G36" i="59"/>
  <c r="L36" i="59"/>
  <c r="H35" i="59"/>
  <c r="P35" i="59"/>
  <c r="G35" i="59"/>
  <c r="L35" i="59"/>
  <c r="H34" i="59"/>
  <c r="P34" i="59"/>
  <c r="G34" i="59"/>
  <c r="L34" i="59"/>
  <c r="O33" i="59"/>
  <c r="K33" i="59"/>
  <c r="H33" i="59"/>
  <c r="P33" i="59"/>
  <c r="F33" i="59"/>
  <c r="E33" i="59"/>
  <c r="E31" i="59"/>
  <c r="D33" i="59"/>
  <c r="C33" i="59"/>
  <c r="L32" i="59"/>
  <c r="H32" i="59"/>
  <c r="P32" i="59"/>
  <c r="G32" i="59"/>
  <c r="O31" i="59"/>
  <c r="K31" i="59"/>
  <c r="J31" i="59"/>
  <c r="F31" i="59"/>
  <c r="A31" i="59"/>
  <c r="A32" i="59"/>
  <c r="P30" i="59"/>
  <c r="H30" i="59"/>
  <c r="G30" i="59"/>
  <c r="L30" i="59"/>
  <c r="A30" i="59"/>
  <c r="J29" i="59"/>
  <c r="H29" i="59"/>
  <c r="P29" i="59"/>
  <c r="G29" i="59"/>
  <c r="L29" i="59"/>
  <c r="A29" i="59"/>
  <c r="P28" i="59"/>
  <c r="H28" i="59"/>
  <c r="L28" i="59"/>
  <c r="G28" i="59"/>
  <c r="P27" i="59"/>
  <c r="H27" i="59"/>
  <c r="L27" i="59"/>
  <c r="G27" i="59"/>
  <c r="P26" i="59"/>
  <c r="H26" i="59"/>
  <c r="L26" i="59"/>
  <c r="G26" i="59"/>
  <c r="P25" i="59"/>
  <c r="H25" i="59"/>
  <c r="L25" i="59"/>
  <c r="G25" i="59"/>
  <c r="P24" i="59"/>
  <c r="H24" i="59"/>
  <c r="L24" i="59"/>
  <c r="G24" i="59"/>
  <c r="P23" i="59"/>
  <c r="H23" i="59"/>
  <c r="L23" i="59"/>
  <c r="G23" i="59"/>
  <c r="P22" i="59"/>
  <c r="H22" i="59"/>
  <c r="G22" i="59"/>
  <c r="L22" i="59"/>
  <c r="P21" i="59"/>
  <c r="H21" i="59"/>
  <c r="G21" i="59"/>
  <c r="L21" i="59"/>
  <c r="K20" i="59"/>
  <c r="J20" i="59"/>
  <c r="F20" i="59"/>
  <c r="E20" i="59"/>
  <c r="D20" i="59"/>
  <c r="H20" i="59"/>
  <c r="P20" i="59"/>
  <c r="C20" i="59"/>
  <c r="G20" i="59"/>
  <c r="L20" i="59"/>
  <c r="A20" i="59"/>
  <c r="L19" i="59"/>
  <c r="H19" i="59"/>
  <c r="P19" i="59"/>
  <c r="G19" i="59"/>
  <c r="H18" i="59"/>
  <c r="P18" i="59"/>
  <c r="G18" i="59"/>
  <c r="H17" i="59"/>
  <c r="P17" i="59"/>
  <c r="G17" i="59"/>
  <c r="L17" i="59"/>
  <c r="L16" i="59"/>
  <c r="L15" i="59"/>
  <c r="O16" i="59"/>
  <c r="K16" i="59"/>
  <c r="J16" i="59"/>
  <c r="G16" i="59"/>
  <c r="G15" i="59"/>
  <c r="F16" i="59"/>
  <c r="E16" i="59"/>
  <c r="D16" i="59"/>
  <c r="H16" i="59"/>
  <c r="C16" i="59"/>
  <c r="C15" i="59"/>
  <c r="C14" i="59"/>
  <c r="O15" i="59"/>
  <c r="M15" i="59"/>
  <c r="K15" i="59"/>
  <c r="J15" i="59"/>
  <c r="I15" i="59"/>
  <c r="F15" i="59"/>
  <c r="E15" i="59"/>
  <c r="D15" i="59"/>
  <c r="D14" i="59"/>
  <c r="O14" i="59"/>
  <c r="O7" i="59"/>
  <c r="O61" i="59"/>
  <c r="M14" i="59"/>
  <c r="K14" i="59"/>
  <c r="J14" i="59"/>
  <c r="J7" i="59"/>
  <c r="J61" i="59"/>
  <c r="I14" i="59"/>
  <c r="F14" i="59"/>
  <c r="F7" i="59"/>
  <c r="F61" i="59"/>
  <c r="E14" i="59"/>
  <c r="A14" i="59"/>
  <c r="A15" i="59"/>
  <c r="P13" i="59"/>
  <c r="H13" i="59"/>
  <c r="G13" i="59"/>
  <c r="L13" i="59"/>
  <c r="H12" i="59"/>
  <c r="P12" i="59"/>
  <c r="G12" i="59"/>
  <c r="L12" i="59"/>
  <c r="H11" i="59"/>
  <c r="P11" i="59"/>
  <c r="G11" i="59"/>
  <c r="L11" i="59"/>
  <c r="G10" i="59"/>
  <c r="L10" i="59"/>
  <c r="D10" i="59"/>
  <c r="H10" i="59"/>
  <c r="P10" i="59"/>
  <c r="C10" i="59"/>
  <c r="P9" i="59"/>
  <c r="P8" i="59"/>
  <c r="H9" i="59"/>
  <c r="G9" i="59"/>
  <c r="L9" i="59"/>
  <c r="A9" i="59"/>
  <c r="A10" i="59"/>
  <c r="O8" i="59"/>
  <c r="M8" i="59"/>
  <c r="K8" i="59"/>
  <c r="J8" i="59"/>
  <c r="F8" i="59"/>
  <c r="E8" i="59"/>
  <c r="D8" i="59"/>
  <c r="H8" i="59"/>
  <c r="C8" i="59"/>
  <c r="G8" i="59"/>
  <c r="A8" i="59"/>
  <c r="M7" i="59"/>
  <c r="K7" i="59"/>
  <c r="K61" i="59"/>
  <c r="E7" i="59"/>
  <c r="E61" i="59"/>
  <c r="R8" i="58"/>
  <c r="R9" i="58"/>
  <c r="R10" i="58"/>
  <c r="R11" i="58"/>
  <c r="R12" i="58"/>
  <c r="R13" i="58"/>
  <c r="R15" i="58"/>
  <c r="R16" i="58"/>
  <c r="R17" i="58"/>
  <c r="R18" i="58"/>
  <c r="R19" i="58"/>
  <c r="R20" i="58"/>
  <c r="R21" i="58"/>
  <c r="R22" i="58"/>
  <c r="R23" i="58"/>
  <c r="R24" i="58"/>
  <c r="R25" i="58"/>
  <c r="R26" i="58"/>
  <c r="R27" i="58"/>
  <c r="R28" i="58"/>
  <c r="R29" i="58"/>
  <c r="R30" i="58"/>
  <c r="R31" i="58"/>
  <c r="R32" i="58"/>
  <c r="R33" i="58"/>
  <c r="R34" i="58"/>
  <c r="D45" i="58"/>
  <c r="P44" i="58"/>
  <c r="D44" i="58"/>
  <c r="C44" i="58"/>
  <c r="P43" i="58"/>
  <c r="L43" i="58"/>
  <c r="H43" i="58"/>
  <c r="G43" i="58"/>
  <c r="P42" i="58"/>
  <c r="H42" i="58"/>
  <c r="G42" i="58"/>
  <c r="L42" i="58"/>
  <c r="O41" i="58"/>
  <c r="M41" i="58"/>
  <c r="L41" i="58"/>
  <c r="L40" i="58"/>
  <c r="K41" i="58"/>
  <c r="K40" i="58"/>
  <c r="J41" i="58"/>
  <c r="H41" i="58"/>
  <c r="P41" i="58"/>
  <c r="G41" i="58"/>
  <c r="G40" i="58"/>
  <c r="G45" i="58"/>
  <c r="F41" i="58"/>
  <c r="F40" i="58"/>
  <c r="E41" i="58"/>
  <c r="D41" i="58"/>
  <c r="C41" i="58"/>
  <c r="C40" i="58"/>
  <c r="O40" i="58"/>
  <c r="M40" i="58"/>
  <c r="J40" i="58"/>
  <c r="H40" i="58"/>
  <c r="P40" i="58"/>
  <c r="P45" i="58"/>
  <c r="E40" i="58"/>
  <c r="D40" i="58"/>
  <c r="P39" i="58"/>
  <c r="L39" i="58"/>
  <c r="L38" i="58"/>
  <c r="L37" i="58"/>
  <c r="H39" i="58"/>
  <c r="G39" i="58"/>
  <c r="P38" i="58"/>
  <c r="P37" i="58"/>
  <c r="O38" i="58"/>
  <c r="M38" i="58"/>
  <c r="K38" i="58"/>
  <c r="K37" i="58"/>
  <c r="J38" i="58"/>
  <c r="I38" i="58"/>
  <c r="H38" i="58"/>
  <c r="G38" i="58"/>
  <c r="F38" i="58"/>
  <c r="E38" i="58"/>
  <c r="D38" i="58"/>
  <c r="D37" i="58"/>
  <c r="H37" i="58"/>
  <c r="C38" i="58"/>
  <c r="C37" i="58"/>
  <c r="G37" i="58"/>
  <c r="O37" i="58"/>
  <c r="M37" i="58"/>
  <c r="J37" i="58"/>
  <c r="I37" i="58"/>
  <c r="F37" i="58"/>
  <c r="E37" i="58"/>
  <c r="P36" i="58"/>
  <c r="H36" i="58"/>
  <c r="G36" i="58"/>
  <c r="L36" i="58"/>
  <c r="H35" i="58"/>
  <c r="P35" i="58"/>
  <c r="G35" i="58"/>
  <c r="L35" i="58"/>
  <c r="H34" i="58"/>
  <c r="G34" i="58"/>
  <c r="P33" i="58"/>
  <c r="L33" i="58"/>
  <c r="H33" i="58"/>
  <c r="G33" i="58"/>
  <c r="P32" i="58"/>
  <c r="H32" i="58"/>
  <c r="G32" i="58"/>
  <c r="L32" i="58"/>
  <c r="H31" i="58"/>
  <c r="P31" i="58"/>
  <c r="G31" i="58"/>
  <c r="L31" i="58"/>
  <c r="H30" i="58"/>
  <c r="G30" i="58"/>
  <c r="P29" i="58"/>
  <c r="L29" i="58"/>
  <c r="H29" i="58"/>
  <c r="G29" i="58"/>
  <c r="O28" i="58"/>
  <c r="M28" i="58"/>
  <c r="K28" i="58"/>
  <c r="J28" i="58"/>
  <c r="I28" i="58"/>
  <c r="F28" i="58"/>
  <c r="E28" i="58"/>
  <c r="D28" i="58"/>
  <c r="C28" i="58"/>
  <c r="H27" i="58"/>
  <c r="G27" i="58"/>
  <c r="P26" i="58"/>
  <c r="L26" i="58"/>
  <c r="H26" i="58"/>
  <c r="G26" i="58"/>
  <c r="P25" i="58"/>
  <c r="H25" i="58"/>
  <c r="G25" i="58"/>
  <c r="L25" i="58"/>
  <c r="H24" i="58"/>
  <c r="P24" i="58"/>
  <c r="G24" i="58"/>
  <c r="L24" i="58"/>
  <c r="H23" i="58"/>
  <c r="G23" i="58"/>
  <c r="P22" i="58"/>
  <c r="L22" i="58"/>
  <c r="H22" i="58"/>
  <c r="G22" i="58"/>
  <c r="O21" i="58"/>
  <c r="M21" i="58"/>
  <c r="K21" i="58"/>
  <c r="J21" i="58"/>
  <c r="I21" i="58"/>
  <c r="G21" i="58"/>
  <c r="F21" i="58"/>
  <c r="E21" i="58"/>
  <c r="D21" i="58"/>
  <c r="C21" i="58"/>
  <c r="H20" i="58"/>
  <c r="G20" i="58"/>
  <c r="P19" i="58"/>
  <c r="L19" i="58"/>
  <c r="H19" i="58"/>
  <c r="G19" i="58"/>
  <c r="P18" i="58"/>
  <c r="P17" i="58"/>
  <c r="H18" i="58"/>
  <c r="G18" i="58"/>
  <c r="L18" i="58"/>
  <c r="L17" i="58"/>
  <c r="O17" i="58"/>
  <c r="M17" i="58"/>
  <c r="M16" i="58"/>
  <c r="M15" i="58"/>
  <c r="M7" i="58"/>
  <c r="M45" i="58"/>
  <c r="K17" i="58"/>
  <c r="J17" i="58"/>
  <c r="I17" i="58"/>
  <c r="I16" i="58"/>
  <c r="H17" i="58"/>
  <c r="H16" i="58"/>
  <c r="F17" i="58"/>
  <c r="E17" i="58"/>
  <c r="E16" i="58"/>
  <c r="E15" i="58"/>
  <c r="D17" i="58"/>
  <c r="D16" i="58"/>
  <c r="D15" i="58"/>
  <c r="C17" i="58"/>
  <c r="O16" i="58"/>
  <c r="O15" i="58"/>
  <c r="K16" i="58"/>
  <c r="J16" i="58"/>
  <c r="J15" i="58"/>
  <c r="F16" i="58"/>
  <c r="F15" i="58"/>
  <c r="C16" i="58"/>
  <c r="C15" i="58"/>
  <c r="C7" i="58"/>
  <c r="C45" i="58"/>
  <c r="H14" i="58"/>
  <c r="G14" i="58"/>
  <c r="L13" i="58"/>
  <c r="G13" i="58"/>
  <c r="D13" i="58"/>
  <c r="H13" i="58"/>
  <c r="P13" i="58"/>
  <c r="H12" i="58"/>
  <c r="P12" i="58"/>
  <c r="G12" i="58"/>
  <c r="L12" i="58"/>
  <c r="H11" i="58"/>
  <c r="G11" i="58"/>
  <c r="D11" i="58"/>
  <c r="O10" i="58"/>
  <c r="M10" i="58"/>
  <c r="K10" i="58"/>
  <c r="K8" i="58"/>
  <c r="J10" i="58"/>
  <c r="I10" i="58"/>
  <c r="F10" i="58"/>
  <c r="E10" i="58"/>
  <c r="D10" i="58"/>
  <c r="D8" i="58"/>
  <c r="D7" i="58"/>
  <c r="C10" i="58"/>
  <c r="C8" i="58"/>
  <c r="H9" i="58"/>
  <c r="G9" i="58"/>
  <c r="O8" i="58"/>
  <c r="M8" i="58"/>
  <c r="J8" i="58"/>
  <c r="J7" i="58"/>
  <c r="J45" i="58"/>
  <c r="I8" i="58"/>
  <c r="F8" i="58"/>
  <c r="E8" i="58"/>
  <c r="E7" i="58"/>
  <c r="E45" i="58"/>
  <c r="A8" i="58"/>
  <c r="A9" i="58"/>
  <c r="A10" i="58"/>
  <c r="A11" i="58"/>
  <c r="A12" i="58"/>
  <c r="A13" i="58"/>
  <c r="A14" i="58"/>
  <c r="A15" i="58"/>
  <c r="A16" i="58"/>
  <c r="A17" i="58"/>
  <c r="A18" i="58"/>
  <c r="A19" i="58"/>
  <c r="A20" i="58"/>
  <c r="A21" i="58"/>
  <c r="A22" i="58"/>
  <c r="A23" i="58"/>
  <c r="A24" i="58"/>
  <c r="A25" i="58"/>
  <c r="A26" i="58"/>
  <c r="A27" i="58"/>
  <c r="A28" i="58"/>
  <c r="A29" i="58"/>
  <c r="A30" i="58"/>
  <c r="A31" i="58"/>
  <c r="A32" i="58"/>
  <c r="A33" i="58"/>
  <c r="A34" i="58"/>
  <c r="A35" i="58"/>
  <c r="A36" i="58"/>
  <c r="A37" i="58"/>
  <c r="A38" i="58"/>
  <c r="A39" i="58"/>
  <c r="A40" i="58"/>
  <c r="A41" i="58"/>
  <c r="A42" i="58"/>
  <c r="A43" i="58"/>
  <c r="A44" i="58"/>
  <c r="A45" i="58"/>
  <c r="R8" i="57"/>
  <c r="R9" i="57"/>
  <c r="R10" i="57"/>
  <c r="R11" i="57"/>
  <c r="R12" i="57"/>
  <c r="R13" i="57"/>
  <c r="R15" i="57"/>
  <c r="R16" i="57"/>
  <c r="R17" i="57"/>
  <c r="R18" i="57"/>
  <c r="R19" i="57"/>
  <c r="R20" i="57"/>
  <c r="R21" i="57"/>
  <c r="R22" i="57"/>
  <c r="R23" i="57"/>
  <c r="R24" i="57"/>
  <c r="R25" i="57"/>
  <c r="R26" i="57"/>
  <c r="R27" i="57"/>
  <c r="R28" i="57"/>
  <c r="R29" i="57"/>
  <c r="R30" i="57"/>
  <c r="R31" i="57"/>
  <c r="R32" i="57"/>
  <c r="R33" i="57"/>
  <c r="R34" i="57"/>
  <c r="H35" i="57"/>
  <c r="H34" i="57"/>
  <c r="H33" i="57"/>
  <c r="G35" i="57"/>
  <c r="G34" i="57"/>
  <c r="G33" i="57"/>
  <c r="O34" i="57"/>
  <c r="O33" i="57"/>
  <c r="K34" i="57"/>
  <c r="K33" i="57"/>
  <c r="J34" i="57"/>
  <c r="J33" i="57"/>
  <c r="I34" i="57"/>
  <c r="I33" i="57"/>
  <c r="F34" i="57"/>
  <c r="E34" i="57"/>
  <c r="E33" i="57"/>
  <c r="D34" i="57"/>
  <c r="D33" i="57"/>
  <c r="C34" i="57"/>
  <c r="C33" i="57"/>
  <c r="F33" i="57"/>
  <c r="H32" i="57"/>
  <c r="P32" i="57"/>
  <c r="G32" i="57"/>
  <c r="O31" i="57"/>
  <c r="O30" i="57"/>
  <c r="K31" i="57"/>
  <c r="K30" i="57"/>
  <c r="J31" i="57"/>
  <c r="J30" i="57"/>
  <c r="F31" i="57"/>
  <c r="F30" i="57"/>
  <c r="E31" i="57"/>
  <c r="E30" i="57"/>
  <c r="D31" i="57"/>
  <c r="D30" i="57"/>
  <c r="C31" i="57"/>
  <c r="C30" i="57"/>
  <c r="G29" i="57"/>
  <c r="G28" i="57"/>
  <c r="D28" i="57"/>
  <c r="D29" i="57"/>
  <c r="H29" i="57"/>
  <c r="P29" i="57"/>
  <c r="O27" i="57"/>
  <c r="K27" i="57"/>
  <c r="J27" i="57"/>
  <c r="I27" i="57"/>
  <c r="F27" i="57"/>
  <c r="E27" i="57"/>
  <c r="C27" i="57"/>
  <c r="G26" i="57"/>
  <c r="G25" i="57"/>
  <c r="D26" i="57"/>
  <c r="H26" i="57"/>
  <c r="O25" i="57"/>
  <c r="J25" i="57"/>
  <c r="I25" i="57"/>
  <c r="F25" i="57"/>
  <c r="E25" i="57"/>
  <c r="C25" i="57"/>
  <c r="H24" i="57"/>
  <c r="P24" i="57"/>
  <c r="P23" i="57"/>
  <c r="G24" i="57"/>
  <c r="G23" i="57"/>
  <c r="O23" i="57"/>
  <c r="K23" i="57"/>
  <c r="J23" i="57"/>
  <c r="I23" i="57"/>
  <c r="F23" i="57"/>
  <c r="E23" i="57"/>
  <c r="D23" i="57"/>
  <c r="C23" i="57"/>
  <c r="H21" i="57"/>
  <c r="P21" i="57"/>
  <c r="G21" i="57"/>
  <c r="H20" i="57"/>
  <c r="P20" i="57"/>
  <c r="G20" i="57"/>
  <c r="L20" i="57"/>
  <c r="G19" i="57"/>
  <c r="D19" i="57"/>
  <c r="H19" i="57"/>
  <c r="G18" i="57"/>
  <c r="D18" i="57"/>
  <c r="H18" i="57"/>
  <c r="P18" i="57"/>
  <c r="G17" i="57"/>
  <c r="D17" i="57"/>
  <c r="H17" i="57"/>
  <c r="O16" i="57"/>
  <c r="O12" i="57"/>
  <c r="K16" i="57"/>
  <c r="J16" i="57"/>
  <c r="J12" i="57"/>
  <c r="I16" i="57"/>
  <c r="I12" i="57"/>
  <c r="F16" i="57"/>
  <c r="F12" i="57"/>
  <c r="E16" i="57"/>
  <c r="E12" i="57"/>
  <c r="C16" i="57"/>
  <c r="C12" i="57"/>
  <c r="H15" i="57"/>
  <c r="P15" i="57"/>
  <c r="G15" i="57"/>
  <c r="H14" i="57"/>
  <c r="P14" i="57"/>
  <c r="G14" i="57"/>
  <c r="H13" i="57"/>
  <c r="P13" i="57"/>
  <c r="G13" i="57"/>
  <c r="K12" i="57"/>
  <c r="G11" i="57"/>
  <c r="D11" i="57"/>
  <c r="H11" i="57"/>
  <c r="P11" i="57"/>
  <c r="H10" i="57"/>
  <c r="G10" i="57"/>
  <c r="G9" i="57"/>
  <c r="F9" i="57"/>
  <c r="F8" i="57"/>
  <c r="D9" i="57"/>
  <c r="O8" i="57"/>
  <c r="K8" i="57"/>
  <c r="J8" i="57"/>
  <c r="I8" i="57"/>
  <c r="E8" i="57"/>
  <c r="C8" i="57"/>
  <c r="A8" i="57"/>
  <c r="A9" i="57"/>
  <c r="A10" i="57"/>
  <c r="A11" i="57"/>
  <c r="A12" i="57"/>
  <c r="A13" i="57"/>
  <c r="A15" i="57"/>
  <c r="A16" i="57"/>
  <c r="A17" i="57"/>
  <c r="A18" i="57"/>
  <c r="A19" i="57"/>
  <c r="A20" i="57"/>
  <c r="A21" i="57"/>
  <c r="A22" i="57"/>
  <c r="A23" i="57"/>
  <c r="A24" i="57"/>
  <c r="A25" i="57"/>
  <c r="A26" i="57"/>
  <c r="M61" i="59"/>
  <c r="H14" i="59"/>
  <c r="P14" i="59"/>
  <c r="P7" i="59"/>
  <c r="D7" i="59"/>
  <c r="D61" i="59"/>
  <c r="C7" i="59"/>
  <c r="C61" i="59"/>
  <c r="G14" i="59"/>
  <c r="L14" i="59"/>
  <c r="G7" i="59"/>
  <c r="L8" i="59"/>
  <c r="H15" i="59"/>
  <c r="P15" i="59"/>
  <c r="P16" i="59"/>
  <c r="L38" i="59"/>
  <c r="L48" i="59"/>
  <c r="H38" i="59"/>
  <c r="L39" i="59"/>
  <c r="L40" i="59"/>
  <c r="L41" i="59"/>
  <c r="G33" i="59"/>
  <c r="G31" i="59"/>
  <c r="P49" i="59"/>
  <c r="P48" i="59"/>
  <c r="G15" i="58"/>
  <c r="F7" i="58"/>
  <c r="F45" i="58"/>
  <c r="O7" i="58"/>
  <c r="O45" i="58"/>
  <c r="P11" i="58"/>
  <c r="P10" i="58"/>
  <c r="L11" i="58"/>
  <c r="L10" i="58"/>
  <c r="H10" i="58"/>
  <c r="P14" i="58"/>
  <c r="L14" i="58"/>
  <c r="K15" i="58"/>
  <c r="K7" i="58"/>
  <c r="K45" i="58"/>
  <c r="G28" i="58"/>
  <c r="P30" i="58"/>
  <c r="L30" i="58"/>
  <c r="H28" i="58"/>
  <c r="P28" i="58"/>
  <c r="P34" i="58"/>
  <c r="L34" i="58"/>
  <c r="L28" i="58"/>
  <c r="P9" i="58"/>
  <c r="H8" i="58"/>
  <c r="L9" i="58"/>
  <c r="L8" i="58"/>
  <c r="P20" i="58"/>
  <c r="P16" i="58"/>
  <c r="L20" i="58"/>
  <c r="L16" i="58"/>
  <c r="G10" i="58"/>
  <c r="G8" i="58"/>
  <c r="H15" i="58"/>
  <c r="P15" i="58"/>
  <c r="P23" i="58"/>
  <c r="P21" i="58"/>
  <c r="L23" i="58"/>
  <c r="L21" i="58"/>
  <c r="H21" i="58"/>
  <c r="P27" i="58"/>
  <c r="L27" i="58"/>
  <c r="G17" i="58"/>
  <c r="G16" i="58"/>
  <c r="K7" i="57"/>
  <c r="C22" i="57"/>
  <c r="D8" i="57"/>
  <c r="F7" i="57"/>
  <c r="G16" i="57"/>
  <c r="G12" i="57"/>
  <c r="F22" i="57"/>
  <c r="F36" i="57"/>
  <c r="K22" i="57"/>
  <c r="H28" i="57"/>
  <c r="P28" i="57"/>
  <c r="P27" i="57"/>
  <c r="L15" i="57"/>
  <c r="H31" i="57"/>
  <c r="P31" i="57"/>
  <c r="L32" i="57"/>
  <c r="L31" i="57"/>
  <c r="I7" i="57"/>
  <c r="D16" i="57"/>
  <c r="D12" i="57"/>
  <c r="D7" i="57"/>
  <c r="L24" i="57"/>
  <c r="L23" i="57"/>
  <c r="H23" i="57"/>
  <c r="H30" i="57"/>
  <c r="P30" i="57"/>
  <c r="D25" i="57"/>
  <c r="E22" i="57"/>
  <c r="G30" i="57"/>
  <c r="O7" i="57"/>
  <c r="L18" i="57"/>
  <c r="L29" i="57"/>
  <c r="G31" i="57"/>
  <c r="C7" i="57"/>
  <c r="H9" i="57"/>
  <c r="P9" i="57"/>
  <c r="L10" i="57"/>
  <c r="L28" i="57"/>
  <c r="L35" i="57"/>
  <c r="L34" i="57"/>
  <c r="L33" i="57"/>
  <c r="E7" i="57"/>
  <c r="G8" i="57"/>
  <c r="L14" i="57"/>
  <c r="I22" i="57"/>
  <c r="P35" i="57"/>
  <c r="P34" i="57"/>
  <c r="P33" i="57"/>
  <c r="P10" i="57"/>
  <c r="O22" i="57"/>
  <c r="L17" i="57"/>
  <c r="L11" i="57"/>
  <c r="L13" i="57"/>
  <c r="L21" i="57"/>
  <c r="J22" i="57"/>
  <c r="G27" i="57"/>
  <c r="G22" i="57"/>
  <c r="P19" i="57"/>
  <c r="L19" i="57"/>
  <c r="J7" i="57"/>
  <c r="P17" i="57"/>
  <c r="P16" i="57"/>
  <c r="H16" i="57"/>
  <c r="H12" i="57"/>
  <c r="H25" i="57"/>
  <c r="P26" i="57"/>
  <c r="P25" i="57"/>
  <c r="A28" i="57"/>
  <c r="A27" i="57"/>
  <c r="A29" i="57"/>
  <c r="A30" i="57"/>
  <c r="A31" i="57"/>
  <c r="A32" i="57"/>
  <c r="A33" i="57"/>
  <c r="A34" i="57"/>
  <c r="A35" i="57"/>
  <c r="A36" i="57"/>
  <c r="L26" i="57"/>
  <c r="L25" i="57"/>
  <c r="D27" i="57"/>
  <c r="H27" i="57"/>
  <c r="G61" i="59"/>
  <c r="L31" i="59"/>
  <c r="L61" i="59"/>
  <c r="P38" i="59"/>
  <c r="H31" i="59"/>
  <c r="P31" i="59"/>
  <c r="P61" i="59"/>
  <c r="H7" i="59"/>
  <c r="H61" i="59"/>
  <c r="L15" i="58"/>
  <c r="H7" i="58"/>
  <c r="H45" i="58"/>
  <c r="L7" i="58"/>
  <c r="L45" i="58"/>
  <c r="G7" i="58"/>
  <c r="P8" i="58"/>
  <c r="P7" i="58"/>
  <c r="D22" i="57"/>
  <c r="D36" i="57"/>
  <c r="C36" i="57"/>
  <c r="K36" i="57"/>
  <c r="E36" i="57"/>
  <c r="G7" i="57"/>
  <c r="G36" i="57"/>
  <c r="L30" i="57"/>
  <c r="P22" i="57"/>
  <c r="L27" i="57"/>
  <c r="L22" i="57"/>
  <c r="I36" i="57"/>
  <c r="P12" i="57"/>
  <c r="H8" i="57"/>
  <c r="H7" i="57"/>
  <c r="L9" i="57"/>
  <c r="L8" i="57"/>
  <c r="L16" i="57"/>
  <c r="L12" i="57"/>
  <c r="J36" i="57"/>
  <c r="O36" i="57"/>
  <c r="P8" i="57"/>
  <c r="H22" i="57"/>
  <c r="P7" i="57"/>
  <c r="P36" i="57"/>
  <c r="L7" i="57"/>
  <c r="L36" i="57"/>
  <c r="H36" i="57"/>
  <c r="R8" i="56"/>
  <c r="R9" i="56"/>
  <c r="R10" i="56"/>
  <c r="R11" i="56"/>
  <c r="R12" i="56"/>
  <c r="R13" i="56"/>
  <c r="R15" i="56"/>
  <c r="R16" i="56"/>
  <c r="R17" i="56"/>
  <c r="R18" i="56"/>
  <c r="R19" i="56"/>
  <c r="R20" i="56"/>
  <c r="R21" i="56"/>
  <c r="R22" i="56"/>
  <c r="R23" i="56"/>
  <c r="R24" i="56"/>
  <c r="R25" i="56"/>
  <c r="R26" i="56"/>
  <c r="R27" i="56"/>
  <c r="R28" i="56"/>
  <c r="R29" i="56"/>
  <c r="R30" i="56"/>
  <c r="R31" i="56"/>
  <c r="R32" i="56"/>
  <c r="R33" i="56"/>
  <c r="R34" i="56"/>
  <c r="H31" i="56"/>
  <c r="P31" i="56"/>
  <c r="G31" i="56"/>
  <c r="L31" i="56"/>
  <c r="H30" i="56"/>
  <c r="P30" i="56"/>
  <c r="G30" i="56"/>
  <c r="L30" i="56"/>
  <c r="H29" i="56"/>
  <c r="P29" i="56"/>
  <c r="G29" i="56"/>
  <c r="G28" i="56"/>
  <c r="O28" i="56"/>
  <c r="M28" i="56"/>
  <c r="K28" i="56"/>
  <c r="J28" i="56"/>
  <c r="I28" i="56"/>
  <c r="H28" i="56"/>
  <c r="F28" i="56"/>
  <c r="E28" i="56"/>
  <c r="D28" i="56"/>
  <c r="C28" i="56"/>
  <c r="H27" i="56"/>
  <c r="P27" i="56"/>
  <c r="G27" i="56"/>
  <c r="O26" i="56"/>
  <c r="M26" i="56"/>
  <c r="H26" i="56"/>
  <c r="P26" i="56"/>
  <c r="G26" i="56"/>
  <c r="L26" i="56"/>
  <c r="D26" i="56"/>
  <c r="C26" i="56"/>
  <c r="A26" i="56"/>
  <c r="A27" i="56"/>
  <c r="P25" i="56"/>
  <c r="H25" i="56"/>
  <c r="G25" i="56"/>
  <c r="L25" i="56"/>
  <c r="P24" i="56"/>
  <c r="H24" i="56"/>
  <c r="G24" i="56"/>
  <c r="L24" i="56"/>
  <c r="P23" i="56"/>
  <c r="H23" i="56"/>
  <c r="G23" i="56"/>
  <c r="L23" i="56"/>
  <c r="A23" i="56"/>
  <c r="H22" i="56"/>
  <c r="P22" i="56"/>
  <c r="G22" i="56"/>
  <c r="L22" i="56"/>
  <c r="H21" i="56"/>
  <c r="P21" i="56"/>
  <c r="P20" i="56"/>
  <c r="G21" i="56"/>
  <c r="G20" i="56"/>
  <c r="O20" i="56"/>
  <c r="O32" i="56"/>
  <c r="M20" i="56"/>
  <c r="K20" i="56"/>
  <c r="J20" i="56"/>
  <c r="I20" i="56"/>
  <c r="H20" i="56"/>
  <c r="F20" i="56"/>
  <c r="E20" i="56"/>
  <c r="D20" i="56"/>
  <c r="C20" i="56"/>
  <c r="H19" i="56"/>
  <c r="P19" i="56"/>
  <c r="G19" i="56"/>
  <c r="A19" i="56"/>
  <c r="P18" i="56"/>
  <c r="L18" i="56"/>
  <c r="H18" i="56"/>
  <c r="G18" i="56"/>
  <c r="P17" i="56"/>
  <c r="L17" i="56"/>
  <c r="H17" i="56"/>
  <c r="G17" i="56"/>
  <c r="P16" i="56"/>
  <c r="L16" i="56"/>
  <c r="H16" i="56"/>
  <c r="G16" i="56"/>
  <c r="P15" i="56"/>
  <c r="L15" i="56"/>
  <c r="H15" i="56"/>
  <c r="G15" i="56"/>
  <c r="G12" i="56"/>
  <c r="G7" i="56"/>
  <c r="P14" i="56"/>
  <c r="L14" i="56"/>
  <c r="H14" i="56"/>
  <c r="G14" i="56"/>
  <c r="L13" i="56"/>
  <c r="O12" i="56"/>
  <c r="M12" i="56"/>
  <c r="K12" i="56"/>
  <c r="J12" i="56"/>
  <c r="I12" i="56"/>
  <c r="H12" i="56"/>
  <c r="H7" i="56"/>
  <c r="H32" i="56"/>
  <c r="F12" i="56"/>
  <c r="F7" i="56"/>
  <c r="F32" i="56"/>
  <c r="E12" i="56"/>
  <c r="E7" i="56"/>
  <c r="E32" i="56"/>
  <c r="D12" i="56"/>
  <c r="D7" i="56"/>
  <c r="D32" i="56"/>
  <c r="C12" i="56"/>
  <c r="P11" i="56"/>
  <c r="L11" i="56"/>
  <c r="H11" i="56"/>
  <c r="G11" i="56"/>
  <c r="P10" i="56"/>
  <c r="H10" i="56"/>
  <c r="G10" i="56"/>
  <c r="L10" i="56"/>
  <c r="H9" i="56"/>
  <c r="P9" i="56"/>
  <c r="P8" i="56"/>
  <c r="G9" i="56"/>
  <c r="L9" i="56"/>
  <c r="M8" i="56"/>
  <c r="K8" i="56"/>
  <c r="J8" i="56"/>
  <c r="H8" i="56"/>
  <c r="G8" i="56"/>
  <c r="F8" i="56"/>
  <c r="E8" i="56"/>
  <c r="D8" i="56"/>
  <c r="C8" i="56"/>
  <c r="A8" i="56"/>
  <c r="A9" i="56"/>
  <c r="A10" i="56"/>
  <c r="A11" i="56"/>
  <c r="A12" i="56"/>
  <c r="A13" i="56"/>
  <c r="M7" i="56"/>
  <c r="M32" i="56"/>
  <c r="K7" i="56"/>
  <c r="K32" i="56"/>
  <c r="J7" i="56"/>
  <c r="J32" i="56"/>
  <c r="C7" i="56"/>
  <c r="C32" i="56"/>
  <c r="L8" i="56"/>
  <c r="G32" i="56"/>
  <c r="P12" i="56"/>
  <c r="P7" i="56"/>
  <c r="P32" i="56"/>
  <c r="P28" i="56"/>
  <c r="L19" i="56"/>
  <c r="L12" i="56"/>
  <c r="L27" i="56"/>
  <c r="L21" i="56"/>
  <c r="L20" i="56"/>
  <c r="L29" i="56"/>
  <c r="L28" i="56"/>
  <c r="L7" i="56"/>
  <c r="L32" i="56"/>
  <c r="R8" i="55"/>
  <c r="R9" i="55"/>
  <c r="R10" i="55"/>
  <c r="R11" i="55"/>
  <c r="R12" i="55"/>
  <c r="R13" i="55"/>
  <c r="R15" i="55"/>
  <c r="R16" i="55"/>
  <c r="R17" i="55"/>
  <c r="R18" i="55"/>
  <c r="R19" i="55"/>
  <c r="R20" i="55"/>
  <c r="R21" i="55"/>
  <c r="R22" i="55"/>
  <c r="R23" i="55"/>
  <c r="R24" i="55"/>
  <c r="R25" i="55"/>
  <c r="R26" i="55"/>
  <c r="R27" i="55"/>
  <c r="R28" i="55"/>
  <c r="R29" i="55"/>
  <c r="R30" i="55"/>
  <c r="R31" i="55"/>
  <c r="R32" i="55"/>
  <c r="R33" i="55"/>
  <c r="R34" i="55"/>
  <c r="A8" i="55"/>
  <c r="A8" i="25"/>
  <c r="A9" i="25"/>
  <c r="A10" i="25"/>
  <c r="A11" i="25"/>
  <c r="A12" i="25"/>
  <c r="A13" i="25"/>
  <c r="A15" i="25"/>
  <c r="A16" i="25"/>
  <c r="A17" i="25"/>
  <c r="A18" i="25"/>
  <c r="A19" i="25"/>
  <c r="A20" i="25"/>
  <c r="A21" i="25"/>
  <c r="A22" i="25"/>
  <c r="A23" i="25"/>
  <c r="A24" i="25"/>
  <c r="A25" i="25"/>
  <c r="A26" i="25"/>
  <c r="A27" i="25"/>
  <c r="A28" i="25"/>
  <c r="A29" i="25"/>
  <c r="A30" i="25"/>
  <c r="A31" i="25"/>
  <c r="A32" i="25"/>
  <c r="A33" i="25"/>
  <c r="A34" i="25"/>
  <c r="L33" i="59"/>
</calcChain>
</file>

<file path=xl/comments1.xml><?xml version="1.0" encoding="utf-8"?>
<comments xmlns="http://schemas.openxmlformats.org/spreadsheetml/2006/main">
  <authors>
    <author>Ing. Petra Košecká</author>
    <author>Šejnohová Eva</author>
  </authors>
  <commentList>
    <comment ref="C10" authorId="0" shapeId="0">
      <text>
        <r>
          <rPr>
            <b/>
            <sz val="10"/>
            <color indexed="81"/>
            <rFont val="Tahoma"/>
            <family val="2"/>
            <charset val="238"/>
          </rPr>
          <t>Ing. Petra Košecká:</t>
        </r>
        <r>
          <rPr>
            <sz val="10"/>
            <color indexed="81"/>
            <rFont val="Tahoma"/>
            <family val="2"/>
            <charset val="238"/>
          </rPr>
          <t xml:space="preserve">
bez 100 tis. Jezdinský MB516001, poskytovatel v r. 2016 nevyplatil a současně vydal změnové rozh. s posunem do r. 2017</t>
        </r>
      </text>
    </comment>
    <comment ref="O22" authorId="0" shapeId="0">
      <text>
        <r>
          <rPr>
            <b/>
            <sz val="10"/>
            <color indexed="81"/>
            <rFont val="Tahoma"/>
            <family val="2"/>
            <charset val="238"/>
          </rPr>
          <t>Ing. Petra Košecká:</t>
        </r>
        <r>
          <rPr>
            <sz val="10"/>
            <color indexed="81"/>
            <rFont val="Tahoma"/>
            <family val="2"/>
            <charset val="238"/>
          </rPr>
          <t xml:space="preserve">
jsou neveřejné prostředky</t>
        </r>
      </text>
    </comment>
    <comment ref="L29" authorId="1" shapeId="0">
      <text>
        <r>
          <rPr>
            <b/>
            <sz val="9"/>
            <color indexed="81"/>
            <rFont val="Tahoma"/>
            <family val="2"/>
            <charset val="238"/>
          </rPr>
          <t>Šejnohová Eva:</t>
        </r>
        <r>
          <rPr>
            <sz val="9"/>
            <color indexed="81"/>
            <rFont val="Tahoma"/>
            <family val="2"/>
            <charset val="238"/>
          </rPr>
          <t xml:space="preserve">
Vratka Trojan</t>
        </r>
      </text>
    </comment>
    <comment ref="O31" authorId="0" shapeId="0">
      <text>
        <r>
          <rPr>
            <b/>
            <sz val="10"/>
            <color indexed="81"/>
            <rFont val="Tahoma"/>
            <family val="2"/>
            <charset val="238"/>
          </rPr>
          <t>Ing. Petra Košecká:</t>
        </r>
        <r>
          <rPr>
            <sz val="10"/>
            <color indexed="81"/>
            <rFont val="Tahoma"/>
            <family val="2"/>
            <charset val="238"/>
          </rPr>
          <t xml:space="preserve">
jsou neveřejné prsotředky</t>
        </r>
      </text>
    </comment>
    <comment ref="D52" authorId="0" shapeId="0">
      <text>
        <r>
          <rPr>
            <b/>
            <sz val="10"/>
            <color indexed="81"/>
            <rFont val="Tahoma"/>
            <family val="2"/>
            <charset val="238"/>
          </rPr>
          <t>Ing. Petra Košecká:</t>
        </r>
        <r>
          <rPr>
            <sz val="10"/>
            <color indexed="81"/>
            <rFont val="Tahoma"/>
            <family val="2"/>
            <charset val="238"/>
          </rPr>
          <t xml:space="preserve">
oprava na zdroj 2205 projektu GZ314002 - viz tab. 5d
</t>
        </r>
      </text>
    </comment>
  </commentList>
</comments>
</file>

<file path=xl/sharedStrings.xml><?xml version="1.0" encoding="utf-8"?>
<sst xmlns="http://schemas.openxmlformats.org/spreadsheetml/2006/main" count="3379" uniqueCount="562">
  <si>
    <t xml:space="preserve"> </t>
  </si>
  <si>
    <t>č.ř.</t>
  </si>
  <si>
    <t>(tis. Kč)</t>
  </si>
  <si>
    <t>Celkem</t>
  </si>
  <si>
    <t>a</t>
  </si>
  <si>
    <t>b</t>
  </si>
  <si>
    <t>c</t>
  </si>
  <si>
    <t>d</t>
  </si>
  <si>
    <t>f</t>
  </si>
  <si>
    <t>g</t>
  </si>
  <si>
    <t>i</t>
  </si>
  <si>
    <t>Poznámky</t>
  </si>
  <si>
    <t>poskytnuté</t>
  </si>
  <si>
    <t>e=a+c</t>
  </si>
  <si>
    <t>f=b+d</t>
  </si>
  <si>
    <t>MŠMT</t>
  </si>
  <si>
    <t>použité</t>
  </si>
  <si>
    <t>další dle specifikace VŠ</t>
  </si>
  <si>
    <r>
      <t xml:space="preserve">Prostředky z veřejných zdrojů </t>
    </r>
    <r>
      <rPr>
        <b/>
        <sz val="10"/>
        <color indexed="8"/>
        <rFont val="Calibri"/>
        <family val="2"/>
        <charset val="238"/>
      </rPr>
      <t>běžné</t>
    </r>
  </si>
  <si>
    <r>
      <t xml:space="preserve">Prostředky z veřejných zdrojů </t>
    </r>
    <r>
      <rPr>
        <b/>
        <sz val="10"/>
        <color indexed="8"/>
        <rFont val="Calibri"/>
        <family val="2"/>
        <charset val="238"/>
      </rPr>
      <t>kapitálové</t>
    </r>
  </si>
  <si>
    <r>
      <t xml:space="preserve">Prostředky z veřejných zdrojů </t>
    </r>
    <r>
      <rPr>
        <b/>
        <sz val="10"/>
        <color indexed="8"/>
        <rFont val="Calibri"/>
        <family val="2"/>
        <charset val="238"/>
      </rPr>
      <t>celkem</t>
    </r>
  </si>
  <si>
    <t>Použité zdroje celkem</t>
  </si>
  <si>
    <t>h=e-f</t>
  </si>
  <si>
    <t>C  e  l  k  e  m</t>
  </si>
  <si>
    <t>Vratka nevyčerpaných prostředků</t>
  </si>
  <si>
    <t xml:space="preserve">poskytnuté </t>
  </si>
  <si>
    <r>
      <t xml:space="preserve">poskytnuté </t>
    </r>
    <r>
      <rPr>
        <sz val="8"/>
        <color indexed="8"/>
        <rFont val="Calibri"/>
        <family val="2"/>
        <charset val="238"/>
      </rPr>
      <t>(2)</t>
    </r>
  </si>
  <si>
    <t>Územní rozpočty</t>
  </si>
  <si>
    <t>f*</t>
  </si>
  <si>
    <t>Ostatní kapitoly státního rozpočtu</t>
  </si>
  <si>
    <t>specifikovat dle programu</t>
  </si>
  <si>
    <t>f**</t>
  </si>
  <si>
    <r>
      <t>Prostředky ze zahraničí</t>
    </r>
    <r>
      <rPr>
        <b/>
        <sz val="10"/>
        <color indexed="8"/>
        <rFont val="Calibri"/>
        <family val="2"/>
        <charset val="238"/>
      </rPr>
      <t xml:space="preserve"> (získané přímo VVŠ)</t>
    </r>
  </si>
  <si>
    <r>
      <rPr>
        <sz val="8"/>
        <color indexed="8"/>
        <rFont val="Calibri"/>
        <family val="2"/>
        <charset val="238"/>
      </rPr>
      <t>(4)</t>
    </r>
    <r>
      <rPr>
        <sz val="10"/>
        <color indexed="8"/>
        <rFont val="Calibri"/>
        <family val="2"/>
        <charset val="238"/>
      </rPr>
      <t xml:space="preserve"> Z celkových veřejných prostředků poskytnutých i použitých k financování projektů v dané kategorii se uvede procentuální podíl zdrojů pocházejících mimo veřejné rozpočty ČR - z veřejných rozpočtu EU nebo jiných zahraničních veřejných zdrojů.</t>
    </r>
  </si>
  <si>
    <t xml:space="preserve">     součtový řádek pro poskytovatele</t>
  </si>
  <si>
    <t xml:space="preserve">     Institucionální podpora (IP)</t>
  </si>
  <si>
    <t xml:space="preserve">     IP na mezinárodní spolupráci ČR ve VaV</t>
  </si>
  <si>
    <t xml:space="preserve">     Specifický vysokoškolský výzkum</t>
  </si>
  <si>
    <t xml:space="preserve">     Velké infrastruktury</t>
  </si>
  <si>
    <t xml:space="preserve">    součtový řádek pro poskytovatele</t>
  </si>
  <si>
    <r>
      <rPr>
        <sz val="8"/>
        <color indexed="8"/>
        <rFont val="Calibri"/>
        <family val="2"/>
        <charset val="238"/>
      </rPr>
      <t>(1)</t>
    </r>
    <r>
      <rPr>
        <sz val="10"/>
        <color indexed="8"/>
        <rFont val="Calibri"/>
        <family val="2"/>
        <charset val="238"/>
      </rPr>
      <t xml:space="preserve"> Součtové údaje řádků označených tmavě šedou barvou  se musí shodovat s údaji uvedenými v tabulce 5. Součtový údaj za MŠMT = Tab. 5, ř.12; za dotace ostatních kapitol státního rozpočtu = Tab. 5, ř.19; za územní rozpočty = Tab. 5, ř.26; za prostředky ze zahraničí = Tab. 5, ř.29. Tabulka je tříděna podle poskytovatele, dále podle institucionální a účelové podpory a dále podle jednotlivých programů (nejpodrobnější údaj bude na úrovni programu, není třeba vyplňovat tabulku na úroveň projektů). VŠ uvede pouze ty programy, ve kterých získává finanční prostředky. Za každého poskytovatele VŠ vždy uvede součtový údaj. Pokud škola realizuje výzkumný projekt/program financovaný pouze z neveřejných zdrojů, realizuje aktivity v rámci doplňkové činnosti za úplatu, spoluřeší projekty, apod., do této tabulky je uvádět v řádcích nebude.</t>
    </r>
  </si>
  <si>
    <r>
      <rPr>
        <sz val="8"/>
        <color indexed="8"/>
        <rFont val="Calibri"/>
        <family val="2"/>
        <charset val="238"/>
      </rPr>
      <t>(6)</t>
    </r>
    <r>
      <rPr>
        <sz val="10"/>
        <color indexed="8"/>
        <rFont val="Calibri"/>
        <family val="2"/>
        <charset val="238"/>
      </rPr>
      <t xml:space="preserve"> Fond účelově určených prostředků (§ 18, odst. 6 zákona o VŠ). Jedná se o finanční prostředky, které nebyly v daném kalendářním roce použity, ale byly převedeny do FÚUP. Jsou součástí "použitých" prostředků uvedených v této tabulce.</t>
    </r>
  </si>
  <si>
    <t xml:space="preserve">     Účelová podpora </t>
  </si>
  <si>
    <t xml:space="preserve">               (bez prostředků poskytovaných na operační programy EU) </t>
  </si>
  <si>
    <t xml:space="preserve">Tabulka 5.b   Financování výzkumu a vývoje  </t>
  </si>
  <si>
    <t>tis. Kč</t>
  </si>
  <si>
    <r>
      <t xml:space="preserve">Druh podpory/název programu </t>
    </r>
    <r>
      <rPr>
        <sz val="8"/>
        <color indexed="8"/>
        <rFont val="Calibri"/>
        <family val="2"/>
        <charset val="238"/>
      </rPr>
      <t>(1)</t>
    </r>
  </si>
  <si>
    <r>
      <t>z toho zdroje zahr. v</t>
    </r>
    <r>
      <rPr>
        <sz val="10"/>
        <color indexed="8"/>
        <rFont val="Calibri"/>
        <family val="2"/>
        <charset val="238"/>
      </rPr>
      <t xml:space="preserve"> %</t>
    </r>
    <r>
      <rPr>
        <sz val="8"/>
        <color indexed="8"/>
        <rFont val="Calibri"/>
        <family val="2"/>
        <charset val="238"/>
      </rPr>
      <t xml:space="preserve"> (4)</t>
    </r>
  </si>
  <si>
    <r>
      <t>z toho zajištěno spoluřešit.</t>
    </r>
    <r>
      <rPr>
        <sz val="8"/>
        <color indexed="8"/>
        <rFont val="Calibri"/>
        <family val="2"/>
        <charset val="238"/>
      </rPr>
      <t xml:space="preserve"> (5)</t>
    </r>
  </si>
  <si>
    <r>
      <t>z toho převody do FÚUP</t>
    </r>
    <r>
      <rPr>
        <sz val="8"/>
        <color indexed="8"/>
        <rFont val="Calibri"/>
        <family val="2"/>
        <charset val="238"/>
      </rPr>
      <t xml:space="preserve"> (6)</t>
    </r>
  </si>
  <si>
    <r>
      <t xml:space="preserve">použité </t>
    </r>
    <r>
      <rPr>
        <sz val="8"/>
        <color indexed="8"/>
        <rFont val="Calibri"/>
        <family val="2"/>
        <charset val="238"/>
      </rPr>
      <t>(3)</t>
    </r>
  </si>
  <si>
    <t xml:space="preserve">     ÚP na programové projekty národní</t>
  </si>
  <si>
    <t xml:space="preserve">     ÚP na projekty mezinárodní spolupráce</t>
  </si>
  <si>
    <r>
      <t xml:space="preserve">     součtový řádek pro poskytovatele </t>
    </r>
    <r>
      <rPr>
        <sz val="8"/>
        <color indexed="8"/>
        <rFont val="Calibri"/>
        <family val="2"/>
        <charset val="238"/>
      </rPr>
      <t>(8)</t>
    </r>
  </si>
  <si>
    <t xml:space="preserve">     TAČR - součtový řádek</t>
  </si>
  <si>
    <r>
      <rPr>
        <sz val="8"/>
        <color indexed="8"/>
        <rFont val="Calibri"/>
        <family val="2"/>
        <charset val="238"/>
      </rPr>
      <t>(2)</t>
    </r>
    <r>
      <rPr>
        <sz val="10"/>
        <color indexed="8"/>
        <rFont val="Calibri"/>
        <family val="2"/>
        <charset val="238"/>
      </rPr>
      <t xml:space="preserve"> Poskytnuto: jedná se o finanční prostředky, které byly vysoké škole poskytnuty v daném kalendářním roce jako podpora VaV podle zákona 130/2002 Sb. Uvádí se ve shodě s objemem finančních prostředků uvedených v rozhodnutí (sl. a, c, e).</t>
    </r>
  </si>
  <si>
    <r>
      <rPr>
        <sz val="8"/>
        <color indexed="8"/>
        <rFont val="Calibri"/>
        <family val="2"/>
        <charset val="238"/>
      </rPr>
      <t>(3)</t>
    </r>
    <r>
      <rPr>
        <sz val="10"/>
        <color indexed="8"/>
        <rFont val="Calibri"/>
        <family val="2"/>
        <charset val="238"/>
      </rPr>
      <t xml:space="preserve"> Použito: jedná se o finanční prostředky, které VŠ v daném kalendářním roce použila na účel v souladu s rozhodnutím (sloupec b, d, f). Pokud by škola používala veřejné prostředky institucionálního charakteru (např. IP na rozvoj VO) k dofinancování programů/aktivit uvedených v dalších řádcích této tabulky nebo projektů zde neuvedených, takové použití pro jiný účel financovaný z veřejných zdrojů je nutné specifikovat v komentáři.</t>
    </r>
  </si>
  <si>
    <r>
      <rPr>
        <sz val="8"/>
        <color indexed="8"/>
        <rFont val="Calibri"/>
        <family val="2"/>
        <charset val="238"/>
      </rPr>
      <t>(5)</t>
    </r>
    <r>
      <rPr>
        <sz val="10"/>
        <color indexed="8"/>
        <rFont val="Calibri"/>
        <family val="2"/>
        <charset val="238"/>
      </rPr>
      <t xml:space="preserve"> Uvedou se prostředky, které byly převedeny k řešení projektů/aktivit ostatním spoluřešitelům.</t>
    </r>
  </si>
  <si>
    <t xml:space="preserve">     IP na dlouhodobý koncepční rozvoj výzk. org.</t>
  </si>
  <si>
    <t xml:space="preserve">     GAČR - součtový řádek</t>
  </si>
  <si>
    <t>specifikace VVŠ</t>
  </si>
  <si>
    <t xml:space="preserve">                   Národní programy udržitelnosti</t>
  </si>
  <si>
    <r>
      <t>Vratka nevyčerpaných prostředků</t>
    </r>
    <r>
      <rPr>
        <sz val="6"/>
        <color indexed="8"/>
        <rFont val="Calibri"/>
        <family val="2"/>
        <charset val="238"/>
      </rPr>
      <t xml:space="preserve"> </t>
    </r>
    <r>
      <rPr>
        <sz val="8"/>
        <color indexed="8"/>
        <rFont val="Calibri"/>
        <family val="2"/>
        <charset val="238"/>
      </rPr>
      <t>(7)</t>
    </r>
  </si>
  <si>
    <t>h*</t>
  </si>
  <si>
    <t>j=f+i</t>
  </si>
  <si>
    <r>
      <t xml:space="preserve">Ostatní použité neveřejné zdroje </t>
    </r>
    <r>
      <rPr>
        <sz val="8"/>
        <color indexed="8"/>
        <rFont val="Calibri"/>
        <family val="2"/>
        <charset val="238"/>
      </rPr>
      <t>(9)</t>
    </r>
  </si>
  <si>
    <r>
      <t xml:space="preserve">specifikovat dle programu </t>
    </r>
    <r>
      <rPr>
        <i/>
        <sz val="8"/>
        <color indexed="8"/>
        <rFont val="Calibri"/>
        <family val="2"/>
        <charset val="238"/>
      </rPr>
      <t>(10)</t>
    </r>
  </si>
  <si>
    <r>
      <rPr>
        <sz val="8"/>
        <color indexed="8"/>
        <rFont val="Calibri"/>
        <family val="2"/>
        <charset val="238"/>
      </rPr>
      <t>(9)</t>
    </r>
    <r>
      <rPr>
        <sz val="10"/>
        <color indexed="8"/>
        <rFont val="Calibri"/>
        <family val="2"/>
        <charset val="238"/>
      </rPr>
      <t xml:space="preserve"> Sloupec "i" uvádí "ostatní použité neveřejné zdroje celkem" a obsahuje prostředky na dofinancování programů/aktivit uvedených v jednotlivých řádcích (a to z neveřejných zdrojů). </t>
    </r>
  </si>
  <si>
    <r>
      <rPr>
        <sz val="8"/>
        <color indexed="8"/>
        <rFont val="Calibri"/>
        <family val="2"/>
        <charset val="238"/>
      </rPr>
      <t>(10)</t>
    </r>
    <r>
      <rPr>
        <sz val="10"/>
        <color indexed="8"/>
        <rFont val="Calibri"/>
        <family val="2"/>
        <charset val="238"/>
      </rPr>
      <t xml:space="preserve"> VVŠ uvede v členění dle povahy poskytovaných prostředků. Podle potřeby lze vložit další řádky</t>
    </r>
  </si>
  <si>
    <r>
      <t xml:space="preserve">z toho na zákl. fin. vypořádání </t>
    </r>
    <r>
      <rPr>
        <sz val="8"/>
        <color indexed="8"/>
        <rFont val="Calibri"/>
        <family val="2"/>
        <charset val="238"/>
      </rPr>
      <t>(8)</t>
    </r>
  </si>
  <si>
    <r>
      <rPr>
        <sz val="8"/>
        <color indexed="8"/>
        <rFont val="Calibri"/>
        <family val="2"/>
        <charset val="238"/>
      </rPr>
      <t>(7)</t>
    </r>
    <r>
      <rPr>
        <sz val="10"/>
        <color indexed="8"/>
        <rFont val="Calibri"/>
        <family val="2"/>
        <charset val="238"/>
      </rPr>
      <t xml:space="preserve"> VVŠ uvede </t>
    </r>
    <r>
      <rPr>
        <b/>
        <sz val="10"/>
        <color indexed="8"/>
        <rFont val="Calibri"/>
        <family val="2"/>
        <charset val="238"/>
      </rPr>
      <t>celkovou výši vratky nevyčerpaných prostředků odvedených na depozitní účet</t>
    </r>
  </si>
  <si>
    <r>
      <rPr>
        <sz val="8"/>
        <color indexed="8"/>
        <rFont val="Calibri"/>
        <family val="2"/>
        <charset val="238"/>
      </rPr>
      <t>(8)</t>
    </r>
    <r>
      <rPr>
        <sz val="10"/>
        <color indexed="8"/>
        <rFont val="Calibri"/>
        <family val="2"/>
        <charset val="238"/>
      </rPr>
      <t xml:space="preserve"> VVŠ uvede ty prostředky ze sloupce "h", které byly převedeny na depozitní účet při finančním vypořádání daného roku dle vyhlášky č. 367/2015 Sb., o zásadách a lhůtách finančního vypořádání vztahů se státním rozpočtem, státními finančními aktivy a Národním fondem (vyhláška o finančním vypořádání)</t>
    </r>
  </si>
  <si>
    <t>Tabulka 5.b   Financování výzkumu a vývoje</t>
  </si>
  <si>
    <t>Druh podpory/název programu (1)</t>
  </si>
  <si>
    <r>
      <t xml:space="preserve">z toho zdroje zahr. v %
</t>
    </r>
    <r>
      <rPr>
        <sz val="8"/>
        <color indexed="8"/>
        <rFont val="Calibri"/>
        <family val="2"/>
        <charset val="238"/>
      </rPr>
      <t>(4)</t>
    </r>
  </si>
  <si>
    <r>
      <t xml:space="preserve">z toho zajištěno spoluřešit.
</t>
    </r>
    <r>
      <rPr>
        <sz val="8"/>
        <color indexed="8"/>
        <rFont val="Calibri"/>
        <family val="2"/>
        <charset val="238"/>
      </rPr>
      <t>(5)</t>
    </r>
  </si>
  <si>
    <r>
      <t xml:space="preserve">z toho převody do FÚUP
</t>
    </r>
    <r>
      <rPr>
        <sz val="8"/>
        <color indexed="8"/>
        <rFont val="Calibri"/>
        <family val="2"/>
        <charset val="238"/>
      </rPr>
      <t>(6)</t>
    </r>
  </si>
  <si>
    <t>Vratka nevyčerp. prostředků</t>
  </si>
  <si>
    <r>
      <t xml:space="preserve">z toho na zákl. fin. vypořádání
</t>
    </r>
    <r>
      <rPr>
        <sz val="8"/>
        <color indexed="8"/>
        <rFont val="Calibri"/>
        <family val="2"/>
        <charset val="238"/>
      </rPr>
      <t>(8)</t>
    </r>
  </si>
  <si>
    <r>
      <t xml:space="preserve">Ostatní použité neveřejné zdroje
</t>
    </r>
    <r>
      <rPr>
        <sz val="8"/>
        <color indexed="8"/>
        <rFont val="Calibri"/>
        <family val="2"/>
        <charset val="238"/>
      </rPr>
      <t>(7)</t>
    </r>
  </si>
  <si>
    <r>
      <t xml:space="preserve">poskytnuté
</t>
    </r>
    <r>
      <rPr>
        <sz val="8"/>
        <color indexed="8"/>
        <rFont val="Calibri"/>
        <family val="2"/>
        <charset val="238"/>
      </rPr>
      <t>(2)</t>
    </r>
  </si>
  <si>
    <r>
      <t xml:space="preserve">použité
 </t>
    </r>
    <r>
      <rPr>
        <sz val="8"/>
        <color indexed="8"/>
        <rFont val="Calibri"/>
        <family val="2"/>
        <charset val="238"/>
      </rPr>
      <t>(3)</t>
    </r>
  </si>
  <si>
    <t xml:space="preserve">     IP na dlouh. koncepční rozvoj výzk. organizací</t>
  </si>
  <si>
    <r>
      <t xml:space="preserve">         </t>
    </r>
    <r>
      <rPr>
        <i/>
        <sz val="10"/>
        <color indexed="8"/>
        <rFont val="Calibri"/>
        <family val="2"/>
        <charset val="238"/>
      </rPr>
      <t>v tom: Rámcové programy</t>
    </r>
  </si>
  <si>
    <t xml:space="preserve">                      Mobilita výzkumných pracovníků  </t>
  </si>
  <si>
    <t xml:space="preserve">                      Norské fondy (Česko-Norský výzk. progr. CZ09)</t>
  </si>
  <si>
    <t xml:space="preserve">                     Visegradská skupina + Japonsko - rozvoj spolupráce</t>
  </si>
  <si>
    <t xml:space="preserve">                     Česko-bavorská spolupráce</t>
  </si>
  <si>
    <t xml:space="preserve">                     Česko-Izrael 2016-18</t>
  </si>
  <si>
    <t xml:space="preserve">     Programové projekty národní</t>
  </si>
  <si>
    <t xml:space="preserve">                     v tom: ERC (LL)</t>
  </si>
  <si>
    <t xml:space="preserve">                              Národní program udržitelnosti (LO)</t>
  </si>
  <si>
    <t xml:space="preserve">                              Informace - základ výzkumu (LR)</t>
  </si>
  <si>
    <t xml:space="preserve">     Projekty mezinárodní spolupráce</t>
  </si>
  <si>
    <t xml:space="preserve">                     v tom: COST(LD)</t>
  </si>
  <si>
    <t xml:space="preserve">                                EUPRO II (LE)</t>
  </si>
  <si>
    <t xml:space="preserve">                                INGO  II (LG)                                  </t>
  </si>
  <si>
    <t xml:space="preserve">                                KONTAKT II (LH)</t>
  </si>
  <si>
    <t xml:space="preserve">                                INTER-EXCELLENCE (LT)</t>
  </si>
  <si>
    <t xml:space="preserve">     Ministerstva</t>
  </si>
  <si>
    <t xml:space="preserve">          Ministerstvo kultury</t>
  </si>
  <si>
    <t xml:space="preserve">          Ministerstvo zemědělství</t>
  </si>
  <si>
    <t xml:space="preserve">          Ministerstvo vnitra</t>
  </si>
  <si>
    <t xml:space="preserve">     Grantové agentury</t>
  </si>
  <si>
    <t xml:space="preserve">          GAČR</t>
  </si>
  <si>
    <t xml:space="preserve">          TAČR</t>
  </si>
  <si>
    <t xml:space="preserve">          AZV - MZ</t>
  </si>
  <si>
    <t xml:space="preserve">          obce a městské části</t>
  </si>
  <si>
    <t xml:space="preserve">          Kraje a MHMP</t>
  </si>
  <si>
    <t>Prostředky ze zahraničí (získané přímo VVŠ)</t>
  </si>
  <si>
    <t>Evropská unie mimo evropské fondy</t>
  </si>
  <si>
    <t>Rámcové programy</t>
  </si>
  <si>
    <t>Horizont 2020</t>
  </si>
  <si>
    <t xml:space="preserve"> EU ostatní - Evropská komise</t>
  </si>
  <si>
    <t>Zahraničí ostatní mimo EU</t>
  </si>
  <si>
    <t>zahraniční VŠ, nadace a jiná solupráce mimo EU</t>
  </si>
  <si>
    <t>Tabulka 5.b   Financování výzkumu a vývoje  v roce 2017</t>
  </si>
  <si>
    <r>
      <t>Vratka nevyčerpaných prostředků</t>
    </r>
    <r>
      <rPr>
        <sz val="6"/>
        <color indexed="8"/>
        <rFont val="Calibri"/>
        <family val="2"/>
        <charset val="238"/>
      </rPr>
      <t xml:space="preserve"> </t>
    </r>
    <r>
      <rPr>
        <sz val="8"/>
        <color indexed="8"/>
        <rFont val="Calibri"/>
        <family val="2"/>
        <charset val="238"/>
      </rPr>
      <t>(7)</t>
    </r>
  </si>
  <si>
    <r>
      <t xml:space="preserve">z toho na zákl. fin. vypořádání </t>
    </r>
    <r>
      <rPr>
        <sz val="8"/>
        <color indexed="8"/>
        <rFont val="Calibri"/>
        <family val="2"/>
        <charset val="238"/>
      </rPr>
      <t>(8)</t>
    </r>
  </si>
  <si>
    <t xml:space="preserve">     IP mezinárodní spolupr.česko-norského projektu</t>
  </si>
  <si>
    <t xml:space="preserve">                  Národní programy udržitelnosti-CENAKVA II</t>
  </si>
  <si>
    <t xml:space="preserve">                  KONTAKT</t>
  </si>
  <si>
    <t xml:space="preserve">     ÚP na projekt Inter-Excellence</t>
  </si>
  <si>
    <t xml:space="preserve">     ÚP na specifický vysokoškolský výzkum</t>
  </si>
  <si>
    <t xml:space="preserve">     ÚP na velké infrastruktury</t>
  </si>
  <si>
    <t xml:space="preserve">     Ministerstvo vnitra</t>
  </si>
  <si>
    <t xml:space="preserve">     Ministerstvo zemědělství</t>
  </si>
  <si>
    <t xml:space="preserve">     Ministerstvo zdravotnictví</t>
  </si>
  <si>
    <t xml:space="preserve">     TA ČR </t>
  </si>
  <si>
    <t xml:space="preserve">     GA ČR</t>
  </si>
  <si>
    <t xml:space="preserve">      Jihočeský kraj</t>
  </si>
  <si>
    <t xml:space="preserve">     Norské fondy</t>
  </si>
  <si>
    <t xml:space="preserve">     HORIZON 2020</t>
  </si>
  <si>
    <t xml:space="preserve">     7.RP</t>
  </si>
  <si>
    <t>TABULKA 5b  FINANCOVÁNÍ VÝZKUMU A VÝVOJE</t>
  </si>
  <si>
    <t xml:space="preserve"> (bez prostředků poskytovaných na operační programy EU) </t>
  </si>
  <si>
    <t>Řádek</t>
  </si>
  <si>
    <r>
      <t xml:space="preserve">Druh podpory/název programu </t>
    </r>
    <r>
      <rPr>
        <sz val="8"/>
        <color indexed="8"/>
        <rFont val="Arial"/>
        <family val="2"/>
        <charset val="238"/>
      </rPr>
      <t>(1)</t>
    </r>
  </si>
  <si>
    <r>
      <t xml:space="preserve">Prostředky z veřejných zdrojů </t>
    </r>
    <r>
      <rPr>
        <b/>
        <sz val="10"/>
        <color indexed="8"/>
        <rFont val="Arial"/>
        <family val="2"/>
        <charset val="238"/>
      </rPr>
      <t>běžné</t>
    </r>
  </si>
  <si>
    <r>
      <t xml:space="preserve">Prostředky z veřejných zdrojů </t>
    </r>
    <r>
      <rPr>
        <b/>
        <sz val="10"/>
        <color indexed="8"/>
        <rFont val="Arial"/>
        <family val="2"/>
        <charset val="238"/>
      </rPr>
      <t>kapitálové</t>
    </r>
  </si>
  <si>
    <r>
      <t xml:space="preserve">Prostředky z veřejných zdrojů </t>
    </r>
    <r>
      <rPr>
        <b/>
        <sz val="10"/>
        <color indexed="8"/>
        <rFont val="Arial"/>
        <family val="2"/>
        <charset val="238"/>
      </rPr>
      <t>celkem</t>
    </r>
  </si>
  <si>
    <r>
      <t>Z toho zdroje zahr. v %</t>
    </r>
    <r>
      <rPr>
        <sz val="8"/>
        <color indexed="8"/>
        <rFont val="Arial"/>
        <family val="2"/>
        <charset val="238"/>
      </rPr>
      <t xml:space="preserve"> (4)</t>
    </r>
  </si>
  <si>
    <r>
      <t>Z toho zajištěno spoluřešit.</t>
    </r>
    <r>
      <rPr>
        <sz val="8"/>
        <color indexed="8"/>
        <rFont val="Arial"/>
        <family val="2"/>
        <charset val="238"/>
      </rPr>
      <t xml:space="preserve"> (5)</t>
    </r>
  </si>
  <si>
    <r>
      <t>Z toho převody do FÚUP</t>
    </r>
    <r>
      <rPr>
        <sz val="8"/>
        <color indexed="8"/>
        <rFont val="Arial"/>
        <family val="2"/>
        <charset val="238"/>
      </rPr>
      <t xml:space="preserve"> (6)</t>
    </r>
  </si>
  <si>
    <r>
      <t xml:space="preserve">Ostatní použité neveřejné zdroje </t>
    </r>
    <r>
      <rPr>
        <sz val="8"/>
        <color indexed="8"/>
        <rFont val="Arial"/>
        <family val="2"/>
        <charset val="238"/>
      </rPr>
      <t>(7)</t>
    </r>
  </si>
  <si>
    <r>
      <t xml:space="preserve">Poskytnuté </t>
    </r>
    <r>
      <rPr>
        <sz val="8"/>
        <color indexed="8"/>
        <rFont val="Arial"/>
        <family val="2"/>
        <charset val="238"/>
      </rPr>
      <t>(2)</t>
    </r>
  </si>
  <si>
    <r>
      <t xml:space="preserve">Použité </t>
    </r>
    <r>
      <rPr>
        <sz val="8"/>
        <color indexed="8"/>
        <rFont val="Arial"/>
        <family val="2"/>
        <charset val="238"/>
      </rPr>
      <t>(3)</t>
    </r>
  </si>
  <si>
    <t>Poskytnuté</t>
  </si>
  <si>
    <t>Použité</t>
  </si>
  <si>
    <t xml:space="preserve">  MŠMT</t>
  </si>
  <si>
    <t xml:space="preserve">  Institucionální podpora (IP)</t>
  </si>
  <si>
    <t xml:space="preserve">  IP na dlouhodobý koncepční rozvoj výzk. org.</t>
  </si>
  <si>
    <t xml:space="preserve">  IP na mezinárodní spolupráci ČR ve VaV</t>
  </si>
  <si>
    <t xml:space="preserve">  IP na mezinárodní spolupráce – Norské fondy</t>
  </si>
  <si>
    <t xml:space="preserve">  Účelová podpora </t>
  </si>
  <si>
    <t xml:space="preserve">  ÚP na programové projekty národní</t>
  </si>
  <si>
    <t xml:space="preserve">  Národní programy udržitelnosti</t>
  </si>
  <si>
    <t>další specifikovat dle programu (8)</t>
  </si>
  <si>
    <t xml:space="preserve">  ÚP na projekty mezinárodní spolupráce</t>
  </si>
  <si>
    <t xml:space="preserve">  EUPRO II</t>
  </si>
  <si>
    <t xml:space="preserve">  INGO II</t>
  </si>
  <si>
    <t xml:space="preserve">  Specifický vysokoškolský výzkum</t>
  </si>
  <si>
    <t xml:space="preserve">  Program INTER-VECTOR, podprojekt INTER-EXCELLENCE</t>
  </si>
  <si>
    <t xml:space="preserve">  Ostatní kapitoly státního rozpočtu</t>
  </si>
  <si>
    <t xml:space="preserve">  MK – součtový řádek</t>
  </si>
  <si>
    <t xml:space="preserve">  Program NAKI</t>
  </si>
  <si>
    <t xml:space="preserve">  GAČR – součtový řádek</t>
  </si>
  <si>
    <t xml:space="preserve">  Standardní projekty</t>
  </si>
  <si>
    <t xml:space="preserve">  TAČR – součtový řádek</t>
  </si>
  <si>
    <t xml:space="preserve">  Program ZETA</t>
  </si>
  <si>
    <t xml:space="preserve">  Program GAMA</t>
  </si>
  <si>
    <t xml:space="preserve">  Územní rozpočty</t>
  </si>
  <si>
    <r>
      <t xml:space="preserve">   Prostředky ze zahraničí</t>
    </r>
    <r>
      <rPr>
        <b/>
        <sz val="10"/>
        <color indexed="8"/>
        <rFont val="Arial"/>
        <family val="2"/>
        <charset val="238"/>
      </rPr>
      <t xml:space="preserve"> (získané přímo VVŠ)</t>
    </r>
  </si>
  <si>
    <t xml:space="preserve">   NATO – součtový řádek pro poskytovatele</t>
  </si>
  <si>
    <t xml:space="preserve">   Program Science for Peace and Security</t>
  </si>
  <si>
    <t>Tabulka 5.b   Financování výzkumu a vývoje v roce 2017 (v tis. Kč)</t>
  </si>
  <si>
    <t>č. ř.</t>
  </si>
  <si>
    <t>Institucionální podpora (IP)</t>
  </si>
  <si>
    <t>IP na dlouhodobý koncepční rozvoj výzk. org.</t>
  </si>
  <si>
    <t>IP na mezinárodní spolupráci ČR ve VaV</t>
  </si>
  <si>
    <t>z toho EUROSTARS 2</t>
  </si>
  <si>
    <t>z toho rámcové programy</t>
  </si>
  <si>
    <t>z toho podpora mobility</t>
  </si>
  <si>
    <t>z toho norské fondy</t>
  </si>
  <si>
    <t xml:space="preserve">Účelová podpora </t>
  </si>
  <si>
    <t>ÚP na programové projekty národní</t>
  </si>
  <si>
    <t>Národní programy udržitelnosti</t>
  </si>
  <si>
    <t xml:space="preserve">                              z toho NPU I (LO)</t>
  </si>
  <si>
    <t xml:space="preserve">                              z toho NPU II (LQ)</t>
  </si>
  <si>
    <t>INFORMACE - základní výzkum (LR)</t>
  </si>
  <si>
    <t>ÚP na projekty mezinárodní spolupráce</t>
  </si>
  <si>
    <t>z toho INTER-EXCELLENCE</t>
  </si>
  <si>
    <t>z toho INGO II (LG)</t>
  </si>
  <si>
    <t>z toho KONTAKT II (LH)</t>
  </si>
  <si>
    <t>z toho COST CZ (LD)</t>
  </si>
  <si>
    <t>Specifický vysokoškolský výzkum</t>
  </si>
  <si>
    <t>Velké infrastruktury</t>
  </si>
  <si>
    <t>Ministerstvo kultury</t>
  </si>
  <si>
    <t>Ministerstvo zdravotnictví</t>
  </si>
  <si>
    <t>Ministerstvo zemědělství</t>
  </si>
  <si>
    <t>Ministerstvo pro místní rozvoj</t>
  </si>
  <si>
    <t>Ministerstvo vnitra</t>
  </si>
  <si>
    <t>Ministerstvo životního prostředí</t>
  </si>
  <si>
    <t>GAČR</t>
  </si>
  <si>
    <t>TAČR</t>
  </si>
  <si>
    <t>součtový řádek pro poskytovatele</t>
  </si>
  <si>
    <t>Jihomoravský kraj</t>
  </si>
  <si>
    <t>Rámcové programy VaV EU</t>
  </si>
  <si>
    <t>z toho EU FP 7</t>
  </si>
  <si>
    <t>z toho H2020</t>
  </si>
  <si>
    <t>Ostatní dotace ze zahraniční</t>
  </si>
  <si>
    <t xml:space="preserve">                              sedmý rámcový program ES</t>
  </si>
  <si>
    <t xml:space="preserve">                              šestý rámcový program ES</t>
  </si>
  <si>
    <t xml:space="preserve">                              česko-bavorská spolupráce</t>
  </si>
  <si>
    <t xml:space="preserve">                             LO1204</t>
  </si>
  <si>
    <t xml:space="preserve">                             LO1304</t>
  </si>
  <si>
    <t xml:space="preserve">                             LO1305</t>
  </si>
  <si>
    <t xml:space="preserve">                             INGO</t>
  </si>
  <si>
    <t xml:space="preserve">                             KONTAKT</t>
  </si>
  <si>
    <t xml:space="preserve">                             COST</t>
  </si>
  <si>
    <t xml:space="preserve">                             EUPRO</t>
  </si>
  <si>
    <t xml:space="preserve">                            Norské fondy</t>
  </si>
  <si>
    <t xml:space="preserve">                            česko-čínská spolupráce</t>
  </si>
  <si>
    <t xml:space="preserve">                            INTER-EXCELENCE</t>
  </si>
  <si>
    <t xml:space="preserve">                           EATRIS</t>
  </si>
  <si>
    <t>Ministerstvo  zemědělství</t>
  </si>
  <si>
    <t>Genetické zdroje</t>
  </si>
  <si>
    <t>Aktivita QJ 1310227</t>
  </si>
  <si>
    <t>Aktivita QJ 1510098</t>
  </si>
  <si>
    <t>Aktivita QJ 1510160</t>
  </si>
  <si>
    <t>Gotické a raně renezanční umění DG16P02B003</t>
  </si>
  <si>
    <t>Za chrám, město a vlast DG16P02M013</t>
  </si>
  <si>
    <t>Kulturní dědictví krajiny Arcidiecéze  DG16P02B014</t>
  </si>
  <si>
    <t>Efektivní systém třídění pacientů - VH20162017005</t>
  </si>
  <si>
    <t>Dekontaminace zraněných osob - VH20172020011</t>
  </si>
  <si>
    <t>Pokročilé nanotechnologie - VI20162019017</t>
  </si>
  <si>
    <t>Hrabovský MV-104654</t>
  </si>
  <si>
    <t>Volební podvody a volební pochybení  TD03000484</t>
  </si>
  <si>
    <t>Adaptace člověka na asistenční systém TD03000195</t>
  </si>
  <si>
    <t>Bezkontaktní monitorování TA04020888</t>
  </si>
  <si>
    <t>Funkční tenkovrstvé  optické struktury TA04011156</t>
  </si>
  <si>
    <t>Efektivní transfér znalostí TG01010080</t>
  </si>
  <si>
    <t>Centrum kompetence pro molekulární TE02000058</t>
  </si>
  <si>
    <t>Nové technologie vegetačních úprav TH01030300</t>
  </si>
  <si>
    <t>Centrum digitální techniky TE01020229</t>
  </si>
  <si>
    <t>Ekologicky šetrné nanotechnologie TE01020218</t>
  </si>
  <si>
    <t>Visegradský fond</t>
  </si>
  <si>
    <t>Tabulka 5.b   Financování výzkumu a vývoje v roce 2017</t>
  </si>
  <si>
    <r>
      <t>Vratka nevyčerp. prostředků</t>
    </r>
    <r>
      <rPr>
        <sz val="8"/>
        <color indexed="8"/>
        <rFont val="Calibri"/>
        <family val="2"/>
        <charset val="238"/>
      </rPr>
      <t xml:space="preserve"> (7)</t>
    </r>
  </si>
  <si>
    <r>
      <t>z toho na zákl. fin. vypořádání</t>
    </r>
    <r>
      <rPr>
        <sz val="8"/>
        <color indexed="8"/>
        <rFont val="Calibri"/>
        <family val="2"/>
        <charset val="238"/>
      </rPr>
      <t xml:space="preserve"> (8)</t>
    </r>
  </si>
  <si>
    <t xml:space="preserve">          Národní programy udržitelnosti</t>
  </si>
  <si>
    <r>
      <t>další specifikovat dle programu</t>
    </r>
    <r>
      <rPr>
        <i/>
        <sz val="8"/>
        <color indexed="8"/>
        <rFont val="Calibri"/>
        <family val="2"/>
        <charset val="238"/>
      </rPr>
      <t xml:space="preserve"> (10)</t>
    </r>
  </si>
  <si>
    <t xml:space="preserve">          COST</t>
  </si>
  <si>
    <r>
      <t xml:space="preserve">Ostatní kapitoly státního rozpočtu </t>
    </r>
    <r>
      <rPr>
        <sz val="8"/>
        <color indexed="8"/>
        <rFont val="Calibri"/>
        <family val="2"/>
        <charset val="238"/>
      </rPr>
      <t>(8)</t>
    </r>
  </si>
  <si>
    <t xml:space="preserve">     Ministerstvo zemědělství ČR</t>
  </si>
  <si>
    <t xml:space="preserve">          Projekty MZe ČR</t>
  </si>
  <si>
    <t xml:space="preserve">     Ministerstvo zdravotnictví ČR</t>
  </si>
  <si>
    <t xml:space="preserve">          Projekty MZ ČR</t>
  </si>
  <si>
    <t xml:space="preserve">     Akademie věd ČR</t>
  </si>
  <si>
    <t xml:space="preserve">          Projekty AV ČR</t>
  </si>
  <si>
    <t xml:space="preserve">     GAČR</t>
  </si>
  <si>
    <t xml:space="preserve">          Grantová agentura ČR</t>
  </si>
  <si>
    <t xml:space="preserve">     TAČR</t>
  </si>
  <si>
    <r>
      <t xml:space="preserve">Druh podpory/název programu </t>
    </r>
    <r>
      <rPr>
        <sz val="8"/>
        <rFont val="Calibri"/>
        <family val="2"/>
        <charset val="238"/>
      </rPr>
      <t>(1)</t>
    </r>
  </si>
  <si>
    <r>
      <t xml:space="preserve">Prostředky z veřejných zdrojů </t>
    </r>
    <r>
      <rPr>
        <b/>
        <sz val="10"/>
        <rFont val="Calibri"/>
        <family val="2"/>
        <charset val="238"/>
      </rPr>
      <t>běžné</t>
    </r>
  </si>
  <si>
    <r>
      <t xml:space="preserve">Prostředky z veřejných zdrojů </t>
    </r>
    <r>
      <rPr>
        <b/>
        <sz val="10"/>
        <rFont val="Calibri"/>
        <family val="2"/>
        <charset val="238"/>
      </rPr>
      <t>kapitálové</t>
    </r>
  </si>
  <si>
    <r>
      <t xml:space="preserve">Prostředky z veřejných zdrojů </t>
    </r>
    <r>
      <rPr>
        <b/>
        <sz val="10"/>
        <rFont val="Calibri"/>
        <family val="2"/>
        <charset val="238"/>
      </rPr>
      <t>celkem</t>
    </r>
  </si>
  <si>
    <r>
      <t>z toho zdroje zahr. v %</t>
    </r>
    <r>
      <rPr>
        <sz val="8"/>
        <rFont val="Calibri"/>
        <family val="2"/>
        <charset val="238"/>
      </rPr>
      <t xml:space="preserve"> (4)</t>
    </r>
  </si>
  <si>
    <r>
      <t>z toho zajištěno spoluřešit.</t>
    </r>
    <r>
      <rPr>
        <sz val="8"/>
        <rFont val="Calibri"/>
        <family val="2"/>
        <charset val="238"/>
      </rPr>
      <t xml:space="preserve"> (5)</t>
    </r>
  </si>
  <si>
    <r>
      <t>z toho převody do FÚUP</t>
    </r>
    <r>
      <rPr>
        <sz val="8"/>
        <rFont val="Calibri"/>
        <family val="2"/>
        <charset val="238"/>
      </rPr>
      <t xml:space="preserve"> (6)</t>
    </r>
  </si>
  <si>
    <r>
      <t>Vratka nevyčerpaných prostředků</t>
    </r>
    <r>
      <rPr>
        <sz val="6"/>
        <rFont val="Calibri"/>
        <family val="2"/>
        <charset val="238"/>
      </rPr>
      <t xml:space="preserve"> </t>
    </r>
    <r>
      <rPr>
        <sz val="8"/>
        <rFont val="Calibri"/>
        <family val="2"/>
        <charset val="238"/>
      </rPr>
      <t>(7)</t>
    </r>
  </si>
  <si>
    <r>
      <t xml:space="preserve">z toho na zákl. fin. vypořádání </t>
    </r>
    <r>
      <rPr>
        <sz val="8"/>
        <rFont val="Calibri"/>
        <family val="2"/>
        <charset val="238"/>
      </rPr>
      <t>(8)</t>
    </r>
  </si>
  <si>
    <r>
      <t xml:space="preserve">Ostatní použité neveřejné zdroje </t>
    </r>
    <r>
      <rPr>
        <sz val="8"/>
        <rFont val="Calibri"/>
        <family val="2"/>
        <charset val="238"/>
      </rPr>
      <t>(9)</t>
    </r>
  </si>
  <si>
    <r>
      <t xml:space="preserve">poskytnuté </t>
    </r>
    <r>
      <rPr>
        <sz val="8"/>
        <rFont val="Calibri"/>
        <family val="2"/>
        <charset val="238"/>
      </rPr>
      <t>(2)</t>
    </r>
  </si>
  <si>
    <r>
      <t xml:space="preserve">použité </t>
    </r>
    <r>
      <rPr>
        <sz val="8"/>
        <rFont val="Calibri"/>
        <family val="2"/>
        <charset val="238"/>
      </rPr>
      <t>(3)</t>
    </r>
  </si>
  <si>
    <t>Mobility výzkumných pracovníků MŠMT
 Program 7A - Šestý RP ES
 (OU - příjemce dotace)</t>
  </si>
  <si>
    <t>Programu pro financování mnohostranné vědeckotechnické spolupráce v Podunajskem regionu
 (OU - spolupříjemce dotace)</t>
  </si>
  <si>
    <t xml:space="preserve">     Účelová podpora (ÚP)</t>
  </si>
  <si>
    <t>Národní program udržitelnosti I (2013–2020)
(OU – spolupříjemce dotace)</t>
  </si>
  <si>
    <t>Národní program udržitelnosti II
(OU – spolupříjemce dotace)</t>
  </si>
  <si>
    <t>Program LE - EUPRO II (2011 - 2017)
(OU - spolupříjemce dotace)</t>
  </si>
  <si>
    <t xml:space="preserve">      Velké infrastruktury</t>
  </si>
  <si>
    <t xml:space="preserve">    Ministerstvo zdravotnictví</t>
  </si>
  <si>
    <t>Program NV - Program na podporu zdravotnického aplikovaného výzkumu a vývoje na léta 2015-2022                                               (OU - hlavní příjemce dotace)</t>
  </si>
  <si>
    <t>Program NV - Program na podporu zdravotnického aplikovaného výzkumu a vývoje na léta 2015-2022                                               (OU - spolupříjemce dotace)</t>
  </si>
  <si>
    <t>Grantová agentura ČR - standardní granty
(OU - hlavní příjemce dotace)</t>
  </si>
  <si>
    <t>Grantová agentura ČR – juniorské programy
(OU - hlavní příjemce dotace)</t>
  </si>
  <si>
    <t>Grantová agentura ČR – Mezinárodní grantové projekty (LA) - Rakousko
(OU - hlavní příjemce dotace)</t>
  </si>
  <si>
    <t>Grantová agentura ČR - standardní granty
(OU - spolupříjemce dotace)</t>
  </si>
  <si>
    <t>TA - Program na podporu aplikovaného výzkumu a experimentálního vývoje ALFA (2011-2019)
(OU - příjemce dotace)</t>
  </si>
  <si>
    <t>TH - Program na podporu aplikovaného výzkumu a experimentálního vývoje EPSILON (2015-2025)
(OU - příjemce dotace)</t>
  </si>
  <si>
    <t>TD - Program na podporu aplikovaného společenskovědního výzkumu a experimentálního vývoje OMEGA  (2012 - 2017)
(OU - spolupříjemce dotace)</t>
  </si>
  <si>
    <t xml:space="preserve">    EU - 7.RP ES Marie Curie</t>
  </si>
  <si>
    <t xml:space="preserve">    EU - Horizon 2020</t>
  </si>
  <si>
    <t xml:space="preserve">    Polsko - ostatní</t>
  </si>
  <si>
    <t xml:space="preserve">Tab. 5.b.   Financování výzkumu a vývoje  </t>
  </si>
  <si>
    <t xml:space="preserve">(bez prostředků poskytovaných na operační programy EU) </t>
  </si>
  <si>
    <t xml:space="preserve">Druh podpory/název programu </t>
  </si>
  <si>
    <r>
      <t xml:space="preserve">Prostředky z veřejných zdrojů </t>
    </r>
    <r>
      <rPr>
        <b/>
        <sz val="11"/>
        <rFont val="Comenia Serif"/>
        <family val="3"/>
      </rPr>
      <t>běžné</t>
    </r>
  </si>
  <si>
    <r>
      <t xml:space="preserve">Prostředky z veřejných zdrojů </t>
    </r>
    <r>
      <rPr>
        <b/>
        <sz val="11"/>
        <rFont val="Comenia Serif"/>
        <family val="3"/>
      </rPr>
      <t>kapitálové</t>
    </r>
  </si>
  <si>
    <r>
      <t xml:space="preserve">Prostředky z veřejných zdrojů </t>
    </r>
    <r>
      <rPr>
        <b/>
        <sz val="11"/>
        <rFont val="Comenia Serif"/>
        <family val="3"/>
      </rPr>
      <t>celkem</t>
    </r>
  </si>
  <si>
    <t xml:space="preserve">z toho zdroje zahr. v % </t>
  </si>
  <si>
    <t xml:space="preserve">z toho zajištěno spoluřešit. </t>
  </si>
  <si>
    <t xml:space="preserve">z toho převody do FÚUP </t>
  </si>
  <si>
    <t xml:space="preserve">Vratka nevyčerpaných prostředků </t>
  </si>
  <si>
    <t xml:space="preserve">z toho na zákl. fin. vypořádání </t>
  </si>
  <si>
    <t>Ostatní použité neveřejné zdroje</t>
  </si>
  <si>
    <t xml:space="preserve">     IP na dlouhodobý koncepční rozvoj výzk. org.691/021</t>
  </si>
  <si>
    <t xml:space="preserve">     IP na mezinárodní spolupráci ČR ve VaV 691/022</t>
  </si>
  <si>
    <t>specifikovat dle programu (10)</t>
  </si>
  <si>
    <t xml:space="preserve">     Specifický vysokoškolský výzkum 691/006</t>
  </si>
  <si>
    <r>
      <t xml:space="preserve">     součtový řádek pro poskytovatele </t>
    </r>
    <r>
      <rPr>
        <sz val="11"/>
        <rFont val="Comenia Serif"/>
        <family val="3"/>
      </rPr>
      <t>(8)</t>
    </r>
  </si>
  <si>
    <t>GAČR 691/007</t>
  </si>
  <si>
    <t>Tabulka 3.1.1.2.1 Financování výzkumu a vývoje na Slezské univerzitě v Opavě</t>
  </si>
  <si>
    <t xml:space="preserve"> tis. Kč</t>
  </si>
  <si>
    <t>Č. ř.</t>
  </si>
  <si>
    <t>Druh podpory/název programu</t>
  </si>
  <si>
    <t>Prostředky z veřejných zdrojů běžné</t>
  </si>
  <si>
    <t>Prostředky z veřejných zdrojů kapitálové</t>
  </si>
  <si>
    <t>Prostředky z veřejných zdrojů celkem</t>
  </si>
  <si>
    <t>z toho zdroje zahraniční v %</t>
  </si>
  <si>
    <t>z toho zajištěno spoluřešiteli</t>
  </si>
  <si>
    <t>z toho převody do FÚUP</t>
  </si>
  <si>
    <t>IP na dlouh. koncepční rozvoj výzk. organizací</t>
  </si>
  <si>
    <t>Národní program udržitelnosti (SU - spolupříjemce dotace)</t>
  </si>
  <si>
    <t>GA ČR</t>
  </si>
  <si>
    <t>TA ČR</t>
  </si>
  <si>
    <t>Dotace MSK a měst</t>
  </si>
  <si>
    <t>Prostředky ze zahraničí získané přímo VVŠ</t>
  </si>
  <si>
    <t>Podpora vědy a výzkumu v MSK</t>
  </si>
  <si>
    <r>
      <t xml:space="preserve">Ostatní použité neveřejné zdroje </t>
    </r>
    <r>
      <rPr>
        <sz val="8"/>
        <color indexed="8"/>
        <rFont val="Calibri"/>
        <family val="2"/>
        <charset val="238"/>
      </rPr>
      <t>(7)</t>
    </r>
  </si>
  <si>
    <t xml:space="preserve">          v tom: rámcové programy</t>
  </si>
  <si>
    <t xml:space="preserve">                     mobilita výzkumných pracovníků</t>
  </si>
  <si>
    <t xml:space="preserve">                     norské fondy</t>
  </si>
  <si>
    <t xml:space="preserve">     Základní výzkum</t>
  </si>
  <si>
    <t xml:space="preserve">     Aplikovaný výzkum</t>
  </si>
  <si>
    <t xml:space="preserve">        v tom: LO Národní program udržitelnosti I</t>
  </si>
  <si>
    <t xml:space="preserve">                   LE EURPO II</t>
  </si>
  <si>
    <t xml:space="preserve">                   LG INGO II</t>
  </si>
  <si>
    <t xml:space="preserve">                   LD COST CZ</t>
  </si>
  <si>
    <t xml:space="preserve">                   LF EUREKA CZ</t>
  </si>
  <si>
    <t xml:space="preserve">                   LR Informace - základ výzkumu</t>
  </si>
  <si>
    <t xml:space="preserve">                   LL ERC CZ</t>
  </si>
  <si>
    <t xml:space="preserve">                  BILATERAL</t>
  </si>
  <si>
    <t xml:space="preserve">                 INTER EXCELLENCE</t>
  </si>
  <si>
    <t xml:space="preserve">     NPV</t>
  </si>
  <si>
    <t xml:space="preserve">                   LM PROJEKTY VELKÝCH INFRASTRUKTUR</t>
  </si>
  <si>
    <r>
      <t xml:space="preserve">     AV ČR  </t>
    </r>
    <r>
      <rPr>
        <sz val="8"/>
        <color indexed="8"/>
        <rFont val="Calibri"/>
        <family val="2"/>
        <charset val="238"/>
      </rPr>
      <t>(8)</t>
    </r>
  </si>
  <si>
    <t xml:space="preserve">       v tom: GA Standardní projekty</t>
  </si>
  <si>
    <t xml:space="preserve">                  GC Mezinárodní projekty</t>
  </si>
  <si>
    <t xml:space="preserve">                  LA Granty</t>
  </si>
  <si>
    <t xml:space="preserve">                  GJ Juniorské granty</t>
  </si>
  <si>
    <t xml:space="preserve">                  GB Projekty na podporu excelence v zákl. výzkumu</t>
  </si>
  <si>
    <t>specifikace VŠ</t>
  </si>
  <si>
    <t xml:space="preserve">       v tom: TA Program ALFA</t>
  </si>
  <si>
    <t xml:space="preserve">                  TJ Program ZÉTA</t>
  </si>
  <si>
    <t xml:space="preserve">                  TG Program GAMA</t>
  </si>
  <si>
    <t xml:space="preserve">                  TD Program OMEGA</t>
  </si>
  <si>
    <t xml:space="preserve">                  TF Program DELTA</t>
  </si>
  <si>
    <t xml:space="preserve">                  TH Epsilon</t>
  </si>
  <si>
    <t xml:space="preserve">                  TE Centra kompetence</t>
  </si>
  <si>
    <t xml:space="preserve">     Ministerstvo kultury</t>
  </si>
  <si>
    <t xml:space="preserve">       v tom: DF Program NAKI </t>
  </si>
  <si>
    <t xml:space="preserve">       v tom: DF Program NAKI II</t>
  </si>
  <si>
    <t xml:space="preserve">                   VI Bezpečnostní výzkum ČR</t>
  </si>
  <si>
    <t xml:space="preserve">                 NV Program na podporu zdravotnického aplikovaného výzkumu a vývoje</t>
  </si>
  <si>
    <t xml:space="preserve">                   QJ Komplexní udržitelné systémy v zemědělství 2012-2018 "KUS"</t>
  </si>
  <si>
    <r>
      <t>Prostředky ze zahraničí</t>
    </r>
    <r>
      <rPr>
        <b/>
        <sz val="10"/>
        <rFont val="Calibri"/>
        <family val="2"/>
        <charset val="238"/>
      </rPr>
      <t xml:space="preserve"> (získané přímo VVŠ)</t>
    </r>
  </si>
  <si>
    <t xml:space="preserve">    7. RP</t>
  </si>
  <si>
    <t xml:space="preserve">    8. RP</t>
  </si>
  <si>
    <t xml:space="preserve">    Norské fondy</t>
  </si>
  <si>
    <t xml:space="preserve">    Švýcarské fondy</t>
  </si>
  <si>
    <t xml:space="preserve">    Visegrádské fondy</t>
  </si>
  <si>
    <t xml:space="preserve">    US NAVY, US EOARD, US ARMY</t>
  </si>
  <si>
    <t xml:space="preserve">    ESA - Evropská kosmická agentura</t>
  </si>
  <si>
    <t xml:space="preserve">    RFSR, IAEA</t>
  </si>
  <si>
    <t xml:space="preserve">    ostatní zahraniční dotace</t>
  </si>
  <si>
    <t>Chemické databáze</t>
  </si>
  <si>
    <t>Kontakt</t>
  </si>
  <si>
    <t>Ingo</t>
  </si>
  <si>
    <t>Cost</t>
  </si>
  <si>
    <t>Eupro</t>
  </si>
  <si>
    <t>Inter-excellence</t>
  </si>
  <si>
    <t>EHP/Norsko</t>
  </si>
  <si>
    <r>
      <t xml:space="preserve">     součtový řádek pro poskytovatele </t>
    </r>
    <r>
      <rPr>
        <b/>
        <sz val="8"/>
        <color indexed="8"/>
        <rFont val="Calibri"/>
        <family val="2"/>
        <charset val="238"/>
      </rPr>
      <t>(8)</t>
    </r>
  </si>
  <si>
    <t>FP7, H2020</t>
  </si>
  <si>
    <t>EHP - Norsko</t>
  </si>
  <si>
    <t>EFSA</t>
  </si>
  <si>
    <r>
      <t>z toho zdroje zahr. v</t>
    </r>
    <r>
      <rPr>
        <sz val="10"/>
        <rFont val="Calibri"/>
        <family val="2"/>
        <charset val="238"/>
      </rPr>
      <t xml:space="preserve"> %</t>
    </r>
  </si>
  <si>
    <t>z toho zajištěno spoluřešit.</t>
  </si>
  <si>
    <t>Vratka nevyčerpaných prostředků (1)</t>
  </si>
  <si>
    <t>z toho na zákl. fin. vypořádání</t>
  </si>
  <si>
    <t>INFOZ</t>
  </si>
  <si>
    <t>Inter-Inform</t>
  </si>
  <si>
    <t>Inter Cost, Inter Eureka</t>
  </si>
  <si>
    <t>Min. pro místní rozvoj</t>
  </si>
  <si>
    <t>Min. kultury - NAKI</t>
  </si>
  <si>
    <t>Min. vnitra</t>
  </si>
  <si>
    <t>GAČR - součtový řádek</t>
  </si>
  <si>
    <t>TAČR - součtový řádek</t>
  </si>
  <si>
    <t>AFOSR</t>
  </si>
  <si>
    <t>z toho zdroje zahr. v % (4)</t>
  </si>
  <si>
    <t>z toho zajištěno spoluřešit. (5)</t>
  </si>
  <si>
    <t>z toho převody do FÚUP (6)</t>
  </si>
  <si>
    <t>Vratka nevyčerpaných prostředků (7)</t>
  </si>
  <si>
    <t>z toho na zákl. fin. vypořádání (8)</t>
  </si>
  <si>
    <t>Ostatní použité neveřejné zdroje (9)</t>
  </si>
  <si>
    <t>poskytnuté (2)</t>
  </si>
  <si>
    <t>použité (3)</t>
  </si>
  <si>
    <t xml:space="preserve">     IP na mezinárodní spolupráci ČR ve VaV(18001)</t>
  </si>
  <si>
    <t xml:space="preserve">                   Národní programy udržitelnosti - NPU I (16001)</t>
  </si>
  <si>
    <t>Eupro II (18300)</t>
  </si>
  <si>
    <t>Inter-Excellence (18301,18302)</t>
  </si>
  <si>
    <t>Ministerstvo kultůry</t>
  </si>
  <si>
    <t>AMIIGA</t>
  </si>
  <si>
    <t>7.rámcový</t>
  </si>
  <si>
    <t>MOBILITY</t>
  </si>
  <si>
    <t xml:space="preserve">     Účelová podpora</t>
  </si>
  <si>
    <t>program ERC CZ</t>
  </si>
  <si>
    <t>program LG – INGO II</t>
  </si>
  <si>
    <t>program INTER-INFORM</t>
  </si>
  <si>
    <t>LM – Projekty velkých infrastruktur pro VaVaI</t>
  </si>
  <si>
    <t xml:space="preserve">    Ministerstvo kultury ČR</t>
  </si>
  <si>
    <t>program DG – NAKI II</t>
  </si>
  <si>
    <t xml:space="preserve">    Ministerstvo vnitra ČR</t>
  </si>
  <si>
    <t>VI – Bezpečnostní výzkum České republiky 2015-2020</t>
  </si>
  <si>
    <t>VH - Program bezpečnostního výzkumu pro potřeby státu 2016-2021</t>
  </si>
  <si>
    <t>program GA – standardní projekty</t>
  </si>
  <si>
    <t>program GP – postdoktorandské granty</t>
  </si>
  <si>
    <t>program TA – ALFA</t>
  </si>
  <si>
    <t>program TH - EPSILON</t>
  </si>
  <si>
    <t>program TG – GAMA</t>
  </si>
  <si>
    <t xml:space="preserve">    Evropská komise</t>
  </si>
  <si>
    <t>program HORIZONT 2020</t>
  </si>
  <si>
    <t>program COST</t>
  </si>
  <si>
    <t xml:space="preserve">    Ostatní poskytovatelé</t>
  </si>
  <si>
    <t>MIND Association</t>
  </si>
  <si>
    <r>
      <t>z toho zdroje zahr. v</t>
    </r>
    <r>
      <rPr>
        <sz val="10"/>
        <color indexed="8"/>
        <rFont val="Calibri"/>
        <family val="2"/>
        <charset val="238"/>
      </rPr>
      <t xml:space="preserve"> %</t>
    </r>
  </si>
  <si>
    <t>IP na spoluf. mezinárodních projektů</t>
  </si>
  <si>
    <t>Česko-bavorská spolupráce ve VaV</t>
  </si>
  <si>
    <t>Česko-norský výzkumný program</t>
  </si>
  <si>
    <t>Projekty mobilit vědeckých pracovníků</t>
  </si>
  <si>
    <t>Česko- čínská spolupráce</t>
  </si>
  <si>
    <t>Národní program udržitelnosti</t>
  </si>
  <si>
    <t>Program COST</t>
  </si>
  <si>
    <t>Program EUPRO</t>
  </si>
  <si>
    <t>Program INTER - ostatní</t>
  </si>
  <si>
    <t xml:space="preserve">     Velké infrastruktury    </t>
  </si>
  <si>
    <t>MV ČR</t>
  </si>
  <si>
    <t xml:space="preserve">MZdr ČR </t>
  </si>
  <si>
    <t xml:space="preserve">MK ČR   </t>
  </si>
  <si>
    <t xml:space="preserve">Mze ČR    </t>
  </si>
  <si>
    <t>Jihomoravský kraj - SoMoPro</t>
  </si>
  <si>
    <t>7. rámcový program</t>
  </si>
  <si>
    <t xml:space="preserve">Program JU ARTEMIS </t>
  </si>
  <si>
    <t>Program JU ESCEL</t>
  </si>
  <si>
    <t>Horizon 2020</t>
  </si>
  <si>
    <t>Ostatní dotace ze zahraničí</t>
  </si>
  <si>
    <t xml:space="preserve">  </t>
  </si>
  <si>
    <r>
      <t xml:space="preserve">     </t>
    </r>
    <r>
      <rPr>
        <sz val="10"/>
        <color indexed="8"/>
        <rFont val="Calibri"/>
        <family val="2"/>
        <charset val="238"/>
      </rPr>
      <t>UP na programové projekty národní</t>
    </r>
  </si>
  <si>
    <r>
      <t xml:space="preserve">             </t>
    </r>
    <r>
      <rPr>
        <sz val="10"/>
        <color indexed="8"/>
        <rFont val="Calibri"/>
        <family val="2"/>
        <charset val="238"/>
      </rPr>
      <t>Národní program udržitelnosti</t>
    </r>
  </si>
  <si>
    <t xml:space="preserve">      UP na projekty mezinárodní spolupráce</t>
  </si>
  <si>
    <t xml:space="preserve">             Program EUPRO II</t>
  </si>
  <si>
    <t xml:space="preserve">             Mobility</t>
  </si>
  <si>
    <r>
      <t xml:space="preserve">             </t>
    </r>
    <r>
      <rPr>
        <sz val="10"/>
        <color indexed="8"/>
        <rFont val="Calibri"/>
        <family val="2"/>
        <charset val="238"/>
      </rPr>
      <t>Zabezpečení účasti ČR v iniciativě PRACE</t>
    </r>
  </si>
  <si>
    <t xml:space="preserve">      Dotace na EHP Norsko</t>
  </si>
  <si>
    <t xml:space="preserve">   </t>
  </si>
  <si>
    <t xml:space="preserve">            Grantová agentura ČR</t>
  </si>
  <si>
    <t xml:space="preserve">            Technologická agentura ČR</t>
  </si>
  <si>
    <t xml:space="preserve">            Ministerstvo vnitra</t>
  </si>
  <si>
    <t xml:space="preserve">            Ministerstvo zemědělství</t>
  </si>
  <si>
    <t xml:space="preserve">            Moravskoslezský kraj</t>
  </si>
  <si>
    <t xml:space="preserve">            Rámcové programy</t>
  </si>
  <si>
    <t xml:space="preserve">            Přeshraniční spolupráce</t>
  </si>
  <si>
    <t xml:space="preserve">            Mezinárodní Vysegrádský fond</t>
  </si>
  <si>
    <t xml:space="preserve">            INTERREG</t>
  </si>
  <si>
    <t xml:space="preserve">Tabulka 5.b   Financování výzkumu a vývoje UTB v roce 2017  </t>
  </si>
  <si>
    <t>z toho Aktivita mobility</t>
  </si>
  <si>
    <t>Základní výzkum- NPU I(LO1303) Podpora udržitelnosti rozvoje CEBIA-Tech</t>
  </si>
  <si>
    <t>Základní výzkum- NPU I(LO1504) Centrum polymerních systémů plus</t>
  </si>
  <si>
    <t xml:space="preserve">Základní výzkum-LH KONTAKT II </t>
  </si>
  <si>
    <t>Ministerstvo vnitra (Program bezpečnostního výzkumu ČR)</t>
  </si>
  <si>
    <t>Ministerstvo zemědělství (Kompl.udržitelné systémy v zemědělství) 2012-2018)</t>
  </si>
  <si>
    <t>Standardní projekty</t>
  </si>
  <si>
    <t>Postdoktorské projekty</t>
  </si>
  <si>
    <t>Juniorské projekty</t>
  </si>
  <si>
    <t xml:space="preserve">     Centra kompetence</t>
  </si>
  <si>
    <t xml:space="preserve">     Program na podporu aplikovaného společenskovědního               výzkumu experimentálního vývoje OMEGA</t>
  </si>
  <si>
    <t>Program aplikovaného výzkumu, exp. vývoje a inovací GAMA</t>
  </si>
  <si>
    <t>Program na podporu aplik.výzkumu a exper. vývoje EPSILON</t>
  </si>
  <si>
    <t>Program aplik. Výzkumu ZÉTA</t>
  </si>
  <si>
    <t>8.RP Horizont</t>
  </si>
  <si>
    <t>Norské fondy</t>
  </si>
  <si>
    <t>Evropská komise</t>
  </si>
  <si>
    <r>
      <t xml:space="preserve">     MVČR </t>
    </r>
    <r>
      <rPr>
        <sz val="8"/>
        <color indexed="8"/>
        <rFont val="Calibri"/>
        <family val="2"/>
        <charset val="238"/>
      </rPr>
      <t>(8)</t>
    </r>
  </si>
  <si>
    <t xml:space="preserve">    Ostatní</t>
  </si>
  <si>
    <t>(v Kč)</t>
  </si>
  <si>
    <t>COST</t>
  </si>
  <si>
    <t>EUPRO</t>
  </si>
  <si>
    <t>INTER-COST</t>
  </si>
  <si>
    <t>INTER-INFORM</t>
  </si>
  <si>
    <t xml:space="preserve">    GAČR</t>
  </si>
  <si>
    <t xml:space="preserve">    TAČR </t>
  </si>
  <si>
    <t xml:space="preserve">    MZe</t>
  </si>
  <si>
    <t xml:space="preserve">    MV ČR</t>
  </si>
  <si>
    <t xml:space="preserve">    MMR</t>
  </si>
  <si>
    <t xml:space="preserve">    EHS fondy MŽP</t>
  </si>
  <si>
    <t xml:space="preserve">    7. rámcový program</t>
  </si>
  <si>
    <t xml:space="preserve">    Horizont 2020</t>
  </si>
  <si>
    <t xml:space="preserve">    Ostatní zahraniční dotace</t>
  </si>
  <si>
    <r>
      <t>z toho zajištěno spoluřešit.</t>
    </r>
    <r>
      <rPr>
        <sz val="8"/>
        <color indexed="8"/>
        <rFont val="Calibri"/>
        <family val="2"/>
        <charset val="238"/>
      </rPr>
      <t xml:space="preserve"> </t>
    </r>
  </si>
  <si>
    <t xml:space="preserve">z toho na zákl. fin. vypořádání
</t>
  </si>
  <si>
    <t xml:space="preserve">použité </t>
  </si>
  <si>
    <t>x</t>
  </si>
  <si>
    <t xml:space="preserve">           INTER-TRANSFER (LT)</t>
  </si>
  <si>
    <t xml:space="preserve">           Program Cost CZ (LD) (8)</t>
  </si>
  <si>
    <t xml:space="preserve">           Program INGO II  (LG)</t>
  </si>
  <si>
    <t xml:space="preserve">           INTER-EXCELLENCE</t>
  </si>
  <si>
    <r>
      <t xml:space="preserve">     součtový řádek pro poskytovatele MZe </t>
    </r>
    <r>
      <rPr>
        <b/>
        <sz val="8"/>
        <color indexed="8"/>
        <rFont val="Calibri"/>
        <family val="2"/>
        <charset val="238"/>
      </rPr>
      <t>(8)</t>
    </r>
  </si>
  <si>
    <t xml:space="preserve">            NAZV (KUS)</t>
  </si>
  <si>
    <t xml:space="preserve">    součtový řádek pro poskytovatele GAČR</t>
  </si>
  <si>
    <t xml:space="preserve">           standardní grantové projekty</t>
  </si>
  <si>
    <t xml:space="preserve">    součtový řádek pro poskytovatele TAČR</t>
  </si>
  <si>
    <t xml:space="preserve">          Program Alfa</t>
  </si>
  <si>
    <t xml:space="preserve">          Program Beta</t>
  </si>
  <si>
    <t xml:space="preserve">          Program Omega</t>
  </si>
  <si>
    <t xml:space="preserve">          Program Gama</t>
  </si>
  <si>
    <t xml:space="preserve">          Program Epsilon</t>
  </si>
  <si>
    <t xml:space="preserve">          Program Centra kompetence</t>
  </si>
  <si>
    <t xml:space="preserve">     součtový řádek pro poskytovatele Min. kultury</t>
  </si>
  <si>
    <t xml:space="preserve">          Program NAKI</t>
  </si>
  <si>
    <t>     součtový řádek pro poskytovatele MMR</t>
  </si>
  <si>
    <t xml:space="preserve">          Interreg Hardis, Inteko</t>
  </si>
  <si>
    <t xml:space="preserve">          Centrum pro regionální rozvoj Intereg Hardis</t>
  </si>
  <si>
    <t xml:space="preserve">         SoMoPro</t>
  </si>
  <si>
    <t xml:space="preserve">    součtový řádek pro poskytovatele Fond EHP</t>
  </si>
  <si>
    <t xml:space="preserve">          EPH a Program CZ02</t>
  </si>
  <si>
    <t xml:space="preserve">          EHP MF ČR Norské fondy-Červená kniha, RaFa</t>
  </si>
  <si>
    <t xml:space="preserve">    součtový řádek pro poskytovatele EU</t>
  </si>
  <si>
    <t xml:space="preserve">          Program H2020</t>
  </si>
  <si>
    <t xml:space="preserve">          Program COST Action</t>
  </si>
  <si>
    <t xml:space="preserve">          Zahraniční dotace ostatní</t>
  </si>
  <si>
    <t xml:space="preserve">          Program Rada Evropy</t>
  </si>
  <si>
    <t xml:space="preserve">    součtový řádek pro poskytovatele ostatní</t>
  </si>
  <si>
    <t xml:space="preserve">          EC REA-Grant č. 776045-MySustainableForest</t>
  </si>
  <si>
    <t xml:space="preserve">    Projekty NAKI MK ČR (aplikovaný výzkum)</t>
  </si>
  <si>
    <t xml:space="preserve">     Ministerstvo kultury - NAKI</t>
  </si>
  <si>
    <t>Ministerstvo průmyslu a obchodu  projekt TRIO</t>
  </si>
  <si>
    <t>Jihlavan Elektromechanické pohony letecké aplikace</t>
  </si>
  <si>
    <t>Erilens Vývoj a inovace dětské předloketní berle</t>
  </si>
  <si>
    <t>Hodnocení a modelování</t>
  </si>
  <si>
    <t>Výzkum a vývoj Epsilon</t>
  </si>
  <si>
    <t xml:space="preserve">     IP na uskutečňování výzkumných záměrů</t>
  </si>
  <si>
    <r>
      <t xml:space="preserve">      </t>
    </r>
    <r>
      <rPr>
        <i/>
        <sz val="10"/>
        <color indexed="8"/>
        <rFont val="Calibri"/>
        <family val="2"/>
        <charset val="238"/>
      </rPr>
      <t xml:space="preserve"> v tom: IA Granty výrazně badatelského charakteru</t>
    </r>
  </si>
  <si>
    <r>
      <t xml:space="preserve">Druh podpory/název programu </t>
    </r>
    <r>
      <rPr>
        <sz val="12"/>
        <color indexed="8"/>
        <rFont val="Times New Roman"/>
        <family val="1"/>
        <charset val="238"/>
      </rPr>
      <t>(1)</t>
    </r>
  </si>
  <si>
    <r>
      <t xml:space="preserve">Prostředky z veřejných zdrojů </t>
    </r>
    <r>
      <rPr>
        <b/>
        <sz val="12"/>
        <color indexed="8"/>
        <rFont val="Times New Roman"/>
        <family val="1"/>
        <charset val="238"/>
      </rPr>
      <t>běžné</t>
    </r>
  </si>
  <si>
    <r>
      <t xml:space="preserve">Prostředky z veřejných zdrojů </t>
    </r>
    <r>
      <rPr>
        <b/>
        <sz val="12"/>
        <color indexed="8"/>
        <rFont val="Times New Roman"/>
        <family val="1"/>
        <charset val="238"/>
      </rPr>
      <t>kapitálové</t>
    </r>
  </si>
  <si>
    <r>
      <t xml:space="preserve">Prostředky z veřejných zdrojů </t>
    </r>
    <r>
      <rPr>
        <b/>
        <sz val="12"/>
        <color indexed="8"/>
        <rFont val="Times New Roman"/>
        <family val="1"/>
        <charset val="238"/>
      </rPr>
      <t>celkem</t>
    </r>
  </si>
  <si>
    <r>
      <t xml:space="preserve">specifikovat dle programu </t>
    </r>
    <r>
      <rPr>
        <i/>
        <sz val="12"/>
        <color indexed="8"/>
        <rFont val="Times New Roman"/>
        <family val="1"/>
        <charset val="238"/>
      </rPr>
      <t>(10)</t>
    </r>
  </si>
  <si>
    <r>
      <t xml:space="preserve">     součtový řádek pro poskytovatele </t>
    </r>
    <r>
      <rPr>
        <sz val="12"/>
        <color indexed="8"/>
        <rFont val="Times New Roman"/>
        <family val="1"/>
        <charset val="238"/>
      </rPr>
      <t>(8)</t>
    </r>
  </si>
  <si>
    <r>
      <t>Prostředky ze zahraničí</t>
    </r>
    <r>
      <rPr>
        <b/>
        <sz val="12"/>
        <color indexed="8"/>
        <rFont val="Times New Roman"/>
        <family val="1"/>
        <charset val="238"/>
      </rPr>
      <t xml:space="preserve"> (získané přímo VVŠ)</t>
    </r>
  </si>
  <si>
    <r>
      <t xml:space="preserve">    </t>
    </r>
    <r>
      <rPr>
        <b/>
        <sz val="10"/>
        <color indexed="8"/>
        <rFont val="Calibri"/>
        <family val="2"/>
        <charset val="238"/>
      </rPr>
      <t>MK ČR</t>
    </r>
  </si>
</sst>
</file>

<file path=xl/styles.xml><?xml version="1.0" encoding="utf-8"?>
<styleSheet xmlns="http://schemas.openxmlformats.org/spreadsheetml/2006/main" xmlns:mc="http://schemas.openxmlformats.org/markup-compatibility/2006" xmlns:x14ac="http://schemas.microsoft.com/office/spreadsheetml/2009/9/ac" mc:Ignorable="x14ac">
  <fonts count="72">
    <font>
      <sz val="11"/>
      <color theme="1"/>
      <name val="Calibri"/>
      <family val="2"/>
      <charset val="238"/>
      <scheme val="minor"/>
    </font>
    <font>
      <sz val="10"/>
      <name val="Arial CE"/>
      <charset val="238"/>
    </font>
    <font>
      <sz val="10"/>
      <name val="Arial"/>
      <family val="2"/>
      <charset val="238"/>
    </font>
    <font>
      <sz val="10"/>
      <name val="Calibri"/>
      <family val="2"/>
      <charset val="238"/>
    </font>
    <font>
      <b/>
      <sz val="12"/>
      <name val="Calibri"/>
      <family val="2"/>
      <charset val="238"/>
    </font>
    <font>
      <b/>
      <sz val="10"/>
      <name val="Calibri"/>
      <family val="2"/>
      <charset val="238"/>
    </font>
    <font>
      <i/>
      <sz val="10"/>
      <name val="Calibri"/>
      <family val="2"/>
      <charset val="238"/>
    </font>
    <font>
      <sz val="10"/>
      <color indexed="8"/>
      <name val="Calibri"/>
      <family val="2"/>
      <charset val="238"/>
    </font>
    <font>
      <b/>
      <sz val="10"/>
      <color indexed="8"/>
      <name val="Calibri"/>
      <family val="2"/>
      <charset val="238"/>
    </font>
    <font>
      <sz val="8"/>
      <name val="Calibri"/>
      <family val="2"/>
      <charset val="238"/>
    </font>
    <font>
      <sz val="8"/>
      <color indexed="8"/>
      <name val="Calibri"/>
      <family val="2"/>
      <charset val="238"/>
    </font>
    <font>
      <sz val="12"/>
      <name val="Calibri"/>
      <family val="2"/>
      <charset val="238"/>
    </font>
    <font>
      <b/>
      <sz val="11"/>
      <color indexed="8"/>
      <name val="Calibri"/>
      <family val="2"/>
      <charset val="238"/>
    </font>
    <font>
      <b/>
      <sz val="11"/>
      <name val="Calibri"/>
      <family val="2"/>
      <charset val="238"/>
    </font>
    <font>
      <b/>
      <sz val="12"/>
      <color indexed="8"/>
      <name val="Calibri"/>
      <family val="2"/>
      <charset val="238"/>
    </font>
    <font>
      <i/>
      <sz val="10"/>
      <color indexed="8"/>
      <name val="Calibri"/>
      <family val="2"/>
      <charset val="238"/>
    </font>
    <font>
      <sz val="6"/>
      <color indexed="8"/>
      <name val="Calibri"/>
      <family val="2"/>
      <charset val="238"/>
    </font>
    <font>
      <sz val="8"/>
      <color indexed="8"/>
      <name val="Calibri"/>
      <family val="2"/>
      <charset val="238"/>
    </font>
    <font>
      <i/>
      <sz val="8"/>
      <color indexed="8"/>
      <name val="Calibri"/>
      <family val="2"/>
      <charset val="238"/>
    </font>
    <font>
      <sz val="12"/>
      <color indexed="8"/>
      <name val="Calibri"/>
      <family val="2"/>
      <charset val="238"/>
    </font>
    <font>
      <b/>
      <sz val="22"/>
      <color indexed="8"/>
      <name val="Calibri"/>
      <family val="2"/>
      <charset val="238"/>
    </font>
    <font>
      <sz val="14"/>
      <color indexed="8"/>
      <name val="Calibri"/>
      <family val="2"/>
      <charset val="238"/>
    </font>
    <font>
      <sz val="10"/>
      <color indexed="8"/>
      <name val="Arial"/>
      <family val="2"/>
      <charset val="238"/>
    </font>
    <font>
      <sz val="8"/>
      <color indexed="8"/>
      <name val="Arial"/>
      <family val="2"/>
      <charset val="238"/>
    </font>
    <font>
      <b/>
      <sz val="10"/>
      <color indexed="8"/>
      <name val="Arial"/>
      <family val="2"/>
      <charset val="238"/>
    </font>
    <font>
      <b/>
      <sz val="10"/>
      <name val="Arial"/>
      <family val="2"/>
      <charset val="238"/>
    </font>
    <font>
      <sz val="6"/>
      <name val="Calibri"/>
      <family val="2"/>
      <charset val="238"/>
    </font>
    <font>
      <b/>
      <sz val="11"/>
      <name val="Comenia Serif"/>
      <family val="3"/>
    </font>
    <font>
      <sz val="11"/>
      <name val="Comenia Serif"/>
      <family val="3"/>
    </font>
    <font>
      <i/>
      <sz val="11"/>
      <name val="Comenia Serif"/>
      <family val="3"/>
    </font>
    <font>
      <b/>
      <sz val="8"/>
      <color indexed="8"/>
      <name val="Calibri"/>
      <family val="2"/>
      <charset val="238"/>
    </font>
    <font>
      <b/>
      <sz val="12"/>
      <color indexed="8"/>
      <name val="Times New Roman"/>
      <family val="1"/>
      <charset val="238"/>
    </font>
    <font>
      <sz val="12"/>
      <color indexed="8"/>
      <name val="Times New Roman"/>
      <family val="1"/>
      <charset val="238"/>
    </font>
    <font>
      <sz val="12"/>
      <name val="Times New Roman"/>
      <family val="1"/>
      <charset val="238"/>
    </font>
    <font>
      <i/>
      <sz val="12"/>
      <color indexed="8"/>
      <name val="Times New Roman"/>
      <family val="1"/>
      <charset val="238"/>
    </font>
    <font>
      <b/>
      <sz val="10"/>
      <color indexed="81"/>
      <name val="Tahoma"/>
      <family val="2"/>
      <charset val="238"/>
    </font>
    <font>
      <sz val="10"/>
      <color indexed="81"/>
      <name val="Tahoma"/>
      <family val="2"/>
      <charset val="238"/>
    </font>
    <font>
      <b/>
      <sz val="9"/>
      <color indexed="81"/>
      <name val="Tahoma"/>
      <family val="2"/>
      <charset val="238"/>
    </font>
    <font>
      <sz val="9"/>
      <color indexed="81"/>
      <name val="Tahoma"/>
      <family val="2"/>
      <charset val="238"/>
    </font>
    <font>
      <b/>
      <sz val="10"/>
      <color indexed="8"/>
      <name val="Calibri"/>
      <family val="2"/>
      <charset val="238"/>
    </font>
    <font>
      <i/>
      <sz val="10"/>
      <color indexed="8"/>
      <name val="Calibri"/>
      <family val="2"/>
      <charset val="238"/>
    </font>
    <font>
      <b/>
      <sz val="11"/>
      <color theme="1"/>
      <name val="Calibri"/>
      <family val="2"/>
      <charset val="238"/>
      <scheme val="minor"/>
    </font>
    <font>
      <sz val="11"/>
      <color rgb="FFFF0000"/>
      <name val="Calibri"/>
      <family val="2"/>
      <charset val="238"/>
      <scheme val="minor"/>
    </font>
    <font>
      <sz val="10"/>
      <color theme="1"/>
      <name val="Calibri"/>
      <family val="2"/>
      <charset val="238"/>
      <scheme val="minor"/>
    </font>
    <font>
      <b/>
      <sz val="12"/>
      <color theme="1"/>
      <name val="Calibri"/>
      <family val="2"/>
      <charset val="238"/>
      <scheme val="minor"/>
    </font>
    <font>
      <b/>
      <sz val="10"/>
      <color theme="1"/>
      <name val="Calibri"/>
      <family val="2"/>
      <charset val="238"/>
      <scheme val="minor"/>
    </font>
    <font>
      <sz val="10"/>
      <color indexed="8"/>
      <name val="Calibri"/>
      <family val="2"/>
      <charset val="238"/>
      <scheme val="minor"/>
    </font>
    <font>
      <sz val="12"/>
      <color theme="1"/>
      <name val="Calibri"/>
      <family val="2"/>
      <charset val="238"/>
      <scheme val="minor"/>
    </font>
    <font>
      <i/>
      <sz val="10"/>
      <color theme="1"/>
      <name val="Calibri"/>
      <family val="2"/>
      <charset val="238"/>
      <scheme val="minor"/>
    </font>
    <font>
      <sz val="10"/>
      <name val="Calibri"/>
      <family val="2"/>
      <charset val="238"/>
      <scheme val="minor"/>
    </font>
    <font>
      <b/>
      <sz val="10"/>
      <name val="Calibri"/>
      <family val="2"/>
      <charset val="238"/>
      <scheme val="minor"/>
    </font>
    <font>
      <b/>
      <sz val="12"/>
      <name val="Calibri"/>
      <family val="2"/>
      <charset val="238"/>
      <scheme val="minor"/>
    </font>
    <font>
      <i/>
      <sz val="10"/>
      <name val="Calibri"/>
      <family val="2"/>
      <charset val="238"/>
      <scheme val="minor"/>
    </font>
    <font>
      <b/>
      <i/>
      <sz val="10"/>
      <color theme="1"/>
      <name val="Calibri"/>
      <family val="2"/>
      <charset val="238"/>
      <scheme val="minor"/>
    </font>
    <font>
      <sz val="10"/>
      <color theme="1"/>
      <name val="Arial"/>
      <family val="2"/>
      <charset val="238"/>
    </font>
    <font>
      <b/>
      <sz val="10"/>
      <color theme="1"/>
      <name val="Arial"/>
      <family val="2"/>
      <charset val="238"/>
    </font>
    <font>
      <i/>
      <sz val="10"/>
      <color theme="1"/>
      <name val="Arial"/>
      <family val="2"/>
      <charset val="238"/>
    </font>
    <font>
      <sz val="11"/>
      <name val="Calibri"/>
      <family val="2"/>
      <charset val="238"/>
      <scheme val="minor"/>
    </font>
    <font>
      <b/>
      <i/>
      <sz val="10"/>
      <color theme="1"/>
      <name val="Arial"/>
      <family val="2"/>
      <charset val="238"/>
    </font>
    <font>
      <i/>
      <sz val="10"/>
      <color indexed="8"/>
      <name val="Calibri"/>
      <family val="2"/>
      <charset val="238"/>
      <scheme val="minor"/>
    </font>
    <font>
      <b/>
      <sz val="12"/>
      <color theme="1"/>
      <name val="Times New Roman"/>
      <family val="1"/>
      <charset val="238"/>
    </font>
    <font>
      <sz val="12"/>
      <color theme="1"/>
      <name val="Times New Roman"/>
      <family val="1"/>
      <charset val="238"/>
    </font>
    <font>
      <i/>
      <sz val="12"/>
      <color theme="1"/>
      <name val="Times New Roman"/>
      <family val="1"/>
      <charset val="238"/>
    </font>
    <font>
      <i/>
      <sz val="10"/>
      <color rgb="FF00B050"/>
      <name val="Calibri"/>
      <family val="2"/>
      <charset val="238"/>
      <scheme val="minor"/>
    </font>
    <font>
      <sz val="10"/>
      <color rgb="FF00B050"/>
      <name val="Calibri"/>
      <family val="2"/>
      <charset val="238"/>
      <scheme val="minor"/>
    </font>
    <font>
      <b/>
      <sz val="16"/>
      <color theme="1"/>
      <name val="Calibri"/>
      <family val="2"/>
      <charset val="238"/>
      <scheme val="minor"/>
    </font>
    <font>
      <sz val="10"/>
      <color rgb="FF000000"/>
      <name val="Calibri"/>
      <family val="2"/>
      <charset val="238"/>
      <scheme val="minor"/>
    </font>
    <font>
      <sz val="12"/>
      <name val="Calibri"/>
      <family val="2"/>
      <charset val="238"/>
      <scheme val="minor"/>
    </font>
    <font>
      <b/>
      <sz val="10"/>
      <color indexed="8"/>
      <name val="Calibri"/>
      <family val="2"/>
      <charset val="238"/>
      <scheme val="minor"/>
    </font>
    <font>
      <b/>
      <sz val="12"/>
      <color theme="1" tint="0.499984740745262"/>
      <name val="Arial"/>
      <family val="2"/>
      <charset val="238"/>
    </font>
    <font>
      <sz val="11"/>
      <color theme="1" tint="0.499984740745262"/>
      <name val="Arial"/>
      <family val="2"/>
      <charset val="238"/>
    </font>
    <font>
      <sz val="11"/>
      <color theme="1"/>
      <name val="Arial"/>
      <family val="2"/>
      <charset val="238"/>
    </font>
  </fonts>
  <fills count="16">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indexed="9"/>
        <bgColor indexed="64"/>
      </patternFill>
    </fill>
    <fill>
      <patternFill patternType="solid">
        <fgColor indexed="3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EAEAEA"/>
        <bgColor indexed="64"/>
      </patternFill>
    </fill>
    <fill>
      <patternFill patternType="solid">
        <fgColor theme="0"/>
        <bgColor indexed="64"/>
      </patternFill>
    </fill>
    <fill>
      <patternFill patternType="solid">
        <fgColor theme="0" tint="-0.34998626667073579"/>
        <bgColor indexed="64"/>
      </patternFill>
    </fill>
    <fill>
      <patternFill patternType="solid">
        <fgColor rgb="FFF2F2F2"/>
        <bgColor indexed="64"/>
      </patternFill>
    </fill>
    <fill>
      <patternFill patternType="solid">
        <fgColor theme="9" tint="0.59999389629810485"/>
        <bgColor indexed="64"/>
      </patternFill>
    </fill>
    <fill>
      <patternFill patternType="solid">
        <fgColor theme="2"/>
        <bgColor indexed="64"/>
      </patternFill>
    </fill>
    <fill>
      <patternFill patternType="solid">
        <fgColor theme="5" tint="0.79998168889431442"/>
        <bgColor indexed="64"/>
      </patternFill>
    </fill>
  </fills>
  <borders count="12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hair">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hair">
        <color indexed="64"/>
      </left>
      <right style="hair">
        <color indexed="64"/>
      </right>
      <top style="medium">
        <color indexed="64"/>
      </top>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hair">
        <color indexed="64"/>
      </left>
      <right style="hair">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bottom/>
      <diagonal/>
    </border>
    <border>
      <left style="thin">
        <color indexed="64"/>
      </left>
      <right/>
      <top style="medium">
        <color indexed="64"/>
      </top>
      <bottom style="medium">
        <color indexed="64"/>
      </bottom>
      <diagonal/>
    </border>
    <border>
      <left style="hair">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style="hair">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hair">
        <color indexed="64"/>
      </left>
      <right style="hair">
        <color indexed="64"/>
      </right>
      <top/>
      <bottom/>
      <diagonal/>
    </border>
    <border>
      <left/>
      <right style="thin">
        <color indexed="64"/>
      </right>
      <top/>
      <bottom/>
      <diagonal/>
    </border>
    <border>
      <left/>
      <right style="medium">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medium">
        <color indexed="64"/>
      </bottom>
      <diagonal/>
    </border>
    <border diagonalUp="1">
      <left style="hair">
        <color indexed="64"/>
      </left>
      <right style="thin">
        <color indexed="64"/>
      </right>
      <top style="medium">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hair">
        <color indexed="64"/>
      </left>
      <right style="thin">
        <color indexed="64"/>
      </right>
      <top style="thin">
        <color indexed="64"/>
      </top>
      <bottom style="thin">
        <color indexed="64"/>
      </bottom>
      <diagonal style="thin">
        <color indexed="64"/>
      </diagonal>
    </border>
    <border>
      <left style="hair">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hair">
        <color indexed="64"/>
      </left>
      <right style="thin">
        <color indexed="64"/>
      </right>
      <top style="medium">
        <color indexed="64"/>
      </top>
      <bottom style="medium">
        <color indexed="64"/>
      </bottom>
      <diagonal style="hair">
        <color indexed="64"/>
      </diagonal>
    </border>
    <border>
      <left/>
      <right/>
      <top style="thin">
        <color indexed="64"/>
      </top>
      <bottom style="medium">
        <color indexed="64"/>
      </bottom>
      <diagonal/>
    </border>
    <border>
      <left style="hair">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style="hair">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style="hair">
        <color indexed="64"/>
      </left>
      <right style="thin">
        <color indexed="64"/>
      </right>
      <top style="thin">
        <color indexed="64"/>
      </top>
      <bottom style="hair">
        <color indexed="64"/>
      </bottom>
      <diagonal/>
    </border>
    <border>
      <left style="thin">
        <color indexed="64"/>
      </left>
      <right style="medium">
        <color indexed="64"/>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hair">
        <color indexed="64"/>
      </left>
      <right style="hair">
        <color indexed="64"/>
      </right>
      <top style="hair">
        <color indexed="64"/>
      </top>
      <bottom/>
      <diagonal/>
    </border>
    <border>
      <left style="medium">
        <color indexed="64"/>
      </left>
      <right style="thin">
        <color indexed="64"/>
      </right>
      <top style="hair">
        <color indexed="64"/>
      </top>
      <bottom/>
      <diagonal/>
    </border>
    <border>
      <left style="thin">
        <color indexed="64"/>
      </left>
      <right style="medium">
        <color indexed="64"/>
      </right>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right style="hair">
        <color indexed="64"/>
      </right>
      <top style="medium">
        <color indexed="64"/>
      </top>
      <bottom style="thin">
        <color indexed="64"/>
      </bottom>
      <diagonal/>
    </border>
    <border>
      <left/>
      <right/>
      <top style="medium">
        <color indexed="64"/>
      </top>
      <bottom style="thin">
        <color indexed="64"/>
      </bottom>
      <diagonal/>
    </border>
    <border>
      <left style="hair">
        <color indexed="64"/>
      </left>
      <right style="thin">
        <color indexed="64"/>
      </right>
      <top style="medium">
        <color indexed="64"/>
      </top>
      <bottom/>
      <diagonal/>
    </border>
    <border>
      <left style="hair">
        <color indexed="64"/>
      </left>
      <right style="thin">
        <color indexed="64"/>
      </right>
      <top/>
      <bottom style="thin">
        <color indexed="64"/>
      </bottom>
      <diagonal/>
    </border>
    <border>
      <left/>
      <right/>
      <top/>
      <bottom style="thin">
        <color indexed="64"/>
      </bottom>
      <diagonal/>
    </border>
  </borders>
  <cellStyleXfs count="3">
    <xf numFmtId="0" fontId="0" fillId="0" borderId="0"/>
    <xf numFmtId="0" fontId="2" fillId="0" borderId="0"/>
    <xf numFmtId="0" fontId="1" fillId="0" borderId="0"/>
  </cellStyleXfs>
  <cellXfs count="1559">
    <xf numFmtId="0" fontId="0" fillId="0" borderId="0" xfId="0"/>
    <xf numFmtId="0" fontId="0" fillId="0" borderId="0" xfId="0"/>
    <xf numFmtId="0" fontId="43" fillId="0" borderId="0" xfId="0" applyFont="1" applyAlignment="1">
      <alignment vertical="center"/>
    </xf>
    <xf numFmtId="0" fontId="44" fillId="0" borderId="0" xfId="0" applyFont="1" applyAlignment="1">
      <alignment vertical="center"/>
    </xf>
    <xf numFmtId="0" fontId="45"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wrapText="1" shrinkToFit="1"/>
    </xf>
    <xf numFmtId="0" fontId="7" fillId="0" borderId="3" xfId="0" applyFont="1" applyBorder="1" applyAlignment="1">
      <alignment horizontal="center" vertical="center" wrapText="1" shrinkToFit="1"/>
    </xf>
    <xf numFmtId="0" fontId="7" fillId="0" borderId="4" xfId="0" applyFont="1" applyFill="1" applyBorder="1" applyAlignment="1">
      <alignment horizontal="center" vertical="center" wrapText="1" shrinkToFit="1"/>
    </xf>
    <xf numFmtId="0" fontId="46" fillId="0" borderId="5" xfId="0" applyFont="1" applyFill="1" applyBorder="1" applyAlignment="1">
      <alignment horizontal="center" vertical="center" wrapText="1" shrinkToFit="1"/>
    </xf>
    <xf numFmtId="0" fontId="46" fillId="0" borderId="6" xfId="0" applyFont="1" applyBorder="1" applyAlignment="1">
      <alignment horizontal="center" vertical="center"/>
    </xf>
    <xf numFmtId="0" fontId="46" fillId="0" borderId="1" xfId="0" applyFont="1" applyBorder="1" applyAlignment="1">
      <alignment horizontal="center" vertical="center"/>
    </xf>
    <xf numFmtId="0" fontId="46" fillId="0" borderId="2" xfId="0" applyFont="1" applyBorder="1" applyAlignment="1">
      <alignment horizontal="center" vertical="center" wrapText="1" shrinkToFit="1"/>
    </xf>
    <xf numFmtId="0" fontId="46" fillId="0" borderId="3" xfId="0" applyFont="1" applyBorder="1" applyAlignment="1">
      <alignment horizontal="center" vertical="center" wrapText="1" shrinkToFit="1"/>
    </xf>
    <xf numFmtId="0" fontId="46" fillId="0" borderId="4" xfId="0" applyFont="1" applyFill="1" applyBorder="1" applyAlignment="1">
      <alignment horizontal="center" vertical="center" wrapText="1" shrinkToFit="1"/>
    </xf>
    <xf numFmtId="0" fontId="7" fillId="0" borderId="6" xfId="0" applyFont="1" applyBorder="1" applyAlignment="1">
      <alignment horizontal="center" vertical="center"/>
    </xf>
    <xf numFmtId="0" fontId="7" fillId="0" borderId="7" xfId="0" applyFont="1" applyFill="1" applyBorder="1" applyAlignment="1">
      <alignment horizontal="center" vertical="center" wrapText="1" shrinkToFit="1"/>
    </xf>
    <xf numFmtId="0" fontId="14" fillId="0" borderId="0" xfId="0" applyFont="1" applyAlignment="1">
      <alignment vertical="center"/>
    </xf>
    <xf numFmtId="0" fontId="7" fillId="0" borderId="8" xfId="0" applyFont="1" applyBorder="1" applyAlignment="1">
      <alignment horizontal="center" vertical="center"/>
    </xf>
    <xf numFmtId="0" fontId="47" fillId="0" borderId="0" xfId="0" applyFont="1" applyAlignment="1">
      <alignment vertical="center"/>
    </xf>
    <xf numFmtId="0" fontId="0" fillId="0" borderId="0" xfId="0" applyFont="1" applyAlignment="1">
      <alignment vertical="center"/>
    </xf>
    <xf numFmtId="0" fontId="43" fillId="6" borderId="8" xfId="0" applyFont="1" applyFill="1" applyBorder="1" applyAlignment="1">
      <alignment horizontal="center" vertical="center"/>
    </xf>
    <xf numFmtId="0" fontId="0" fillId="0" borderId="0" xfId="0" applyFont="1" applyFill="1" applyBorder="1" applyAlignment="1">
      <alignment vertical="center"/>
    </xf>
    <xf numFmtId="0" fontId="0" fillId="0" borderId="0" xfId="0" applyFont="1" applyAlignment="1">
      <alignment horizontal="right" vertical="center"/>
    </xf>
    <xf numFmtId="0" fontId="45" fillId="7" borderId="8" xfId="0" applyFont="1" applyFill="1" applyBorder="1" applyAlignment="1">
      <alignment horizontal="center" vertical="center"/>
    </xf>
    <xf numFmtId="0" fontId="43" fillId="0" borderId="8" xfId="0" applyFont="1" applyBorder="1" applyAlignment="1">
      <alignment horizontal="center" vertical="center"/>
    </xf>
    <xf numFmtId="0" fontId="0" fillId="0" borderId="0" xfId="0" applyFont="1" applyFill="1" applyBorder="1" applyAlignment="1">
      <alignment horizontal="center" vertical="center"/>
    </xf>
    <xf numFmtId="0" fontId="41" fillId="0" borderId="0" xfId="0" applyFont="1" applyFill="1" applyBorder="1" applyAlignment="1">
      <alignment vertical="center"/>
    </xf>
    <xf numFmtId="0" fontId="0" fillId="0" borderId="0" xfId="0" applyFont="1" applyFill="1" applyAlignment="1">
      <alignment vertical="center"/>
    </xf>
    <xf numFmtId="0" fontId="45" fillId="0" borderId="8" xfId="0" applyFont="1" applyBorder="1" applyAlignment="1">
      <alignment horizontal="center" vertical="center"/>
    </xf>
    <xf numFmtId="0" fontId="43" fillId="0" borderId="0" xfId="0" applyFont="1" applyFill="1" applyBorder="1" applyAlignment="1">
      <alignment vertical="center"/>
    </xf>
    <xf numFmtId="0" fontId="43" fillId="8" borderId="9" xfId="0" applyFont="1" applyFill="1" applyBorder="1" applyAlignment="1">
      <alignment horizontal="center" vertical="center"/>
    </xf>
    <xf numFmtId="0" fontId="46" fillId="0" borderId="2" xfId="0" applyFont="1" applyFill="1" applyBorder="1" applyAlignment="1">
      <alignment horizontal="center" vertical="center" wrapText="1" shrinkToFit="1"/>
    </xf>
    <xf numFmtId="0" fontId="46" fillId="0" borderId="10" xfId="0" applyFont="1" applyBorder="1" applyAlignment="1">
      <alignment horizontal="center" vertical="center"/>
    </xf>
    <xf numFmtId="0" fontId="46" fillId="0" borderId="11" xfId="0" applyFont="1" applyBorder="1" applyAlignment="1">
      <alignment horizontal="center" vertical="center" wrapText="1" shrinkToFit="1"/>
    </xf>
    <xf numFmtId="0" fontId="45" fillId="9" borderId="12" xfId="0" applyFont="1" applyFill="1" applyBorder="1" applyAlignment="1">
      <alignment horizontal="left" vertical="center"/>
    </xf>
    <xf numFmtId="0" fontId="43" fillId="0" borderId="12" xfId="0" applyFont="1" applyBorder="1" applyAlignment="1">
      <alignment horizontal="left" vertical="center"/>
    </xf>
    <xf numFmtId="0" fontId="48" fillId="0" borderId="12" xfId="0" applyFont="1" applyBorder="1" applyAlignment="1">
      <alignment horizontal="right" vertical="center"/>
    </xf>
    <xf numFmtId="0" fontId="45" fillId="7" borderId="12" xfId="0" applyFont="1" applyFill="1" applyBorder="1" applyAlignment="1">
      <alignment horizontal="left" vertical="center"/>
    </xf>
    <xf numFmtId="0" fontId="45" fillId="8" borderId="13" xfId="0" applyFont="1" applyFill="1" applyBorder="1" applyAlignment="1">
      <alignment vertical="center"/>
    </xf>
    <xf numFmtId="0" fontId="7" fillId="0" borderId="10" xfId="0" applyFont="1" applyBorder="1" applyAlignment="1">
      <alignment horizontal="center" vertical="center"/>
    </xf>
    <xf numFmtId="0" fontId="7" fillId="0" borderId="11" xfId="0" applyFont="1" applyBorder="1" applyAlignment="1">
      <alignment horizontal="center" vertical="center" wrapText="1" shrinkToFit="1"/>
    </xf>
    <xf numFmtId="0" fontId="42" fillId="0" borderId="0" xfId="0" applyFont="1" applyAlignment="1">
      <alignment vertical="center"/>
    </xf>
    <xf numFmtId="0" fontId="45" fillId="6" borderId="12" xfId="0" applyFont="1" applyFill="1" applyBorder="1" applyAlignment="1">
      <alignment horizontal="left" vertical="center"/>
    </xf>
    <xf numFmtId="0" fontId="46" fillId="0" borderId="7" xfId="0" applyFont="1" applyFill="1" applyBorder="1" applyAlignment="1">
      <alignment horizontal="center" vertical="center" wrapText="1" shrinkToFit="1"/>
    </xf>
    <xf numFmtId="0" fontId="46" fillId="0" borderId="14" xfId="0" applyFont="1" applyFill="1" applyBorder="1" applyAlignment="1">
      <alignment horizontal="center" vertical="center" wrapText="1" shrinkToFit="1"/>
    </xf>
    <xf numFmtId="0" fontId="45" fillId="6" borderId="8" xfId="0" applyFont="1" applyFill="1" applyBorder="1" applyAlignment="1">
      <alignment horizontal="center" vertical="center"/>
    </xf>
    <xf numFmtId="0" fontId="45" fillId="6" borderId="15" xfId="0" applyFont="1" applyFill="1" applyBorder="1" applyAlignment="1">
      <alignment horizontal="left" vertical="center"/>
    </xf>
    <xf numFmtId="0" fontId="45" fillId="9" borderId="8" xfId="0" applyFont="1" applyFill="1" applyBorder="1" applyAlignment="1">
      <alignment horizontal="center" vertical="center"/>
    </xf>
    <xf numFmtId="0" fontId="49" fillId="0" borderId="8" xfId="0" applyFont="1" applyBorder="1" applyAlignment="1">
      <alignment horizontal="center" vertical="center"/>
    </xf>
    <xf numFmtId="0" fontId="43" fillId="0" borderId="16" xfId="0" applyFont="1" applyBorder="1" applyAlignment="1">
      <alignment horizontal="left" vertical="center"/>
    </xf>
    <xf numFmtId="3" fontId="50" fillId="6" borderId="1" xfId="1" applyNumberFormat="1" applyFont="1" applyFill="1" applyBorder="1" applyAlignment="1">
      <alignment horizontal="right" vertical="center" indent="1"/>
    </xf>
    <xf numFmtId="3" fontId="49" fillId="0" borderId="17" xfId="1" applyNumberFormat="1" applyFont="1" applyFill="1" applyBorder="1" applyAlignment="1">
      <alignment horizontal="right" vertical="center" indent="1"/>
    </xf>
    <xf numFmtId="3" fontId="49" fillId="0" borderId="18" xfId="1" applyNumberFormat="1" applyFont="1" applyFill="1" applyBorder="1" applyAlignment="1">
      <alignment horizontal="right" vertical="center" indent="1"/>
    </xf>
    <xf numFmtId="3" fontId="49" fillId="7" borderId="19" xfId="1" applyNumberFormat="1" applyFont="1" applyFill="1" applyBorder="1" applyAlignment="1">
      <alignment horizontal="right" vertical="center" indent="1"/>
    </xf>
    <xf numFmtId="3" fontId="49" fillId="7" borderId="20" xfId="1" applyNumberFormat="1" applyFont="1" applyFill="1" applyBorder="1" applyAlignment="1">
      <alignment horizontal="right" vertical="center" indent="1"/>
    </xf>
    <xf numFmtId="3" fontId="49" fillId="7" borderId="21" xfId="1" applyNumberFormat="1" applyFont="1" applyFill="1" applyBorder="1" applyAlignment="1">
      <alignment horizontal="right" vertical="center" indent="1"/>
    </xf>
    <xf numFmtId="3" fontId="49" fillId="7" borderId="22" xfId="1" applyNumberFormat="1" applyFont="1" applyFill="1" applyBorder="1" applyAlignment="1">
      <alignment horizontal="right" vertical="center" indent="1"/>
    </xf>
    <xf numFmtId="3" fontId="49" fillId="7" borderId="23" xfId="1" applyNumberFormat="1" applyFont="1" applyFill="1" applyBorder="1" applyAlignment="1">
      <alignment horizontal="right" vertical="center" indent="1"/>
    </xf>
    <xf numFmtId="3" fontId="49" fillId="6" borderId="8" xfId="1" applyNumberFormat="1" applyFont="1" applyFill="1" applyBorder="1" applyAlignment="1">
      <alignment horizontal="right" vertical="center" indent="1"/>
    </xf>
    <xf numFmtId="3" fontId="49" fillId="6" borderId="1" xfId="1" applyNumberFormat="1" applyFont="1" applyFill="1" applyBorder="1" applyAlignment="1">
      <alignment horizontal="right" vertical="center" indent="1"/>
    </xf>
    <xf numFmtId="3" fontId="49" fillId="6" borderId="10" xfId="1" applyNumberFormat="1" applyFont="1" applyFill="1" applyBorder="1" applyAlignment="1">
      <alignment horizontal="right" vertical="center" indent="1"/>
    </xf>
    <xf numFmtId="3" fontId="49" fillId="6" borderId="6" xfId="1" applyNumberFormat="1" applyFont="1" applyFill="1" applyBorder="1" applyAlignment="1">
      <alignment horizontal="right" vertical="center" indent="1"/>
    </xf>
    <xf numFmtId="3" fontId="49" fillId="6" borderId="12" xfId="1" applyNumberFormat="1" applyFont="1" applyFill="1" applyBorder="1" applyAlignment="1">
      <alignment horizontal="right" vertical="center" indent="1"/>
    </xf>
    <xf numFmtId="3" fontId="49" fillId="0" borderId="8" xfId="1" applyNumberFormat="1" applyFont="1" applyFill="1" applyBorder="1" applyAlignment="1">
      <alignment horizontal="right" vertical="center" indent="1"/>
    </xf>
    <xf numFmtId="3" fontId="49" fillId="0" borderId="1" xfId="1" applyNumberFormat="1" applyFont="1" applyFill="1" applyBorder="1" applyAlignment="1">
      <alignment horizontal="right" vertical="center" indent="1"/>
    </xf>
    <xf numFmtId="3" fontId="49" fillId="0" borderId="10" xfId="1" applyNumberFormat="1" applyFont="1" applyFill="1" applyBorder="1" applyAlignment="1">
      <alignment horizontal="right" vertical="center" indent="1"/>
    </xf>
    <xf numFmtId="3" fontId="49" fillId="0" borderId="6" xfId="1" applyNumberFormat="1" applyFont="1" applyFill="1" applyBorder="1" applyAlignment="1">
      <alignment horizontal="right" vertical="center" indent="1"/>
    </xf>
    <xf numFmtId="3" fontId="49" fillId="0" borderId="12" xfId="1" applyNumberFormat="1" applyFont="1" applyFill="1" applyBorder="1" applyAlignment="1">
      <alignment horizontal="right" vertical="center" indent="1"/>
    </xf>
    <xf numFmtId="3" fontId="49" fillId="0" borderId="16" xfId="1" applyNumberFormat="1" applyFont="1" applyFill="1" applyBorder="1" applyAlignment="1">
      <alignment horizontal="right" vertical="center" indent="1"/>
    </xf>
    <xf numFmtId="3" fontId="49" fillId="7" borderId="8" xfId="1" applyNumberFormat="1" applyFont="1" applyFill="1" applyBorder="1" applyAlignment="1">
      <alignment horizontal="right" vertical="center" indent="1"/>
    </xf>
    <xf numFmtId="3" fontId="49" fillId="7" borderId="1" xfId="1" applyNumberFormat="1" applyFont="1" applyFill="1" applyBorder="1" applyAlignment="1">
      <alignment horizontal="right" vertical="center" indent="1"/>
    </xf>
    <xf numFmtId="3" fontId="49" fillId="7" borderId="10" xfId="1" applyNumberFormat="1" applyFont="1" applyFill="1" applyBorder="1" applyAlignment="1">
      <alignment horizontal="right" vertical="center" indent="1"/>
    </xf>
    <xf numFmtId="3" fontId="49" fillId="7" borderId="6" xfId="1" applyNumberFormat="1" applyFont="1" applyFill="1" applyBorder="1" applyAlignment="1">
      <alignment horizontal="right" vertical="center" indent="1"/>
    </xf>
    <xf numFmtId="3" fontId="49" fillId="7" borderId="12" xfId="1" applyNumberFormat="1" applyFont="1" applyFill="1" applyBorder="1" applyAlignment="1">
      <alignment horizontal="right" vertical="center" indent="1"/>
    </xf>
    <xf numFmtId="3" fontId="49" fillId="7" borderId="24" xfId="1" applyNumberFormat="1" applyFont="1" applyFill="1" applyBorder="1" applyAlignment="1">
      <alignment horizontal="right" vertical="center" indent="1"/>
    </xf>
    <xf numFmtId="3" fontId="43" fillId="0" borderId="5" xfId="0" applyNumberFormat="1" applyFont="1" applyFill="1" applyBorder="1" applyAlignment="1">
      <alignment horizontal="right" vertical="center" indent="1"/>
    </xf>
    <xf numFmtId="3" fontId="49" fillId="6" borderId="25" xfId="1" applyNumberFormat="1" applyFont="1" applyFill="1" applyBorder="1" applyAlignment="1">
      <alignment horizontal="right" vertical="center" indent="1"/>
    </xf>
    <xf numFmtId="3" fontId="49" fillId="6" borderId="26" xfId="1" applyNumberFormat="1" applyFont="1" applyFill="1" applyBorder="1" applyAlignment="1">
      <alignment horizontal="right" vertical="center" indent="1"/>
    </xf>
    <xf numFmtId="3" fontId="49" fillId="0" borderId="25" xfId="1" applyNumberFormat="1" applyFont="1" applyFill="1" applyBorder="1" applyAlignment="1">
      <alignment horizontal="right" vertical="center" indent="1"/>
    </xf>
    <xf numFmtId="3" fontId="49" fillId="0" borderId="26" xfId="1" applyNumberFormat="1" applyFont="1" applyFill="1" applyBorder="1" applyAlignment="1">
      <alignment horizontal="right" vertical="center" indent="1"/>
    </xf>
    <xf numFmtId="3" fontId="45" fillId="0" borderId="6" xfId="0" applyNumberFormat="1" applyFont="1" applyBorder="1" applyAlignment="1">
      <alignment horizontal="right" vertical="center" indent="1"/>
    </xf>
    <xf numFmtId="3" fontId="45" fillId="0" borderId="1" xfId="0" applyNumberFormat="1" applyFont="1" applyBorder="1" applyAlignment="1">
      <alignment horizontal="right" vertical="center" indent="1"/>
    </xf>
    <xf numFmtId="3" fontId="45" fillId="0" borderId="26" xfId="0" applyNumberFormat="1" applyFont="1" applyBorder="1" applyAlignment="1">
      <alignment horizontal="right" vertical="center" indent="1"/>
    </xf>
    <xf numFmtId="3" fontId="45" fillId="0" borderId="5" xfId="0" applyNumberFormat="1" applyFont="1" applyFill="1" applyBorder="1" applyAlignment="1">
      <alignment horizontal="right" vertical="center" indent="1"/>
    </xf>
    <xf numFmtId="3" fontId="45" fillId="0" borderId="8" xfId="0" applyNumberFormat="1" applyFont="1" applyBorder="1" applyAlignment="1">
      <alignment horizontal="right" vertical="center" indent="1"/>
    </xf>
    <xf numFmtId="3" fontId="43" fillId="0" borderId="6" xfId="0" applyNumberFormat="1" applyFont="1" applyBorder="1" applyAlignment="1">
      <alignment horizontal="right" vertical="center" indent="1"/>
    </xf>
    <xf numFmtId="3" fontId="43" fillId="0" borderId="1" xfId="0" applyNumberFormat="1" applyFont="1" applyBorder="1" applyAlignment="1">
      <alignment horizontal="right" vertical="center" indent="1"/>
    </xf>
    <xf numFmtId="3" fontId="43" fillId="0" borderId="26" xfId="0" applyNumberFormat="1" applyFont="1" applyBorder="1" applyAlignment="1">
      <alignment horizontal="right" vertical="center" indent="1"/>
    </xf>
    <xf numFmtId="3" fontId="43" fillId="0" borderId="8" xfId="0" applyNumberFormat="1" applyFont="1" applyBorder="1" applyAlignment="1">
      <alignment horizontal="right" vertical="center" indent="1"/>
    </xf>
    <xf numFmtId="3" fontId="49" fillId="7" borderId="26" xfId="1" applyNumberFormat="1" applyFont="1" applyFill="1" applyBorder="1" applyAlignment="1">
      <alignment horizontal="right" vertical="center" indent="1"/>
    </xf>
    <xf numFmtId="3" fontId="43" fillId="0" borderId="27" xfId="0" applyNumberFormat="1" applyFont="1" applyBorder="1" applyAlignment="1">
      <alignment horizontal="right" vertical="center" indent="1"/>
    </xf>
    <xf numFmtId="3" fontId="43" fillId="0" borderId="28" xfId="0" applyNumberFormat="1" applyFont="1" applyBorder="1" applyAlignment="1">
      <alignment horizontal="right" vertical="center" indent="1"/>
    </xf>
    <xf numFmtId="3" fontId="43" fillId="0" borderId="29" xfId="0" applyNumberFormat="1" applyFont="1" applyBorder="1" applyAlignment="1">
      <alignment horizontal="right" vertical="center" indent="1"/>
    </xf>
    <xf numFmtId="3" fontId="43" fillId="0" borderId="30" xfId="0" applyNumberFormat="1" applyFont="1" applyBorder="1" applyAlignment="1">
      <alignment horizontal="right" vertical="center" indent="1"/>
    </xf>
    <xf numFmtId="3" fontId="49" fillId="8" borderId="9" xfId="1" applyNumberFormat="1" applyFont="1" applyFill="1" applyBorder="1" applyAlignment="1">
      <alignment horizontal="right" vertical="center" indent="1"/>
    </xf>
    <xf numFmtId="3" fontId="49" fillId="8" borderId="31" xfId="1" applyNumberFormat="1" applyFont="1" applyFill="1" applyBorder="1" applyAlignment="1">
      <alignment horizontal="right" vertical="center" indent="1"/>
    </xf>
    <xf numFmtId="3" fontId="49" fillId="8" borderId="32" xfId="1" applyNumberFormat="1" applyFont="1" applyFill="1" applyBorder="1" applyAlignment="1">
      <alignment horizontal="right" vertical="center" indent="1"/>
    </xf>
    <xf numFmtId="3" fontId="49" fillId="8" borderId="33" xfId="1" applyNumberFormat="1" applyFont="1" applyFill="1" applyBorder="1" applyAlignment="1">
      <alignment horizontal="right" vertical="center" indent="1"/>
    </xf>
    <xf numFmtId="3" fontId="49" fillId="8" borderId="34" xfId="1" applyNumberFormat="1" applyFont="1" applyFill="1" applyBorder="1" applyAlignment="1">
      <alignment horizontal="right" vertical="center" indent="1"/>
    </xf>
    <xf numFmtId="3" fontId="49" fillId="8" borderId="13" xfId="1" applyNumberFormat="1" applyFont="1" applyFill="1" applyBorder="1" applyAlignment="1">
      <alignment horizontal="right" vertical="center" indent="1"/>
    </xf>
    <xf numFmtId="3" fontId="0" fillId="0" borderId="0" xfId="0" applyNumberFormat="1" applyFont="1" applyFill="1" applyBorder="1" applyAlignment="1">
      <alignment horizontal="right" vertical="center" indent="1"/>
    </xf>
    <xf numFmtId="0" fontId="44" fillId="0" borderId="0" xfId="0" applyFont="1" applyFill="1" applyAlignment="1">
      <alignment vertical="center"/>
    </xf>
    <xf numFmtId="0" fontId="51" fillId="0" borderId="0" xfId="0" applyFont="1" applyFill="1" applyAlignment="1">
      <alignment vertical="center"/>
    </xf>
    <xf numFmtId="0" fontId="20" fillId="0" borderId="0" xfId="0" applyFont="1" applyAlignment="1">
      <alignment vertical="center"/>
    </xf>
    <xf numFmtId="0" fontId="19" fillId="0" borderId="0" xfId="0" applyFont="1" applyAlignment="1">
      <alignment vertical="center"/>
    </xf>
    <xf numFmtId="0" fontId="47" fillId="0" borderId="0" xfId="0" applyFont="1" applyAlignment="1">
      <alignment horizontal="right" vertical="center"/>
    </xf>
    <xf numFmtId="0" fontId="7" fillId="0" borderId="0" xfId="0" applyFont="1" applyFill="1" applyBorder="1" applyAlignment="1">
      <alignment horizontal="center" vertical="center" wrapText="1" shrinkToFit="1"/>
    </xf>
    <xf numFmtId="0" fontId="7" fillId="0" borderId="8" xfId="0" applyFont="1" applyBorder="1" applyAlignment="1">
      <alignment horizontal="center" vertical="center" wrapText="1"/>
    </xf>
    <xf numFmtId="0" fontId="7" fillId="0" borderId="6" xfId="0" applyFont="1" applyBorder="1" applyAlignment="1">
      <alignment horizontal="center" vertical="center" wrapText="1"/>
    </xf>
    <xf numFmtId="0" fontId="7" fillId="0" borderId="35" xfId="0" applyFont="1" applyBorder="1" applyAlignment="1">
      <alignment horizontal="center" vertical="center"/>
    </xf>
    <xf numFmtId="0" fontId="7" fillId="0" borderId="30" xfId="0" applyFont="1" applyBorder="1" applyAlignment="1">
      <alignment horizontal="center" vertical="center" wrapText="1" shrinkToFit="1"/>
    </xf>
    <xf numFmtId="0" fontId="7" fillId="0" borderId="27" xfId="0" applyFont="1" applyBorder="1" applyAlignment="1">
      <alignment horizontal="center" vertical="center" wrapText="1" shrinkToFit="1"/>
    </xf>
    <xf numFmtId="0" fontId="7" fillId="0" borderId="28" xfId="0" applyFont="1" applyBorder="1" applyAlignment="1">
      <alignment horizontal="center" vertical="center" wrapText="1" shrinkToFit="1"/>
    </xf>
    <xf numFmtId="0" fontId="7" fillId="0" borderId="36" xfId="0" applyFont="1" applyBorder="1" applyAlignment="1">
      <alignment horizontal="center" vertical="center" wrapText="1" shrinkToFit="1"/>
    </xf>
    <xf numFmtId="0" fontId="7" fillId="0" borderId="11" xfId="0" applyFont="1" applyFill="1" applyBorder="1" applyAlignment="1">
      <alignment horizontal="center" vertical="center" wrapText="1" shrinkToFit="1"/>
    </xf>
    <xf numFmtId="0" fontId="7" fillId="0" borderId="29" xfId="0" applyFont="1" applyFill="1" applyBorder="1" applyAlignment="1">
      <alignment horizontal="center" vertical="center" wrapText="1" shrinkToFit="1"/>
    </xf>
    <xf numFmtId="0" fontId="7" fillId="0" borderId="27" xfId="0" applyFont="1" applyFill="1" applyBorder="1" applyAlignment="1">
      <alignment horizontal="center" vertical="center" wrapText="1" shrinkToFit="1"/>
    </xf>
    <xf numFmtId="0" fontId="7" fillId="0" borderId="36" xfId="0" applyFont="1" applyFill="1" applyBorder="1" applyAlignment="1">
      <alignment horizontal="center" vertical="center" wrapText="1" shrinkToFit="1"/>
    </xf>
    <xf numFmtId="0" fontId="7" fillId="0" borderId="30" xfId="0" applyFont="1" applyFill="1" applyBorder="1" applyAlignment="1">
      <alignment horizontal="center" vertical="center" wrapText="1" shrinkToFit="1"/>
    </xf>
    <xf numFmtId="0" fontId="7" fillId="0" borderId="16" xfId="0" applyFont="1" applyFill="1" applyBorder="1" applyAlignment="1">
      <alignment horizontal="center" vertical="center" wrapText="1" shrinkToFit="1"/>
    </xf>
    <xf numFmtId="0" fontId="7" fillId="8" borderId="37" xfId="0" applyFont="1" applyFill="1" applyBorder="1" applyAlignment="1">
      <alignment horizontal="center" vertical="center"/>
    </xf>
    <xf numFmtId="3" fontId="5" fillId="8" borderId="38" xfId="1" applyNumberFormat="1" applyFont="1" applyFill="1" applyBorder="1" applyAlignment="1">
      <alignment horizontal="right" vertical="center"/>
    </xf>
    <xf numFmtId="3" fontId="5" fillId="8" borderId="39" xfId="1" applyNumberFormat="1" applyFont="1" applyFill="1" applyBorder="1" applyAlignment="1">
      <alignment horizontal="right" vertical="center"/>
    </xf>
    <xf numFmtId="3" fontId="5" fillId="8" borderId="40" xfId="1" applyNumberFormat="1" applyFont="1" applyFill="1" applyBorder="1" applyAlignment="1">
      <alignment horizontal="right" vertical="center"/>
    </xf>
    <xf numFmtId="3" fontId="5" fillId="8" borderId="41" xfId="1" applyNumberFormat="1" applyFont="1" applyFill="1" applyBorder="1" applyAlignment="1">
      <alignment horizontal="right" vertical="center"/>
    </xf>
    <xf numFmtId="3" fontId="8" fillId="0" borderId="0" xfId="0" applyNumberFormat="1" applyFont="1" applyFill="1" applyBorder="1" applyAlignment="1">
      <alignment horizontal="right" vertical="center"/>
    </xf>
    <xf numFmtId="3" fontId="5" fillId="8" borderId="37" xfId="1" applyNumberFormat="1" applyFont="1" applyFill="1" applyBorder="1" applyAlignment="1">
      <alignment horizontal="right" vertical="center"/>
    </xf>
    <xf numFmtId="0" fontId="7" fillId="4" borderId="8" xfId="0" applyFont="1" applyFill="1" applyBorder="1" applyAlignment="1">
      <alignment horizontal="center" vertical="center"/>
    </xf>
    <xf numFmtId="0" fontId="8" fillId="7" borderId="12" xfId="0" applyFont="1" applyFill="1" applyBorder="1" applyAlignment="1">
      <alignment horizontal="left" vertical="center"/>
    </xf>
    <xf numFmtId="3" fontId="5" fillId="7" borderId="6" xfId="1" applyNumberFormat="1" applyFont="1" applyFill="1" applyBorder="1" applyAlignment="1">
      <alignment horizontal="right" vertical="center"/>
    </xf>
    <xf numFmtId="3" fontId="5" fillId="7" borderId="1" xfId="1" applyNumberFormat="1" applyFont="1" applyFill="1" applyBorder="1" applyAlignment="1">
      <alignment horizontal="right" vertical="center"/>
    </xf>
    <xf numFmtId="3" fontId="5" fillId="7" borderId="35" xfId="1" applyNumberFormat="1" applyFont="1" applyFill="1" applyBorder="1" applyAlignment="1">
      <alignment horizontal="right" vertical="center"/>
    </xf>
    <xf numFmtId="3" fontId="5" fillId="7" borderId="12" xfId="1" applyNumberFormat="1" applyFont="1" applyFill="1" applyBorder="1" applyAlignment="1">
      <alignment horizontal="right" vertical="center"/>
    </xf>
    <xf numFmtId="3" fontId="5" fillId="7" borderId="8" xfId="1" applyNumberFormat="1" applyFont="1" applyFill="1" applyBorder="1" applyAlignment="1">
      <alignment horizontal="right" vertical="center"/>
    </xf>
    <xf numFmtId="0" fontId="7" fillId="0" borderId="12" xfId="0" applyFont="1" applyBorder="1" applyAlignment="1">
      <alignment horizontal="left" vertical="center"/>
    </xf>
    <xf numFmtId="3" fontId="3" fillId="0" borderId="6" xfId="1" applyNumberFormat="1" applyFont="1" applyFill="1" applyBorder="1" applyAlignment="1" applyProtection="1">
      <alignment horizontal="right" vertical="center"/>
      <protection locked="0"/>
    </xf>
    <xf numFmtId="3" fontId="3" fillId="0" borderId="1" xfId="1" applyNumberFormat="1" applyFont="1" applyFill="1" applyBorder="1" applyAlignment="1" applyProtection="1">
      <alignment horizontal="right" vertical="center"/>
      <protection locked="0"/>
    </xf>
    <xf numFmtId="3" fontId="3" fillId="5" borderId="1" xfId="1" applyNumberFormat="1" applyFont="1" applyFill="1" applyBorder="1" applyAlignment="1">
      <alignment horizontal="right" vertical="center"/>
    </xf>
    <xf numFmtId="3" fontId="7" fillId="0" borderId="1" xfId="0" applyNumberFormat="1" applyFont="1" applyBorder="1" applyAlignment="1" applyProtection="1">
      <alignment vertical="center"/>
      <protection locked="0"/>
    </xf>
    <xf numFmtId="3" fontId="3" fillId="5" borderId="35" xfId="1" applyNumberFormat="1" applyFont="1" applyFill="1" applyBorder="1" applyAlignment="1">
      <alignment horizontal="right" vertical="center"/>
    </xf>
    <xf numFmtId="3" fontId="3" fillId="0" borderId="12" xfId="1" applyNumberFormat="1" applyFont="1" applyFill="1" applyBorder="1" applyAlignment="1">
      <alignment horizontal="right" vertical="center"/>
    </xf>
    <xf numFmtId="3" fontId="7" fillId="0" borderId="0" xfId="0" applyNumberFormat="1" applyFont="1" applyFill="1" applyBorder="1" applyAlignment="1">
      <alignment horizontal="right" vertical="center"/>
    </xf>
    <xf numFmtId="3" fontId="3" fillId="0" borderId="8" xfId="1" applyNumberFormat="1" applyFont="1" applyFill="1" applyBorder="1" applyAlignment="1" applyProtection="1">
      <alignment horizontal="right" vertical="center"/>
      <protection locked="0"/>
    </xf>
    <xf numFmtId="3" fontId="3" fillId="5" borderId="12" xfId="1" applyNumberFormat="1" applyFont="1" applyFill="1" applyBorder="1" applyAlignment="1" applyProtection="1">
      <alignment horizontal="right" vertical="center"/>
    </xf>
    <xf numFmtId="3" fontId="3" fillId="6" borderId="6" xfId="1" applyNumberFormat="1" applyFont="1" applyFill="1" applyBorder="1" applyAlignment="1">
      <alignment horizontal="right" vertical="center"/>
    </xf>
    <xf numFmtId="3" fontId="3" fillId="6" borderId="42" xfId="1" applyNumberFormat="1" applyFont="1" applyFill="1" applyBorder="1" applyAlignment="1">
      <alignment horizontal="right" vertical="center"/>
    </xf>
    <xf numFmtId="3" fontId="3" fillId="6" borderId="12" xfId="1" applyNumberFormat="1" applyFont="1" applyFill="1" applyBorder="1" applyAlignment="1">
      <alignment horizontal="right" vertical="center"/>
    </xf>
    <xf numFmtId="3" fontId="3" fillId="6" borderId="8" xfId="1" applyNumberFormat="1" applyFont="1" applyFill="1" applyBorder="1" applyAlignment="1">
      <alignment horizontal="right" vertical="center"/>
    </xf>
    <xf numFmtId="3" fontId="3" fillId="6" borderId="43" xfId="1" applyNumberFormat="1" applyFont="1" applyFill="1" applyBorder="1" applyAlignment="1">
      <alignment horizontal="right" vertical="center"/>
    </xf>
    <xf numFmtId="0" fontId="7" fillId="0" borderId="12" xfId="0" applyFont="1" applyBorder="1" applyAlignment="1">
      <alignment vertical="center"/>
    </xf>
    <xf numFmtId="0" fontId="15" fillId="0" borderId="12" xfId="0" applyFont="1" applyBorder="1" applyAlignment="1">
      <alignment vertical="center"/>
    </xf>
    <xf numFmtId="0" fontId="7" fillId="0" borderId="8" xfId="0" applyFont="1" applyFill="1" applyBorder="1" applyAlignment="1">
      <alignment horizontal="center" vertical="center"/>
    </xf>
    <xf numFmtId="0" fontId="15" fillId="0" borderId="12" xfId="0" applyFont="1" applyFill="1" applyBorder="1" applyAlignment="1">
      <alignment vertical="center"/>
    </xf>
    <xf numFmtId="3" fontId="7" fillId="0" borderId="1" xfId="0" applyNumberFormat="1" applyFont="1" applyFill="1" applyBorder="1" applyAlignment="1" applyProtection="1">
      <alignment vertical="center"/>
      <protection locked="0"/>
    </xf>
    <xf numFmtId="0" fontId="8" fillId="0" borderId="12" xfId="0" applyFont="1" applyFill="1" applyBorder="1" applyAlignment="1">
      <alignment horizontal="left" vertical="center"/>
    </xf>
    <xf numFmtId="3" fontId="5" fillId="7" borderId="42" xfId="1" applyNumberFormat="1" applyFont="1" applyFill="1" applyBorder="1" applyAlignment="1">
      <alignment horizontal="right" vertical="center"/>
    </xf>
    <xf numFmtId="3" fontId="5" fillId="7" borderId="43" xfId="1" applyNumberFormat="1" applyFont="1" applyFill="1" applyBorder="1" applyAlignment="1">
      <alignment horizontal="right" vertical="center"/>
    </xf>
    <xf numFmtId="3" fontId="8" fillId="7" borderId="6" xfId="0" applyNumberFormat="1" applyFont="1" applyFill="1" applyBorder="1" applyAlignment="1">
      <alignment horizontal="right" vertical="center"/>
    </xf>
    <xf numFmtId="3" fontId="8" fillId="7" borderId="42" xfId="0" applyNumberFormat="1" applyFont="1" applyFill="1" applyBorder="1" applyAlignment="1">
      <alignment horizontal="right" vertical="center"/>
    </xf>
    <xf numFmtId="3" fontId="8" fillId="7" borderId="12" xfId="0" applyNumberFormat="1" applyFont="1" applyFill="1" applyBorder="1" applyAlignment="1">
      <alignment horizontal="right" vertical="center"/>
    </xf>
    <xf numFmtId="3" fontId="8" fillId="7" borderId="0" xfId="0" applyNumberFormat="1" applyFont="1" applyFill="1" applyBorder="1" applyAlignment="1">
      <alignment horizontal="right" vertical="center"/>
    </xf>
    <xf numFmtId="3" fontId="8" fillId="7" borderId="8" xfId="0" applyNumberFormat="1" applyFont="1" applyFill="1" applyBorder="1" applyAlignment="1">
      <alignment horizontal="right" vertical="center"/>
    </xf>
    <xf numFmtId="3" fontId="8" fillId="7" borderId="43" xfId="0" applyNumberFormat="1" applyFont="1" applyFill="1" applyBorder="1" applyAlignment="1">
      <alignment horizontal="right" vertical="center"/>
    </xf>
    <xf numFmtId="3" fontId="7" fillId="0" borderId="6" xfId="0" applyNumberFormat="1" applyFont="1" applyBorder="1" applyAlignment="1" applyProtection="1">
      <alignment horizontal="right" vertical="center"/>
      <protection locked="0"/>
    </xf>
    <xf numFmtId="3" fontId="7" fillId="0" borderId="1" xfId="0" applyNumberFormat="1" applyFont="1" applyBorder="1" applyAlignment="1" applyProtection="1">
      <alignment horizontal="right" vertical="center"/>
      <protection locked="0"/>
    </xf>
    <xf numFmtId="3" fontId="7" fillId="0" borderId="1" xfId="0" applyNumberFormat="1" applyFont="1" applyFill="1" applyBorder="1" applyAlignment="1" applyProtection="1">
      <alignment horizontal="right" vertical="center"/>
      <protection locked="0"/>
    </xf>
    <xf numFmtId="3" fontId="7" fillId="0" borderId="12" xfId="0" applyNumberFormat="1" applyFont="1" applyBorder="1" applyAlignment="1" applyProtection="1">
      <alignment horizontal="right" vertical="center"/>
      <protection locked="0"/>
    </xf>
    <xf numFmtId="3" fontId="7" fillId="0" borderId="8" xfId="0" applyNumberFormat="1" applyFont="1" applyBorder="1" applyAlignment="1" applyProtection="1">
      <alignment horizontal="right" vertical="center"/>
      <protection locked="0"/>
    </xf>
    <xf numFmtId="3" fontId="7" fillId="7" borderId="6" xfId="0" applyNumberFormat="1" applyFont="1" applyFill="1" applyBorder="1" applyAlignment="1" applyProtection="1">
      <alignment horizontal="right" vertical="center"/>
      <protection locked="0"/>
    </xf>
    <xf numFmtId="3" fontId="7" fillId="7" borderId="42" xfId="0" applyNumberFormat="1" applyFont="1" applyFill="1" applyBorder="1" applyAlignment="1" applyProtection="1">
      <alignment horizontal="right" vertical="center"/>
      <protection locked="0"/>
    </xf>
    <xf numFmtId="3" fontId="7" fillId="7" borderId="12" xfId="0" applyNumberFormat="1" applyFont="1" applyFill="1" applyBorder="1" applyAlignment="1" applyProtection="1">
      <alignment horizontal="right" vertical="center"/>
      <protection locked="0"/>
    </xf>
    <xf numFmtId="3" fontId="7" fillId="7" borderId="0" xfId="0" applyNumberFormat="1" applyFont="1" applyFill="1" applyBorder="1" applyAlignment="1">
      <alignment horizontal="right" vertical="center"/>
    </xf>
    <xf numFmtId="3" fontId="7" fillId="7" borderId="8" xfId="0" applyNumberFormat="1" applyFont="1" applyFill="1" applyBorder="1" applyAlignment="1" applyProtection="1">
      <alignment horizontal="right" vertical="center"/>
      <protection locked="0"/>
    </xf>
    <xf numFmtId="3" fontId="7" fillId="7" borderId="43" xfId="0" applyNumberFormat="1" applyFont="1" applyFill="1" applyBorder="1" applyAlignment="1" applyProtection="1">
      <alignment horizontal="right" vertical="center"/>
      <protection locked="0"/>
    </xf>
    <xf numFmtId="3" fontId="7" fillId="0" borderId="8" xfId="0" applyNumberFormat="1" applyFont="1" applyFill="1" applyBorder="1" applyAlignment="1" applyProtection="1">
      <alignment horizontal="right" vertical="center"/>
      <protection locked="0"/>
    </xf>
    <xf numFmtId="3" fontId="3" fillId="5" borderId="12" xfId="1" applyNumberFormat="1" applyFont="1" applyFill="1" applyBorder="1" applyAlignment="1">
      <alignment horizontal="right" vertical="center"/>
    </xf>
    <xf numFmtId="0" fontId="8" fillId="0" borderId="12" xfId="0" applyFont="1" applyBorder="1" applyAlignment="1">
      <alignment horizontal="left" vertical="center"/>
    </xf>
    <xf numFmtId="3" fontId="8" fillId="0" borderId="6" xfId="0" applyNumberFormat="1" applyFont="1" applyBorder="1" applyAlignment="1" applyProtection="1">
      <alignment horizontal="right" vertical="center"/>
      <protection locked="0"/>
    </xf>
    <xf numFmtId="3" fontId="8" fillId="0" borderId="1" xfId="0" applyNumberFormat="1" applyFont="1" applyBorder="1" applyAlignment="1" applyProtection="1">
      <alignment horizontal="right" vertical="center"/>
      <protection locked="0"/>
    </xf>
    <xf numFmtId="3" fontId="5" fillId="5" borderId="1" xfId="1" applyNumberFormat="1" applyFont="1" applyFill="1" applyBorder="1" applyAlignment="1">
      <alignment horizontal="right" vertical="center"/>
    </xf>
    <xf numFmtId="3" fontId="5" fillId="5" borderId="35" xfId="1" applyNumberFormat="1" applyFont="1" applyFill="1" applyBorder="1" applyAlignment="1">
      <alignment horizontal="right" vertical="center"/>
    </xf>
    <xf numFmtId="3" fontId="8" fillId="0" borderId="12" xfId="0" applyNumberFormat="1" applyFont="1" applyBorder="1" applyAlignment="1" applyProtection="1">
      <alignment horizontal="right" vertical="center"/>
      <protection locked="0"/>
    </xf>
    <xf numFmtId="3" fontId="8" fillId="0" borderId="8" xfId="0" applyNumberFormat="1" applyFont="1" applyBorder="1" applyAlignment="1" applyProtection="1">
      <alignment horizontal="right" vertical="center"/>
      <protection locked="0"/>
    </xf>
    <xf numFmtId="3" fontId="5" fillId="5" borderId="12" xfId="1" applyNumberFormat="1" applyFont="1" applyFill="1" applyBorder="1" applyAlignment="1" applyProtection="1">
      <alignment horizontal="right" vertical="center"/>
    </xf>
    <xf numFmtId="3" fontId="5" fillId="0" borderId="1" xfId="0" applyNumberFormat="1" applyFont="1" applyBorder="1" applyAlignment="1" applyProtection="1">
      <alignment horizontal="right" vertical="center"/>
      <protection locked="0"/>
    </xf>
    <xf numFmtId="0" fontId="7" fillId="8" borderId="8" xfId="0" applyFont="1" applyFill="1" applyBorder="1" applyAlignment="1">
      <alignment horizontal="center" vertical="center"/>
    </xf>
    <xf numFmtId="3" fontId="5" fillId="8" borderId="6" xfId="1" applyNumberFormat="1" applyFont="1" applyFill="1" applyBorder="1" applyAlignment="1">
      <alignment horizontal="right" vertical="center"/>
    </xf>
    <xf numFmtId="3" fontId="5" fillId="8" borderId="1" xfId="1" applyNumberFormat="1" applyFont="1" applyFill="1" applyBorder="1" applyAlignment="1">
      <alignment horizontal="right" vertical="center"/>
    </xf>
    <xf numFmtId="3" fontId="5" fillId="8" borderId="35" xfId="1" applyNumberFormat="1" applyFont="1" applyFill="1" applyBorder="1" applyAlignment="1">
      <alignment horizontal="right" vertical="center"/>
    </xf>
    <xf numFmtId="3" fontId="5" fillId="8" borderId="12" xfId="1" applyNumberFormat="1" applyFont="1" applyFill="1" applyBorder="1" applyAlignment="1">
      <alignment horizontal="right" vertical="center"/>
    </xf>
    <xf numFmtId="3" fontId="5" fillId="8" borderId="8" xfId="1" applyNumberFormat="1" applyFont="1" applyFill="1" applyBorder="1" applyAlignment="1">
      <alignment horizontal="right" vertical="center"/>
    </xf>
    <xf numFmtId="3" fontId="5" fillId="8" borderId="12" xfId="1" applyNumberFormat="1" applyFont="1" applyFill="1" applyBorder="1" applyAlignment="1" applyProtection="1">
      <alignment horizontal="right" vertical="center"/>
    </xf>
    <xf numFmtId="3" fontId="5" fillId="7" borderId="12" xfId="1" applyNumberFormat="1" applyFont="1" applyFill="1" applyBorder="1" applyAlignment="1" applyProtection="1">
      <alignment horizontal="right" vertical="center"/>
    </xf>
    <xf numFmtId="0" fontId="7" fillId="0" borderId="12" xfId="0" applyFont="1" applyFill="1" applyBorder="1" applyAlignment="1">
      <alignment horizontal="left" vertical="center"/>
    </xf>
    <xf numFmtId="3" fontId="3" fillId="0" borderId="12" xfId="1" applyNumberFormat="1" applyFont="1" applyFill="1" applyBorder="1" applyAlignment="1" applyProtection="1">
      <alignment horizontal="right" vertical="center"/>
      <protection locked="0"/>
    </xf>
    <xf numFmtId="3" fontId="3" fillId="0" borderId="0" xfId="1" applyNumberFormat="1" applyFont="1" applyFill="1" applyBorder="1" applyAlignment="1">
      <alignment horizontal="right" vertical="center"/>
    </xf>
    <xf numFmtId="0" fontId="7" fillId="10" borderId="8" xfId="0" applyFont="1" applyFill="1" applyBorder="1" applyAlignment="1">
      <alignment horizontal="center" vertical="center"/>
    </xf>
    <xf numFmtId="3" fontId="8" fillId="7" borderId="6" xfId="0" applyNumberFormat="1" applyFont="1" applyFill="1" applyBorder="1" applyAlignment="1" applyProtection="1">
      <alignment horizontal="right" vertical="center"/>
    </xf>
    <xf numFmtId="3" fontId="8" fillId="7" borderId="42" xfId="0" applyNumberFormat="1" applyFont="1" applyFill="1" applyBorder="1" applyAlignment="1" applyProtection="1">
      <alignment horizontal="right" vertical="center"/>
    </xf>
    <xf numFmtId="3" fontId="8" fillId="7" borderId="12" xfId="0" applyNumberFormat="1" applyFont="1" applyFill="1" applyBorder="1" applyAlignment="1" applyProtection="1">
      <alignment horizontal="right" vertical="center"/>
    </xf>
    <xf numFmtId="3" fontId="5" fillId="7" borderId="0" xfId="1" applyNumberFormat="1" applyFont="1" applyFill="1" applyBorder="1" applyAlignment="1">
      <alignment horizontal="right" vertical="center"/>
    </xf>
    <xf numFmtId="3" fontId="8" fillId="7" borderId="8" xfId="0" applyNumberFormat="1" applyFont="1" applyFill="1" applyBorder="1" applyAlignment="1" applyProtection="1">
      <alignment horizontal="right" vertical="center"/>
    </xf>
    <xf numFmtId="3" fontId="8" fillId="7" borderId="43" xfId="0" applyNumberFormat="1" applyFont="1" applyFill="1" applyBorder="1" applyAlignment="1" applyProtection="1">
      <alignment horizontal="right" vertical="center"/>
    </xf>
    <xf numFmtId="3" fontId="5" fillId="0" borderId="42" xfId="1" applyNumberFormat="1" applyFont="1" applyFill="1" applyBorder="1" applyAlignment="1">
      <alignment horizontal="right" vertical="center"/>
    </xf>
    <xf numFmtId="3" fontId="7" fillId="0" borderId="6" xfId="0" applyNumberFormat="1" applyFont="1" applyFill="1" applyBorder="1" applyAlignment="1" applyProtection="1">
      <alignment horizontal="right" vertical="center"/>
      <protection locked="0"/>
    </xf>
    <xf numFmtId="3" fontId="3" fillId="0" borderId="42" xfId="1" applyNumberFormat="1" applyFont="1" applyFill="1" applyBorder="1" applyAlignment="1">
      <alignment horizontal="right" vertical="center"/>
    </xf>
    <xf numFmtId="3" fontId="3" fillId="0" borderId="44" xfId="1" applyNumberFormat="1" applyFont="1" applyFill="1" applyBorder="1" applyAlignment="1">
      <alignment horizontal="right" vertical="center"/>
    </xf>
    <xf numFmtId="0" fontId="7" fillId="0" borderId="12" xfId="0" applyFont="1" applyFill="1" applyBorder="1" applyAlignment="1" applyProtection="1">
      <alignment horizontal="left" vertical="center"/>
      <protection locked="0"/>
    </xf>
    <xf numFmtId="3" fontId="3" fillId="0" borderId="15" xfId="1" applyNumberFormat="1" applyFont="1" applyFill="1" applyBorder="1" applyAlignment="1">
      <alignment horizontal="right" vertical="center"/>
    </xf>
    <xf numFmtId="3" fontId="3" fillId="0" borderId="45" xfId="1" applyNumberFormat="1" applyFont="1" applyFill="1" applyBorder="1" applyAlignment="1">
      <alignment horizontal="right" vertical="center"/>
    </xf>
    <xf numFmtId="3" fontId="7" fillId="0" borderId="7" xfId="0" applyNumberFormat="1" applyFont="1" applyFill="1" applyBorder="1" applyAlignment="1" applyProtection="1">
      <alignment horizontal="right" vertical="center"/>
      <protection locked="0"/>
    </xf>
    <xf numFmtId="0" fontId="7" fillId="7" borderId="9" xfId="0" applyFont="1" applyFill="1" applyBorder="1" applyAlignment="1">
      <alignment horizontal="center" vertical="center"/>
    </xf>
    <xf numFmtId="0" fontId="14" fillId="7" borderId="46" xfId="0" applyFont="1" applyFill="1" applyBorder="1" applyAlignment="1">
      <alignment vertical="center"/>
    </xf>
    <xf numFmtId="3" fontId="4" fillId="7" borderId="9" xfId="1" applyNumberFormat="1" applyFont="1" applyFill="1" applyBorder="1" applyAlignment="1">
      <alignment horizontal="right" vertical="center"/>
    </xf>
    <xf numFmtId="3" fontId="4" fillId="7" borderId="31" xfId="1" applyNumberFormat="1" applyFont="1" applyFill="1" applyBorder="1" applyAlignment="1">
      <alignment horizontal="right" vertical="center"/>
    </xf>
    <xf numFmtId="3" fontId="4" fillId="7" borderId="46" xfId="1" applyNumberFormat="1" applyFont="1" applyFill="1" applyBorder="1" applyAlignment="1">
      <alignment horizontal="right" vertical="center"/>
    </xf>
    <xf numFmtId="3" fontId="4" fillId="7" borderId="13" xfId="1" applyNumberFormat="1" applyFont="1" applyFill="1" applyBorder="1" applyAlignment="1">
      <alignment horizontal="right" vertical="center"/>
    </xf>
    <xf numFmtId="3" fontId="44" fillId="0" borderId="0" xfId="0" applyNumberFormat="1" applyFont="1" applyFill="1" applyBorder="1" applyAlignment="1">
      <alignment horizontal="right" vertical="center"/>
    </xf>
    <xf numFmtId="3" fontId="50" fillId="7" borderId="20" xfId="1" applyNumberFormat="1" applyFont="1" applyFill="1" applyBorder="1" applyAlignment="1">
      <alignment horizontal="right" vertical="center" indent="1"/>
    </xf>
    <xf numFmtId="3" fontId="50" fillId="7" borderId="21" xfId="1" applyNumberFormat="1" applyFont="1" applyFill="1" applyBorder="1" applyAlignment="1">
      <alignment horizontal="right" vertical="center" indent="1"/>
    </xf>
    <xf numFmtId="3" fontId="50" fillId="7" borderId="24" xfId="1" applyNumberFormat="1" applyFont="1" applyFill="1" applyBorder="1" applyAlignment="1">
      <alignment horizontal="right" vertical="center" indent="1"/>
    </xf>
    <xf numFmtId="3" fontId="50" fillId="7" borderId="22" xfId="1" applyNumberFormat="1" applyFont="1" applyFill="1" applyBorder="1" applyAlignment="1">
      <alignment horizontal="right" vertical="center" indent="1"/>
    </xf>
    <xf numFmtId="3" fontId="50" fillId="7" borderId="23" xfId="1" applyNumberFormat="1" applyFont="1" applyFill="1" applyBorder="1" applyAlignment="1">
      <alignment horizontal="right" vertical="center" indent="1"/>
    </xf>
    <xf numFmtId="3" fontId="50" fillId="7" borderId="19" xfId="1" applyNumberFormat="1" applyFont="1" applyFill="1" applyBorder="1" applyAlignment="1">
      <alignment horizontal="right" vertical="center" indent="1"/>
    </xf>
    <xf numFmtId="3" fontId="49" fillId="10" borderId="12" xfId="1" applyNumberFormat="1" applyFont="1" applyFill="1" applyBorder="1" applyAlignment="1">
      <alignment horizontal="right" vertical="center" indent="1"/>
    </xf>
    <xf numFmtId="3" fontId="43" fillId="10" borderId="5" xfId="0" applyNumberFormat="1" applyFont="1" applyFill="1" applyBorder="1" applyAlignment="1">
      <alignment horizontal="right" vertical="center" indent="1"/>
    </xf>
    <xf numFmtId="3" fontId="49" fillId="10" borderId="8" xfId="1" applyNumberFormat="1" applyFont="1" applyFill="1" applyBorder="1" applyAlignment="1">
      <alignment horizontal="right" vertical="center" indent="1"/>
    </xf>
    <xf numFmtId="3" fontId="49" fillId="6" borderId="35" xfId="1" applyNumberFormat="1" applyFont="1" applyFill="1" applyBorder="1" applyAlignment="1">
      <alignment horizontal="right" vertical="center" indent="1"/>
    </xf>
    <xf numFmtId="3" fontId="49" fillId="6" borderId="47" xfId="1" applyNumberFormat="1" applyFont="1" applyFill="1" applyBorder="1" applyAlignment="1">
      <alignment horizontal="right" vertical="center" indent="1"/>
    </xf>
    <xf numFmtId="3" fontId="49" fillId="6" borderId="48" xfId="1" applyNumberFormat="1" applyFont="1" applyFill="1" applyBorder="1" applyAlignment="1">
      <alignment horizontal="right" vertical="center" indent="1"/>
    </xf>
    <xf numFmtId="3" fontId="49" fillId="6" borderId="49" xfId="1" applyNumberFormat="1" applyFont="1" applyFill="1" applyBorder="1" applyAlignment="1">
      <alignment horizontal="right" vertical="center" indent="1"/>
    </xf>
    <xf numFmtId="3" fontId="43" fillId="0" borderId="6" xfId="0" applyNumberFormat="1" applyFont="1" applyFill="1" applyBorder="1" applyAlignment="1">
      <alignment horizontal="right" vertical="center" indent="1"/>
    </xf>
    <xf numFmtId="3" fontId="43" fillId="0" borderId="42" xfId="0" applyNumberFormat="1" applyFont="1" applyFill="1" applyBorder="1" applyAlignment="1">
      <alignment horizontal="right" vertical="center" indent="1"/>
    </xf>
    <xf numFmtId="3" fontId="43" fillId="0" borderId="47" xfId="0" applyNumberFormat="1" applyFont="1" applyBorder="1" applyAlignment="1">
      <alignment horizontal="right" vertical="center" indent="1"/>
    </xf>
    <xf numFmtId="3" fontId="52" fillId="0" borderId="12" xfId="1" applyNumberFormat="1" applyFont="1" applyFill="1" applyBorder="1" applyAlignment="1">
      <alignment horizontal="right" vertical="center" indent="1"/>
    </xf>
    <xf numFmtId="3" fontId="43" fillId="0" borderId="48" xfId="0" applyNumberFormat="1" applyFont="1" applyBorder="1" applyAlignment="1">
      <alignment horizontal="right" vertical="center" indent="1"/>
    </xf>
    <xf numFmtId="3" fontId="43" fillId="0" borderId="50" xfId="0" applyNumberFormat="1" applyFont="1" applyBorder="1" applyAlignment="1">
      <alignment horizontal="right" vertical="center" indent="1"/>
    </xf>
    <xf numFmtId="3" fontId="43" fillId="0" borderId="12" xfId="0" applyNumberFormat="1" applyFont="1" applyBorder="1" applyAlignment="1">
      <alignment horizontal="right" vertical="center" indent="1"/>
    </xf>
    <xf numFmtId="0" fontId="48" fillId="0" borderId="12" xfId="0" applyFont="1" applyBorder="1" applyAlignment="1">
      <alignment horizontal="left" vertical="center"/>
    </xf>
    <xf numFmtId="3" fontId="48" fillId="0" borderId="6" xfId="0" applyNumberFormat="1" applyFont="1" applyBorder="1" applyAlignment="1">
      <alignment horizontal="right" vertical="center" indent="1"/>
    </xf>
    <xf numFmtId="3" fontId="48" fillId="0" borderId="1" xfId="0" applyNumberFormat="1" applyFont="1" applyBorder="1" applyAlignment="1">
      <alignment horizontal="right" vertical="center" indent="1"/>
    </xf>
    <xf numFmtId="3" fontId="53" fillId="0" borderId="1" xfId="0" applyNumberFormat="1" applyFont="1" applyBorder="1" applyAlignment="1">
      <alignment horizontal="right" vertical="center" indent="1"/>
    </xf>
    <xf numFmtId="3" fontId="52" fillId="0" borderId="1" xfId="1" applyNumberFormat="1" applyFont="1" applyFill="1" applyBorder="1" applyAlignment="1">
      <alignment horizontal="right" vertical="center" indent="1"/>
    </xf>
    <xf numFmtId="3" fontId="52" fillId="0" borderId="35" xfId="1" applyNumberFormat="1" applyFont="1" applyFill="1" applyBorder="1" applyAlignment="1">
      <alignment horizontal="right" vertical="center" indent="1"/>
    </xf>
    <xf numFmtId="3" fontId="52" fillId="0" borderId="26" xfId="1" applyNumberFormat="1" applyFont="1" applyFill="1" applyBorder="1" applyAlignment="1">
      <alignment horizontal="right" vertical="center" indent="1"/>
    </xf>
    <xf numFmtId="3" fontId="53" fillId="0" borderId="25" xfId="0" applyNumberFormat="1" applyFont="1" applyBorder="1" applyAlignment="1">
      <alignment horizontal="right" vertical="center" indent="1"/>
    </xf>
    <xf numFmtId="3" fontId="53" fillId="0" borderId="5" xfId="0" applyNumberFormat="1" applyFont="1" applyFill="1" applyBorder="1" applyAlignment="1">
      <alignment horizontal="right" vertical="center" indent="1"/>
    </xf>
    <xf numFmtId="3" fontId="53" fillId="0" borderId="8" xfId="0" applyNumberFormat="1" applyFont="1" applyBorder="1" applyAlignment="1">
      <alignment horizontal="right" vertical="center" indent="1"/>
    </xf>
    <xf numFmtId="3" fontId="49" fillId="0" borderId="35" xfId="1" applyNumberFormat="1" applyFont="1" applyFill="1" applyBorder="1" applyAlignment="1">
      <alignment horizontal="right" vertical="center" indent="1"/>
    </xf>
    <xf numFmtId="3" fontId="45" fillId="0" borderId="25" xfId="0" applyNumberFormat="1" applyFont="1" applyBorder="1" applyAlignment="1">
      <alignment horizontal="right" vertical="center" indent="1"/>
    </xf>
    <xf numFmtId="3" fontId="48" fillId="0" borderId="26" xfId="0" applyNumberFormat="1" applyFont="1" applyBorder="1" applyAlignment="1">
      <alignment horizontal="right" vertical="center" indent="1"/>
    </xf>
    <xf numFmtId="3" fontId="48" fillId="0" borderId="25" xfId="0" applyNumberFormat="1" applyFont="1" applyBorder="1" applyAlignment="1">
      <alignment horizontal="right" vertical="center" indent="1"/>
    </xf>
    <xf numFmtId="3" fontId="48" fillId="0" borderId="5" xfId="0" applyNumberFormat="1" applyFont="1" applyFill="1" applyBorder="1" applyAlignment="1">
      <alignment horizontal="right" vertical="center" indent="1"/>
    </xf>
    <xf numFmtId="3" fontId="48" fillId="0" borderId="8" xfId="0" applyNumberFormat="1" applyFont="1" applyBorder="1" applyAlignment="1">
      <alignment horizontal="right" vertical="center" indent="1"/>
    </xf>
    <xf numFmtId="3" fontId="50" fillId="7" borderId="51" xfId="1" applyNumberFormat="1" applyFont="1" applyFill="1" applyBorder="1" applyAlignment="1">
      <alignment horizontal="right" vertical="center" indent="1"/>
    </xf>
    <xf numFmtId="3" fontId="50" fillId="7" borderId="1" xfId="1" applyNumberFormat="1" applyFont="1" applyFill="1" applyBorder="1" applyAlignment="1">
      <alignment horizontal="right" vertical="center" indent="1"/>
    </xf>
    <xf numFmtId="3" fontId="50" fillId="7" borderId="35" xfId="1" applyNumberFormat="1" applyFont="1" applyFill="1" applyBorder="1" applyAlignment="1">
      <alignment horizontal="right" vertical="center" indent="1"/>
    </xf>
    <xf numFmtId="3" fontId="50" fillId="7" borderId="52" xfId="1" applyNumberFormat="1" applyFont="1" applyFill="1" applyBorder="1" applyAlignment="1">
      <alignment horizontal="right" vertical="center" indent="1"/>
    </xf>
    <xf numFmtId="3" fontId="50" fillId="7" borderId="26" xfId="1" applyNumberFormat="1" applyFont="1" applyFill="1" applyBorder="1" applyAlignment="1">
      <alignment horizontal="right" vertical="center" indent="1"/>
    </xf>
    <xf numFmtId="3" fontId="50" fillId="7" borderId="6" xfId="1" applyNumberFormat="1" applyFont="1" applyFill="1" applyBorder="1" applyAlignment="1">
      <alignment horizontal="right" vertical="center" indent="1"/>
    </xf>
    <xf numFmtId="3" fontId="50" fillId="7" borderId="8" xfId="1" applyNumberFormat="1" applyFont="1" applyFill="1" applyBorder="1" applyAlignment="1">
      <alignment horizontal="right" vertical="center" indent="1"/>
    </xf>
    <xf numFmtId="3" fontId="50" fillId="10" borderId="49" xfId="1" applyNumberFormat="1" applyFont="1" applyFill="1" applyBorder="1" applyAlignment="1">
      <alignment horizontal="right" vertical="center" indent="1"/>
    </xf>
    <xf numFmtId="3" fontId="50" fillId="7" borderId="48" xfId="1" applyNumberFormat="1" applyFont="1" applyFill="1" applyBorder="1" applyAlignment="1">
      <alignment horizontal="right" vertical="center" indent="1"/>
    </xf>
    <xf numFmtId="0" fontId="45" fillId="0" borderId="8" xfId="0" applyFont="1" applyFill="1" applyBorder="1" applyAlignment="1">
      <alignment horizontal="center" vertical="center"/>
    </xf>
    <xf numFmtId="0" fontId="43" fillId="0" borderId="12" xfId="0" applyFont="1" applyFill="1" applyBorder="1" applyAlignment="1">
      <alignment horizontal="left" vertical="center"/>
    </xf>
    <xf numFmtId="3" fontId="45" fillId="0" borderId="53" xfId="0" applyNumberFormat="1" applyFont="1" applyBorder="1" applyAlignment="1">
      <alignment horizontal="right" vertical="center" indent="1"/>
    </xf>
    <xf numFmtId="3" fontId="43" fillId="0" borderId="26" xfId="0" applyNumberFormat="1" applyFont="1" applyFill="1" applyBorder="1" applyAlignment="1">
      <alignment horizontal="right" vertical="center" indent="1"/>
    </xf>
    <xf numFmtId="0" fontId="45" fillId="10" borderId="8" xfId="0" applyFont="1" applyFill="1" applyBorder="1" applyAlignment="1">
      <alignment horizontal="center" vertical="center"/>
    </xf>
    <xf numFmtId="0" fontId="43" fillId="10" borderId="15" xfId="0" applyFont="1" applyFill="1" applyBorder="1" applyAlignment="1">
      <alignment horizontal="left" vertical="center"/>
    </xf>
    <xf numFmtId="3" fontId="49" fillId="10" borderId="1" xfId="1" applyNumberFormat="1" applyFont="1" applyFill="1" applyBorder="1" applyAlignment="1">
      <alignment horizontal="right" vertical="center" indent="1"/>
    </xf>
    <xf numFmtId="3" fontId="43" fillId="10" borderId="26" xfId="0" applyNumberFormat="1" applyFont="1" applyFill="1" applyBorder="1" applyAlignment="1">
      <alignment horizontal="right" vertical="center" indent="1"/>
    </xf>
    <xf numFmtId="3" fontId="43" fillId="10" borderId="6" xfId="0" applyNumberFormat="1" applyFont="1" applyFill="1" applyBorder="1" applyAlignment="1">
      <alignment horizontal="right" vertical="center" indent="1"/>
    </xf>
    <xf numFmtId="3" fontId="43" fillId="10" borderId="8" xfId="0" applyNumberFormat="1" applyFont="1" applyFill="1" applyBorder="1" applyAlignment="1">
      <alignment horizontal="right" vertical="center" indent="1"/>
    </xf>
    <xf numFmtId="3" fontId="50" fillId="7" borderId="10" xfId="1" applyNumberFormat="1" applyFont="1" applyFill="1" applyBorder="1" applyAlignment="1">
      <alignment horizontal="right" vertical="center" indent="1"/>
    </xf>
    <xf numFmtId="3" fontId="50" fillId="7" borderId="12" xfId="1" applyNumberFormat="1" applyFont="1" applyFill="1" applyBorder="1" applyAlignment="1">
      <alignment horizontal="right" vertical="center" indent="1"/>
    </xf>
    <xf numFmtId="3" fontId="50" fillId="7" borderId="42" xfId="1" applyNumberFormat="1" applyFont="1" applyFill="1" applyBorder="1" applyAlignment="1">
      <alignment horizontal="right" vertical="center" indent="1"/>
    </xf>
    <xf numFmtId="0" fontId="43" fillId="10" borderId="54" xfId="0" applyFont="1" applyFill="1" applyBorder="1" applyAlignment="1">
      <alignment horizontal="center" vertical="center"/>
    </xf>
    <xf numFmtId="0" fontId="43" fillId="10" borderId="55" xfId="0" applyFont="1" applyFill="1" applyBorder="1" applyAlignment="1">
      <alignment horizontal="left" vertical="center"/>
    </xf>
    <xf numFmtId="3" fontId="49" fillId="10" borderId="54" xfId="1" applyNumberFormat="1" applyFont="1" applyFill="1" applyBorder="1" applyAlignment="1">
      <alignment horizontal="right" vertical="center" indent="1"/>
    </xf>
    <xf numFmtId="3" fontId="49" fillId="10" borderId="56" xfId="1" applyNumberFormat="1" applyFont="1" applyFill="1" applyBorder="1" applyAlignment="1">
      <alignment horizontal="right" vertical="center" indent="1"/>
    </xf>
    <xf numFmtId="0" fontId="43" fillId="10" borderId="12" xfId="0" applyFont="1" applyFill="1" applyBorder="1" applyAlignment="1">
      <alignment horizontal="left" vertical="center"/>
    </xf>
    <xf numFmtId="0" fontId="45" fillId="10" borderId="54" xfId="0" applyFont="1" applyFill="1" applyBorder="1" applyAlignment="1">
      <alignment horizontal="center" vertical="center"/>
    </xf>
    <xf numFmtId="0" fontId="45" fillId="8" borderId="9" xfId="0" applyFont="1" applyFill="1" applyBorder="1" applyAlignment="1">
      <alignment horizontal="center" vertical="center"/>
    </xf>
    <xf numFmtId="3" fontId="50" fillId="8" borderId="9" xfId="1" applyNumberFormat="1" applyFont="1" applyFill="1" applyBorder="1" applyAlignment="1">
      <alignment horizontal="right" vertical="center" indent="1"/>
    </xf>
    <xf numFmtId="3" fontId="50" fillId="8" borderId="31" xfId="1" applyNumberFormat="1" applyFont="1" applyFill="1" applyBorder="1" applyAlignment="1">
      <alignment horizontal="right" vertical="center" indent="1"/>
    </xf>
    <xf numFmtId="3" fontId="50" fillId="8" borderId="46" xfId="1" applyNumberFormat="1" applyFont="1" applyFill="1" applyBorder="1" applyAlignment="1">
      <alignment horizontal="right" vertical="center" indent="1"/>
    </xf>
    <xf numFmtId="3" fontId="50" fillId="8" borderId="33" xfId="1" applyNumberFormat="1" applyFont="1" applyFill="1" applyBorder="1" applyAlignment="1">
      <alignment horizontal="right" vertical="center" indent="1"/>
    </xf>
    <xf numFmtId="3" fontId="50" fillId="8" borderId="34" xfId="1" applyNumberFormat="1" applyFont="1" applyFill="1" applyBorder="1" applyAlignment="1">
      <alignment horizontal="right" vertical="center" indent="1"/>
    </xf>
    <xf numFmtId="3" fontId="50" fillId="8" borderId="13" xfId="1" applyNumberFormat="1" applyFont="1" applyFill="1" applyBorder="1" applyAlignment="1">
      <alignment horizontal="right" vertical="center" indent="1"/>
    </xf>
    <xf numFmtId="3" fontId="41" fillId="0" borderId="0" xfId="0" applyNumberFormat="1" applyFont="1" applyFill="1" applyBorder="1" applyAlignment="1">
      <alignment horizontal="right" vertical="center" indent="1"/>
    </xf>
    <xf numFmtId="0" fontId="54" fillId="0" borderId="0" xfId="0" applyFont="1" applyAlignment="1">
      <alignment horizontal="right" vertical="center"/>
    </xf>
    <xf numFmtId="0" fontId="55" fillId="7" borderId="1" xfId="0" applyFont="1" applyFill="1" applyBorder="1" applyAlignment="1">
      <alignment horizontal="center" vertical="center"/>
    </xf>
    <xf numFmtId="0" fontId="55" fillId="7" borderId="1" xfId="0" applyFont="1" applyFill="1" applyBorder="1" applyAlignment="1">
      <alignment horizontal="left" vertical="center"/>
    </xf>
    <xf numFmtId="3" fontId="2" fillId="7" borderId="1" xfId="1" applyNumberFormat="1" applyFont="1" applyFill="1" applyBorder="1" applyAlignment="1">
      <alignment horizontal="right" vertical="center" indent="1"/>
    </xf>
    <xf numFmtId="0" fontId="55" fillId="9" borderId="1" xfId="0" applyFont="1" applyFill="1" applyBorder="1" applyAlignment="1">
      <alignment horizontal="center" vertical="center"/>
    </xf>
    <xf numFmtId="0" fontId="55" fillId="9" borderId="1" xfId="0" applyFont="1" applyFill="1" applyBorder="1" applyAlignment="1">
      <alignment horizontal="left" vertical="center"/>
    </xf>
    <xf numFmtId="3" fontId="2" fillId="6" borderId="1" xfId="1" applyNumberFormat="1" applyFont="1" applyFill="1" applyBorder="1" applyAlignment="1">
      <alignment horizontal="right" vertical="center" indent="1"/>
    </xf>
    <xf numFmtId="0" fontId="54" fillId="0" borderId="1" xfId="0" applyFont="1" applyBorder="1" applyAlignment="1">
      <alignment horizontal="center" vertical="center"/>
    </xf>
    <xf numFmtId="0" fontId="54" fillId="0" borderId="1" xfId="0" applyFont="1" applyBorder="1" applyAlignment="1">
      <alignment horizontal="left" vertical="center"/>
    </xf>
    <xf numFmtId="3" fontId="2" fillId="0" borderId="1" xfId="1" applyNumberFormat="1" applyFont="1" applyFill="1" applyBorder="1" applyAlignment="1">
      <alignment horizontal="right" vertical="center" indent="1"/>
    </xf>
    <xf numFmtId="0" fontId="55" fillId="0" borderId="1" xfId="0" applyFont="1" applyBorder="1" applyAlignment="1">
      <alignment horizontal="center" vertical="center"/>
    </xf>
    <xf numFmtId="3" fontId="55" fillId="0" borderId="1" xfId="0" applyNumberFormat="1" applyFont="1" applyBorder="1" applyAlignment="1">
      <alignment horizontal="right" vertical="center" indent="1"/>
    </xf>
    <xf numFmtId="0" fontId="56" fillId="0" borderId="1" xfId="0" applyFont="1" applyBorder="1" applyAlignment="1">
      <alignment horizontal="right" vertical="center"/>
    </xf>
    <xf numFmtId="3" fontId="54" fillId="0" borderId="1" xfId="0" applyNumberFormat="1" applyFont="1" applyBorder="1" applyAlignment="1">
      <alignment horizontal="right" vertical="center" indent="1"/>
    </xf>
    <xf numFmtId="0" fontId="55" fillId="6" borderId="1" xfId="0" applyFont="1" applyFill="1" applyBorder="1" applyAlignment="1">
      <alignment horizontal="center" vertical="center"/>
    </xf>
    <xf numFmtId="0" fontId="55" fillId="6" borderId="1" xfId="0" applyFont="1" applyFill="1" applyBorder="1" applyAlignment="1">
      <alignment horizontal="left" vertical="center"/>
    </xf>
    <xf numFmtId="0" fontId="56" fillId="6" borderId="1" xfId="0" applyFont="1" applyFill="1" applyBorder="1" applyAlignment="1">
      <alignment horizontal="right" vertical="center"/>
    </xf>
    <xf numFmtId="0" fontId="55" fillId="0" borderId="1" xfId="0" applyFont="1" applyFill="1" applyBorder="1" applyAlignment="1">
      <alignment horizontal="left" vertical="center"/>
    </xf>
    <xf numFmtId="0" fontId="54" fillId="0" borderId="1" xfId="0" applyFont="1" applyFill="1" applyBorder="1" applyAlignment="1">
      <alignment horizontal="left" vertical="center"/>
    </xf>
    <xf numFmtId="0" fontId="54" fillId="8" borderId="1" xfId="0" applyFont="1" applyFill="1" applyBorder="1" applyAlignment="1">
      <alignment horizontal="center" vertical="center"/>
    </xf>
    <xf numFmtId="0" fontId="55" fillId="8" borderId="1" xfId="0" applyFont="1" applyFill="1" applyBorder="1" applyAlignment="1">
      <alignment vertical="center"/>
    </xf>
    <xf numFmtId="3" fontId="25" fillId="8" borderId="1" xfId="1" applyNumberFormat="1" applyFont="1" applyFill="1" applyBorder="1" applyAlignment="1">
      <alignment horizontal="right" vertical="center" indent="1"/>
    </xf>
    <xf numFmtId="0" fontId="0" fillId="10" borderId="0" xfId="0" applyFont="1" applyFill="1" applyAlignment="1">
      <alignment vertical="center"/>
    </xf>
    <xf numFmtId="0" fontId="47" fillId="10" borderId="0" xfId="0" applyFont="1" applyFill="1" applyAlignment="1">
      <alignment vertical="center"/>
    </xf>
    <xf numFmtId="0" fontId="0" fillId="10" borderId="0" xfId="0" applyFont="1" applyFill="1" applyBorder="1" applyAlignment="1">
      <alignment vertical="center"/>
    </xf>
    <xf numFmtId="0" fontId="0" fillId="10" borderId="0" xfId="0" applyFont="1" applyFill="1" applyAlignment="1">
      <alignment horizontal="right" vertical="center"/>
    </xf>
    <xf numFmtId="0" fontId="46" fillId="10" borderId="0" xfId="0" applyFont="1" applyFill="1" applyBorder="1" applyAlignment="1">
      <alignment horizontal="center" vertical="center" wrapText="1" shrinkToFit="1"/>
    </xf>
    <xf numFmtId="0" fontId="46" fillId="10" borderId="8" xfId="0" applyFont="1" applyFill="1" applyBorder="1" applyAlignment="1">
      <alignment horizontal="center" vertical="center"/>
    </xf>
    <xf numFmtId="0" fontId="46" fillId="10" borderId="1" xfId="0" applyFont="1" applyFill="1" applyBorder="1" applyAlignment="1">
      <alignment horizontal="center" vertical="center"/>
    </xf>
    <xf numFmtId="0" fontId="46" fillId="10" borderId="6" xfId="0" applyFont="1" applyFill="1" applyBorder="1" applyAlignment="1">
      <alignment horizontal="center" vertical="center"/>
    </xf>
    <xf numFmtId="0" fontId="46" fillId="10" borderId="10" xfId="0" applyFont="1" applyFill="1" applyBorder="1" applyAlignment="1">
      <alignment horizontal="center" vertical="center"/>
    </xf>
    <xf numFmtId="0" fontId="46" fillId="10" borderId="7" xfId="0" applyFont="1" applyFill="1" applyBorder="1" applyAlignment="1">
      <alignment horizontal="center" vertical="center" wrapText="1" shrinkToFit="1"/>
    </xf>
    <xf numFmtId="0" fontId="46" fillId="10" borderId="3" xfId="0" applyFont="1" applyFill="1" applyBorder="1" applyAlignment="1">
      <alignment horizontal="center" vertical="center" wrapText="1" shrinkToFit="1"/>
    </xf>
    <xf numFmtId="0" fontId="46" fillId="10" borderId="57" xfId="0" applyFont="1" applyFill="1" applyBorder="1" applyAlignment="1">
      <alignment horizontal="center" vertical="center" wrapText="1" shrinkToFit="1"/>
    </xf>
    <xf numFmtId="0" fontId="46" fillId="10" borderId="14" xfId="0" applyFont="1" applyFill="1" applyBorder="1" applyAlignment="1">
      <alignment horizontal="center" vertical="center" wrapText="1" shrinkToFit="1"/>
    </xf>
    <xf numFmtId="0" fontId="46" fillId="10" borderId="2" xfId="0" applyFont="1" applyFill="1" applyBorder="1" applyAlignment="1">
      <alignment horizontal="center" vertical="center" wrapText="1" shrinkToFit="1"/>
    </xf>
    <xf numFmtId="0" fontId="46" fillId="10" borderId="4" xfId="0" applyFont="1" applyFill="1" applyBorder="1" applyAlignment="1">
      <alignment horizontal="center" vertical="center" wrapText="1" shrinkToFit="1"/>
    </xf>
    <xf numFmtId="3" fontId="49" fillId="7" borderId="58" xfId="1" applyNumberFormat="1" applyFont="1" applyFill="1" applyBorder="1" applyAlignment="1">
      <alignment horizontal="right" vertical="center" indent="1"/>
    </xf>
    <xf numFmtId="3" fontId="49" fillId="7" borderId="59" xfId="1" applyNumberFormat="1" applyFont="1" applyFill="1" applyBorder="1" applyAlignment="1">
      <alignment horizontal="right" vertical="center" indent="1"/>
    </xf>
    <xf numFmtId="3" fontId="43" fillId="0" borderId="60" xfId="0" applyNumberFormat="1" applyFont="1" applyFill="1" applyBorder="1" applyAlignment="1">
      <alignment horizontal="right" vertical="center" indent="1"/>
    </xf>
    <xf numFmtId="0" fontId="45" fillId="6" borderId="12" xfId="0" applyFont="1" applyFill="1" applyBorder="1" applyAlignment="1">
      <alignment horizontal="left" vertical="center" indent="2"/>
    </xf>
    <xf numFmtId="3" fontId="49" fillId="6" borderId="43" xfId="1" applyNumberFormat="1" applyFont="1" applyFill="1" applyBorder="1" applyAlignment="1">
      <alignment horizontal="right" vertical="center" indent="1"/>
    </xf>
    <xf numFmtId="0" fontId="46" fillId="0" borderId="60" xfId="0" applyFont="1" applyFill="1" applyBorder="1" applyAlignment="1">
      <alignment horizontal="center" vertical="center" wrapText="1" shrinkToFit="1"/>
    </xf>
    <xf numFmtId="0" fontId="43" fillId="10" borderId="8" xfId="0" applyFont="1" applyFill="1" applyBorder="1" applyAlignment="1">
      <alignment horizontal="center" vertical="center"/>
    </xf>
    <xf numFmtId="0" fontId="43" fillId="10" borderId="12" xfId="0" applyFont="1" applyFill="1" applyBorder="1" applyAlignment="1">
      <alignment horizontal="left" vertical="center" indent="2"/>
    </xf>
    <xf numFmtId="3" fontId="49" fillId="10" borderId="35" xfId="1" applyNumberFormat="1" applyFont="1" applyFill="1" applyBorder="1" applyAlignment="1">
      <alignment horizontal="right" vertical="center" indent="1"/>
    </xf>
    <xf numFmtId="3" fontId="49" fillId="10" borderId="26" xfId="1" applyNumberFormat="1" applyFont="1" applyFill="1" applyBorder="1" applyAlignment="1">
      <alignment horizontal="right" vertical="center" indent="1"/>
    </xf>
    <xf numFmtId="3" fontId="49" fillId="10" borderId="6" xfId="1" applyNumberFormat="1" applyFont="1" applyFill="1" applyBorder="1" applyAlignment="1">
      <alignment horizontal="right" vertical="center" indent="1"/>
    </xf>
    <xf numFmtId="3" fontId="49" fillId="10" borderId="43" xfId="1" applyNumberFormat="1" applyFont="1" applyFill="1" applyBorder="1" applyAlignment="1">
      <alignment horizontal="right" vertical="center" indent="1"/>
    </xf>
    <xf numFmtId="0" fontId="46" fillId="10" borderId="60" xfId="0" applyFont="1" applyFill="1" applyBorder="1" applyAlignment="1">
      <alignment horizontal="center" vertical="center" wrapText="1" shrinkToFit="1"/>
    </xf>
    <xf numFmtId="0" fontId="48" fillId="10" borderId="12" xfId="0" applyFont="1" applyFill="1" applyBorder="1" applyAlignment="1">
      <alignment horizontal="left" vertical="center" indent="4"/>
    </xf>
    <xf numFmtId="3" fontId="43" fillId="10" borderId="1" xfId="0" applyNumberFormat="1" applyFont="1" applyFill="1" applyBorder="1" applyAlignment="1">
      <alignment horizontal="right" vertical="center" indent="1"/>
    </xf>
    <xf numFmtId="3" fontId="43" fillId="10" borderId="35" xfId="0" applyNumberFormat="1" applyFont="1" applyFill="1" applyBorder="1" applyAlignment="1">
      <alignment horizontal="right" vertical="center" indent="1"/>
    </xf>
    <xf numFmtId="3" fontId="43" fillId="10" borderId="12" xfId="0" applyNumberFormat="1" applyFont="1" applyFill="1" applyBorder="1" applyAlignment="1">
      <alignment horizontal="right" vertical="center" indent="1"/>
    </xf>
    <xf numFmtId="3" fontId="43" fillId="10" borderId="43" xfId="0" applyNumberFormat="1" applyFont="1" applyFill="1" applyBorder="1" applyAlignment="1">
      <alignment horizontal="right" vertical="center" indent="1"/>
    </xf>
    <xf numFmtId="0" fontId="43" fillId="10" borderId="12" xfId="0" applyFont="1" applyFill="1" applyBorder="1" applyAlignment="1">
      <alignment horizontal="left" vertical="center" indent="4"/>
    </xf>
    <xf numFmtId="0" fontId="48" fillId="10" borderId="12" xfId="0" applyFont="1" applyFill="1" applyBorder="1" applyAlignment="1">
      <alignment horizontal="left" vertical="center"/>
    </xf>
    <xf numFmtId="3" fontId="43" fillId="10" borderId="60" xfId="0" applyNumberFormat="1" applyFont="1" applyFill="1" applyBorder="1" applyAlignment="1">
      <alignment horizontal="right" vertical="center" indent="1"/>
    </xf>
    <xf numFmtId="3" fontId="43" fillId="10" borderId="0" xfId="0" applyNumberFormat="1" applyFont="1" applyFill="1" applyBorder="1" applyAlignment="1">
      <alignment horizontal="right" vertical="center" indent="1"/>
    </xf>
    <xf numFmtId="3" fontId="49" fillId="10" borderId="1" xfId="0" applyNumberFormat="1" applyFont="1" applyFill="1" applyBorder="1" applyAlignment="1">
      <alignment horizontal="right" vertical="center" indent="1"/>
    </xf>
    <xf numFmtId="0" fontId="43" fillId="10" borderId="16" xfId="0" applyFont="1" applyFill="1" applyBorder="1" applyAlignment="1">
      <alignment horizontal="left" vertical="center" indent="2"/>
    </xf>
    <xf numFmtId="3" fontId="49" fillId="7" borderId="35" xfId="1" applyNumberFormat="1" applyFont="1" applyFill="1" applyBorder="1" applyAlignment="1">
      <alignment horizontal="right" vertical="center" indent="1"/>
    </xf>
    <xf numFmtId="3" fontId="49" fillId="7" borderId="43" xfId="1" applyNumberFormat="1" applyFont="1" applyFill="1" applyBorder="1" applyAlignment="1">
      <alignment horizontal="right" vertical="center" indent="1"/>
    </xf>
    <xf numFmtId="0" fontId="43" fillId="10" borderId="15" xfId="0" applyFont="1" applyFill="1" applyBorder="1" applyAlignment="1">
      <alignment horizontal="left" vertical="center" indent="2"/>
    </xf>
    <xf numFmtId="3" fontId="49" fillId="7" borderId="51" xfId="1" applyNumberFormat="1" applyFont="1" applyFill="1" applyBorder="1" applyAlignment="1">
      <alignment horizontal="right" vertical="center" indent="1"/>
    </xf>
    <xf numFmtId="3" fontId="43" fillId="10" borderId="30" xfId="0" applyNumberFormat="1" applyFont="1" applyFill="1" applyBorder="1" applyAlignment="1">
      <alignment horizontal="right" vertical="center" indent="1"/>
    </xf>
    <xf numFmtId="3" fontId="43" fillId="10" borderId="28" xfId="0" applyNumberFormat="1" applyFont="1" applyFill="1" applyBorder="1" applyAlignment="1">
      <alignment horizontal="right" vertical="center" indent="1"/>
    </xf>
    <xf numFmtId="3" fontId="43" fillId="10" borderId="29" xfId="0" applyNumberFormat="1" applyFont="1" applyFill="1" applyBorder="1" applyAlignment="1">
      <alignment horizontal="right" vertical="center" indent="1"/>
    </xf>
    <xf numFmtId="3" fontId="43" fillId="10" borderId="27" xfId="0" applyNumberFormat="1" applyFont="1" applyFill="1" applyBorder="1" applyAlignment="1">
      <alignment horizontal="right" vertical="center" indent="1"/>
    </xf>
    <xf numFmtId="0" fontId="45" fillId="6" borderId="15" xfId="0" applyFont="1" applyFill="1" applyBorder="1" applyAlignment="1">
      <alignment horizontal="left" vertical="center" indent="2"/>
    </xf>
    <xf numFmtId="0" fontId="45" fillId="10" borderId="55" xfId="0" applyFont="1" applyFill="1" applyBorder="1" applyAlignment="1">
      <alignment horizontal="left" vertical="center" indent="2"/>
    </xf>
    <xf numFmtId="3" fontId="43" fillId="10" borderId="54" xfId="0" applyNumberFormat="1" applyFont="1" applyFill="1" applyBorder="1" applyAlignment="1">
      <alignment horizontal="right" vertical="center" indent="1"/>
    </xf>
    <xf numFmtId="3" fontId="43" fillId="10" borderId="56" xfId="0" applyNumberFormat="1" applyFont="1" applyFill="1" applyBorder="1" applyAlignment="1">
      <alignment horizontal="right" vertical="center" indent="1"/>
    </xf>
    <xf numFmtId="3" fontId="49" fillId="10" borderId="5" xfId="1" applyNumberFormat="1" applyFont="1" applyFill="1" applyBorder="1" applyAlignment="1">
      <alignment horizontal="right" vertical="center" indent="1"/>
    </xf>
    <xf numFmtId="3" fontId="43" fillId="10" borderId="61" xfId="0" applyNumberFormat="1" applyFont="1" applyFill="1" applyBorder="1" applyAlignment="1">
      <alignment horizontal="right" vertical="center" indent="1"/>
    </xf>
    <xf numFmtId="3" fontId="43" fillId="10" borderId="62" xfId="0" applyNumberFormat="1" applyFont="1" applyFill="1" applyBorder="1" applyAlignment="1">
      <alignment horizontal="right" vertical="center" indent="1"/>
    </xf>
    <xf numFmtId="3" fontId="49" fillId="10" borderId="55" xfId="1" applyNumberFormat="1" applyFont="1" applyFill="1" applyBorder="1" applyAlignment="1">
      <alignment horizontal="right" vertical="center" indent="1"/>
    </xf>
    <xf numFmtId="3" fontId="49" fillId="10" borderId="60" xfId="1" applyNumberFormat="1" applyFont="1" applyFill="1" applyBorder="1" applyAlignment="1">
      <alignment horizontal="right" vertical="center" indent="1"/>
    </xf>
    <xf numFmtId="3" fontId="49" fillId="8" borderId="46" xfId="1" applyNumberFormat="1" applyFont="1" applyFill="1" applyBorder="1" applyAlignment="1">
      <alignment horizontal="right" vertical="center" indent="1"/>
    </xf>
    <xf numFmtId="3" fontId="49" fillId="8" borderId="63" xfId="1" applyNumberFormat="1" applyFont="1" applyFill="1" applyBorder="1" applyAlignment="1">
      <alignment horizontal="right" vertical="center" indent="1"/>
    </xf>
    <xf numFmtId="3" fontId="0" fillId="10" borderId="0" xfId="0" applyNumberFormat="1" applyFont="1" applyFill="1" applyBorder="1" applyAlignment="1">
      <alignment horizontal="right" vertical="center" indent="1"/>
    </xf>
    <xf numFmtId="0" fontId="14" fillId="0" borderId="0" xfId="0" applyFont="1" applyFill="1" applyAlignment="1">
      <alignment vertical="center"/>
    </xf>
    <xf numFmtId="0" fontId="7" fillId="0" borderId="0" xfId="0" applyFont="1" applyAlignment="1">
      <alignment vertical="center"/>
    </xf>
    <xf numFmtId="0" fontId="7" fillId="0" borderId="14" xfId="0" applyFont="1" applyFill="1" applyBorder="1" applyAlignment="1">
      <alignment horizontal="center" vertical="center" wrapText="1" shrinkToFit="1"/>
    </xf>
    <xf numFmtId="0" fontId="7" fillId="0" borderId="2" xfId="0" applyFont="1" applyFill="1" applyBorder="1" applyAlignment="1">
      <alignment horizontal="center" vertical="center" wrapText="1" shrinkToFit="1"/>
    </xf>
    <xf numFmtId="0" fontId="8" fillId="2" borderId="8" xfId="0" applyFont="1" applyFill="1" applyBorder="1" applyAlignment="1">
      <alignment horizontal="center" vertical="center"/>
    </xf>
    <xf numFmtId="3" fontId="5" fillId="2" borderId="20" xfId="1" applyNumberFormat="1" applyFont="1" applyFill="1" applyBorder="1" applyAlignment="1">
      <alignment horizontal="right" vertical="center" indent="1"/>
    </xf>
    <xf numFmtId="3" fontId="5" fillId="2" borderId="21" xfId="1" applyNumberFormat="1" applyFont="1" applyFill="1" applyBorder="1" applyAlignment="1">
      <alignment horizontal="right" vertical="center" indent="1"/>
    </xf>
    <xf numFmtId="3" fontId="5" fillId="2" borderId="24" xfId="1" applyNumberFormat="1" applyFont="1" applyFill="1" applyBorder="1" applyAlignment="1">
      <alignment horizontal="right" vertical="center" indent="1"/>
    </xf>
    <xf numFmtId="3" fontId="5" fillId="2" borderId="22" xfId="1" applyNumberFormat="1" applyFont="1" applyFill="1" applyBorder="1" applyAlignment="1">
      <alignment horizontal="right" vertical="center" indent="1"/>
    </xf>
    <xf numFmtId="3" fontId="5" fillId="2" borderId="23" xfId="1" applyNumberFormat="1" applyFont="1" applyFill="1" applyBorder="1" applyAlignment="1">
      <alignment horizontal="right" vertical="center" indent="1"/>
    </xf>
    <xf numFmtId="3" fontId="8" fillId="0" borderId="0" xfId="0" applyNumberFormat="1" applyFont="1" applyFill="1" applyBorder="1" applyAlignment="1">
      <alignment horizontal="right" vertical="center" indent="1"/>
    </xf>
    <xf numFmtId="3" fontId="5" fillId="2" borderId="19" xfId="1" applyNumberFormat="1" applyFont="1" applyFill="1" applyBorder="1" applyAlignment="1">
      <alignment horizontal="right" vertical="center" indent="1"/>
    </xf>
    <xf numFmtId="0" fontId="8" fillId="4" borderId="8" xfId="0" applyFont="1" applyFill="1" applyBorder="1" applyAlignment="1">
      <alignment horizontal="center" vertical="center"/>
    </xf>
    <xf numFmtId="0" fontId="8" fillId="4" borderId="12" xfId="0" applyFont="1" applyFill="1" applyBorder="1" applyAlignment="1">
      <alignment horizontal="left" vertical="center"/>
    </xf>
    <xf numFmtId="3" fontId="5" fillId="2" borderId="1" xfId="1" applyNumberFormat="1" applyFont="1" applyFill="1" applyBorder="1" applyAlignment="1">
      <alignment horizontal="right" vertical="center" indent="1"/>
    </xf>
    <xf numFmtId="3" fontId="5" fillId="2" borderId="10" xfId="1" applyNumberFormat="1" applyFont="1" applyFill="1" applyBorder="1" applyAlignment="1">
      <alignment horizontal="right" vertical="center" indent="1"/>
    </xf>
    <xf numFmtId="3" fontId="5" fillId="2" borderId="25" xfId="1" applyNumberFormat="1" applyFont="1" applyFill="1" applyBorder="1" applyAlignment="1">
      <alignment horizontal="right" vertical="center" indent="1"/>
    </xf>
    <xf numFmtId="3" fontId="5" fillId="2" borderId="26" xfId="1" applyNumberFormat="1" applyFont="1" applyFill="1" applyBorder="1" applyAlignment="1">
      <alignment horizontal="right" vertical="center" indent="1"/>
    </xf>
    <xf numFmtId="3" fontId="5" fillId="2" borderId="6" xfId="1" applyNumberFormat="1" applyFont="1" applyFill="1" applyBorder="1" applyAlignment="1">
      <alignment horizontal="right" vertical="center" indent="1"/>
    </xf>
    <xf numFmtId="3" fontId="5" fillId="2" borderId="12" xfId="1" applyNumberFormat="1" applyFont="1" applyFill="1" applyBorder="1" applyAlignment="1">
      <alignment horizontal="right" vertical="center" indent="1"/>
    </xf>
    <xf numFmtId="3" fontId="5" fillId="2" borderId="8" xfId="1" applyNumberFormat="1" applyFont="1" applyFill="1" applyBorder="1" applyAlignment="1">
      <alignment horizontal="right" vertical="center" indent="1"/>
    </xf>
    <xf numFmtId="3" fontId="3" fillId="0" borderId="1" xfId="1" applyNumberFormat="1" applyFont="1" applyFill="1" applyBorder="1" applyAlignment="1">
      <alignment horizontal="right" vertical="center" indent="1"/>
    </xf>
    <xf numFmtId="3" fontId="3" fillId="0" borderId="10" xfId="1" applyNumberFormat="1" applyFont="1" applyFill="1" applyBorder="1" applyAlignment="1">
      <alignment horizontal="right" vertical="center" indent="1"/>
    </xf>
    <xf numFmtId="3" fontId="3" fillId="0" borderId="25" xfId="1" applyNumberFormat="1" applyFont="1" applyFill="1" applyBorder="1" applyAlignment="1">
      <alignment horizontal="right" vertical="center" indent="1"/>
    </xf>
    <xf numFmtId="3" fontId="3" fillId="0" borderId="26" xfId="1" applyNumberFormat="1" applyFont="1" applyFill="1" applyBorder="1" applyAlignment="1">
      <alignment horizontal="right" vertical="center" indent="1"/>
    </xf>
    <xf numFmtId="3" fontId="3" fillId="0" borderId="6" xfId="1" applyNumberFormat="1" applyFont="1" applyFill="1" applyBorder="1" applyAlignment="1">
      <alignment horizontal="right" vertical="center" indent="1"/>
    </xf>
    <xf numFmtId="3" fontId="3" fillId="0" borderId="12" xfId="1" applyNumberFormat="1" applyFont="1" applyFill="1" applyBorder="1" applyAlignment="1">
      <alignment horizontal="right" vertical="center" indent="1"/>
    </xf>
    <xf numFmtId="3" fontId="7" fillId="0" borderId="0" xfId="0" applyNumberFormat="1" applyFont="1" applyFill="1" applyBorder="1" applyAlignment="1">
      <alignment horizontal="right" vertical="center" indent="1"/>
    </xf>
    <xf numFmtId="3" fontId="3" fillId="0" borderId="8" xfId="1" applyNumberFormat="1" applyFont="1" applyFill="1" applyBorder="1" applyAlignment="1">
      <alignment horizontal="right" vertical="center" indent="1"/>
    </xf>
    <xf numFmtId="0" fontId="8" fillId="0" borderId="8" xfId="0" applyFont="1" applyBorder="1" applyAlignment="1">
      <alignment horizontal="center" vertical="center"/>
    </xf>
    <xf numFmtId="3" fontId="8" fillId="0" borderId="6" xfId="0" applyNumberFormat="1" applyFont="1" applyBorder="1" applyAlignment="1">
      <alignment horizontal="right" vertical="center" indent="1"/>
    </xf>
    <xf numFmtId="3" fontId="8" fillId="0" borderId="43" xfId="0" applyNumberFormat="1" applyFont="1" applyBorder="1" applyAlignment="1">
      <alignment horizontal="right" vertical="center" indent="1"/>
    </xf>
    <xf numFmtId="3" fontId="8" fillId="0" borderId="42" xfId="0" applyNumberFormat="1" applyFont="1" applyBorder="1" applyAlignment="1">
      <alignment horizontal="right" vertical="center" indent="1"/>
    </xf>
    <xf numFmtId="3" fontId="8" fillId="0" borderId="8" xfId="0" applyNumberFormat="1" applyFont="1" applyBorder="1" applyAlignment="1">
      <alignment horizontal="right" vertical="center" indent="1"/>
    </xf>
    <xf numFmtId="3" fontId="7" fillId="0" borderId="6" xfId="0" applyNumberFormat="1" applyFont="1" applyBorder="1" applyAlignment="1">
      <alignment horizontal="right" vertical="center" indent="1"/>
    </xf>
    <xf numFmtId="3" fontId="8" fillId="0" borderId="26" xfId="0" applyNumberFormat="1" applyFont="1" applyBorder="1" applyAlignment="1">
      <alignment horizontal="right" vertical="center" indent="1"/>
    </xf>
    <xf numFmtId="0" fontId="15" fillId="0" borderId="12" xfId="0" applyFont="1" applyBorder="1" applyAlignment="1">
      <alignment horizontal="left" vertical="center"/>
    </xf>
    <xf numFmtId="3" fontId="7" fillId="0" borderId="1" xfId="0" applyNumberFormat="1" applyFont="1" applyBorder="1" applyAlignment="1">
      <alignment horizontal="right" vertical="center" indent="1"/>
    </xf>
    <xf numFmtId="3" fontId="7" fillId="0" borderId="26" xfId="0" applyNumberFormat="1" applyFont="1" applyBorder="1" applyAlignment="1">
      <alignment horizontal="right" vertical="center" indent="1"/>
    </xf>
    <xf numFmtId="3" fontId="7" fillId="0" borderId="8" xfId="0" applyNumberFormat="1" applyFont="1" applyBorder="1" applyAlignment="1">
      <alignment horizontal="right" vertical="center" indent="1"/>
    </xf>
    <xf numFmtId="3" fontId="8" fillId="0" borderId="1" xfId="0" applyNumberFormat="1" applyFont="1" applyBorder="1" applyAlignment="1">
      <alignment horizontal="right" vertical="center" indent="1"/>
    </xf>
    <xf numFmtId="3" fontId="5" fillId="0" borderId="1" xfId="1" applyNumberFormat="1" applyFont="1" applyFill="1" applyBorder="1" applyAlignment="1">
      <alignment horizontal="right" vertical="center" indent="1"/>
    </xf>
    <xf numFmtId="3" fontId="5" fillId="0" borderId="10" xfId="1" applyNumberFormat="1" applyFont="1" applyFill="1" applyBorder="1" applyAlignment="1">
      <alignment horizontal="right" vertical="center" indent="1"/>
    </xf>
    <xf numFmtId="3" fontId="5" fillId="0" borderId="12" xfId="1" applyNumberFormat="1" applyFont="1" applyFill="1" applyBorder="1" applyAlignment="1">
      <alignment horizontal="right" vertical="center" indent="1"/>
    </xf>
    <xf numFmtId="0" fontId="8" fillId="0" borderId="16" xfId="0" applyFont="1" applyBorder="1" applyAlignment="1">
      <alignment horizontal="left" vertical="center"/>
    </xf>
    <xf numFmtId="3" fontId="5" fillId="2" borderId="48" xfId="1" applyNumberFormat="1" applyFont="1" applyFill="1" applyBorder="1" applyAlignment="1">
      <alignment horizontal="right" vertical="center" indent="1"/>
    </xf>
    <xf numFmtId="3" fontId="5" fillId="2" borderId="42" xfId="1" applyNumberFormat="1" applyFont="1" applyFill="1" applyBorder="1" applyAlignment="1">
      <alignment horizontal="right" vertical="center" indent="1"/>
    </xf>
    <xf numFmtId="0" fontId="7" fillId="2" borderId="8" xfId="0" applyFont="1" applyFill="1" applyBorder="1" applyAlignment="1">
      <alignment horizontal="center" vertical="center"/>
    </xf>
    <xf numFmtId="0" fontId="7" fillId="4" borderId="12" xfId="0" applyFont="1" applyFill="1" applyBorder="1" applyAlignment="1">
      <alignment horizontal="left" vertical="center"/>
    </xf>
    <xf numFmtId="3" fontId="3" fillId="4" borderId="6" xfId="1" applyNumberFormat="1" applyFont="1" applyFill="1" applyBorder="1" applyAlignment="1">
      <alignment horizontal="right" vertical="center" indent="1"/>
    </xf>
    <xf numFmtId="3" fontId="3" fillId="4" borderId="1" xfId="1" applyNumberFormat="1" applyFont="1" applyFill="1" applyBorder="1" applyAlignment="1">
      <alignment horizontal="right" vertical="center" indent="1"/>
    </xf>
    <xf numFmtId="3" fontId="3" fillId="4" borderId="10" xfId="1" applyNumberFormat="1" applyFont="1" applyFill="1" applyBorder="1" applyAlignment="1">
      <alignment horizontal="right" vertical="center" indent="1"/>
    </xf>
    <xf numFmtId="3" fontId="3" fillId="4" borderId="26" xfId="1" applyNumberFormat="1" applyFont="1" applyFill="1" applyBorder="1" applyAlignment="1">
      <alignment horizontal="right" vertical="center" indent="1"/>
    </xf>
    <xf numFmtId="3" fontId="3" fillId="4" borderId="12" xfId="1" applyNumberFormat="1" applyFont="1" applyFill="1" applyBorder="1" applyAlignment="1">
      <alignment horizontal="right" vertical="center" indent="1"/>
    </xf>
    <xf numFmtId="3" fontId="7" fillId="4" borderId="0" xfId="0" applyNumberFormat="1" applyFont="1" applyFill="1" applyBorder="1" applyAlignment="1">
      <alignment horizontal="right" vertical="center" indent="1"/>
    </xf>
    <xf numFmtId="3" fontId="3" fillId="4" borderId="8" xfId="1" applyNumberFormat="1" applyFont="1" applyFill="1" applyBorder="1" applyAlignment="1">
      <alignment horizontal="right" vertical="center" indent="1"/>
    </xf>
    <xf numFmtId="3" fontId="3" fillId="4" borderId="42" xfId="1" applyNumberFormat="1" applyFont="1" applyFill="1" applyBorder="1" applyAlignment="1">
      <alignment horizontal="right" vertical="center" indent="1"/>
    </xf>
    <xf numFmtId="3" fontId="5" fillId="2" borderId="43" xfId="1" applyNumberFormat="1" applyFont="1" applyFill="1" applyBorder="1" applyAlignment="1">
      <alignment horizontal="right" vertical="center" indent="1"/>
    </xf>
    <xf numFmtId="0" fontId="8" fillId="2" borderId="15" xfId="0" applyFont="1" applyFill="1" applyBorder="1" applyAlignment="1">
      <alignment horizontal="left" vertical="center"/>
    </xf>
    <xf numFmtId="0" fontId="7" fillId="4" borderId="15" xfId="0" applyFont="1" applyFill="1" applyBorder="1" applyAlignment="1">
      <alignment horizontal="left" vertical="center"/>
    </xf>
    <xf numFmtId="3" fontId="3" fillId="4" borderId="27" xfId="1" applyNumberFormat="1" applyFont="1" applyFill="1" applyBorder="1" applyAlignment="1">
      <alignment horizontal="right" vertical="center" indent="1"/>
    </xf>
    <xf numFmtId="3" fontId="3" fillId="4" borderId="28" xfId="1" applyNumberFormat="1" applyFont="1" applyFill="1" applyBorder="1" applyAlignment="1">
      <alignment horizontal="right" vertical="center" indent="1"/>
    </xf>
    <xf numFmtId="3" fontId="3" fillId="4" borderId="29" xfId="1" applyNumberFormat="1" applyFont="1" applyFill="1" applyBorder="1" applyAlignment="1">
      <alignment horizontal="right" vertical="center" indent="1"/>
    </xf>
    <xf numFmtId="3" fontId="3" fillId="4" borderId="30" xfId="1" applyNumberFormat="1" applyFont="1" applyFill="1" applyBorder="1" applyAlignment="1">
      <alignment horizontal="right" vertical="center" indent="1"/>
    </xf>
    <xf numFmtId="3" fontId="3" fillId="2" borderId="51" xfId="1" applyNumberFormat="1" applyFont="1" applyFill="1" applyBorder="1" applyAlignment="1">
      <alignment horizontal="right" vertical="center" indent="1"/>
    </xf>
    <xf numFmtId="3" fontId="3" fillId="2" borderId="1" xfId="1" applyNumberFormat="1" applyFont="1" applyFill="1" applyBorder="1" applyAlignment="1">
      <alignment horizontal="right" vertical="center" indent="1"/>
    </xf>
    <xf numFmtId="3" fontId="3" fillId="2" borderId="43" xfId="1" applyNumberFormat="1" applyFont="1" applyFill="1" applyBorder="1" applyAlignment="1">
      <alignment horizontal="right" vertical="center" indent="1"/>
    </xf>
    <xf numFmtId="3" fontId="3" fillId="2" borderId="8" xfId="1" applyNumberFormat="1" applyFont="1" applyFill="1" applyBorder="1" applyAlignment="1">
      <alignment horizontal="right" vertical="center" indent="1"/>
    </xf>
    <xf numFmtId="3" fontId="3" fillId="2" borderId="48" xfId="1" applyNumberFormat="1" applyFont="1" applyFill="1" applyBorder="1" applyAlignment="1">
      <alignment horizontal="right" vertical="center" indent="1"/>
    </xf>
    <xf numFmtId="0" fontId="7" fillId="3" borderId="9" xfId="0" applyFont="1" applyFill="1" applyBorder="1" applyAlignment="1">
      <alignment horizontal="center" vertical="center"/>
    </xf>
    <xf numFmtId="0" fontId="8" fillId="3" borderId="13" xfId="0" applyFont="1" applyFill="1" applyBorder="1" applyAlignment="1">
      <alignment vertical="center"/>
    </xf>
    <xf numFmtId="3" fontId="5" fillId="3" borderId="9" xfId="1" applyNumberFormat="1" applyFont="1" applyFill="1" applyBorder="1" applyAlignment="1">
      <alignment horizontal="right" vertical="center" indent="1"/>
    </xf>
    <xf numFmtId="3" fontId="5" fillId="3" borderId="31" xfId="1" applyNumberFormat="1" applyFont="1" applyFill="1" applyBorder="1" applyAlignment="1">
      <alignment horizontal="right" vertical="center" indent="1"/>
    </xf>
    <xf numFmtId="3" fontId="5" fillId="3" borderId="32" xfId="1" applyNumberFormat="1" applyFont="1" applyFill="1" applyBorder="1" applyAlignment="1">
      <alignment horizontal="right" vertical="center" indent="1"/>
    </xf>
    <xf numFmtId="3" fontId="5" fillId="3" borderId="33" xfId="1" applyNumberFormat="1" applyFont="1" applyFill="1" applyBorder="1" applyAlignment="1">
      <alignment horizontal="right" vertical="center" indent="1"/>
    </xf>
    <xf numFmtId="3" fontId="5" fillId="3" borderId="34" xfId="1" applyNumberFormat="1" applyFont="1" applyFill="1" applyBorder="1" applyAlignment="1">
      <alignment horizontal="right" vertical="center" indent="1"/>
    </xf>
    <xf numFmtId="3" fontId="5" fillId="3" borderId="13" xfId="1" applyNumberFormat="1" applyFont="1" applyFill="1" applyBorder="1" applyAlignment="1">
      <alignment horizontal="right" vertical="center" indent="1"/>
    </xf>
    <xf numFmtId="3" fontId="12" fillId="0" borderId="0" xfId="0" applyNumberFormat="1" applyFont="1" applyFill="1" applyBorder="1" applyAlignment="1">
      <alignment horizontal="right" vertical="center" indent="1"/>
    </xf>
    <xf numFmtId="0" fontId="7" fillId="0" borderId="5" xfId="0" applyFont="1" applyFill="1" applyBorder="1" applyAlignment="1">
      <alignment horizontal="center" vertical="center" wrapText="1" shrinkToFit="1"/>
    </xf>
    <xf numFmtId="0" fontId="8" fillId="11" borderId="8" xfId="0" applyFont="1" applyFill="1" applyBorder="1" applyAlignment="1">
      <alignment horizontal="center" vertical="center"/>
    </xf>
    <xf numFmtId="0" fontId="8" fillId="11" borderId="12" xfId="0" applyFont="1" applyFill="1" applyBorder="1" applyAlignment="1">
      <alignment horizontal="left" vertical="center"/>
    </xf>
    <xf numFmtId="3" fontId="3" fillId="11" borderId="20" xfId="1" applyNumberFormat="1" applyFont="1" applyFill="1" applyBorder="1" applyAlignment="1">
      <alignment horizontal="right" vertical="center" indent="1"/>
    </xf>
    <xf numFmtId="3" fontId="3" fillId="11" borderId="21" xfId="1" applyNumberFormat="1" applyFont="1" applyFill="1" applyBorder="1" applyAlignment="1">
      <alignment horizontal="right" vertical="center" indent="1"/>
    </xf>
    <xf numFmtId="3" fontId="3" fillId="11" borderId="24" xfId="1" applyNumberFormat="1" applyFont="1" applyFill="1" applyBorder="1" applyAlignment="1">
      <alignment horizontal="right" vertical="center" indent="1"/>
    </xf>
    <xf numFmtId="3" fontId="3" fillId="11" borderId="22" xfId="1" applyNumberFormat="1" applyFont="1" applyFill="1" applyBorder="1" applyAlignment="1">
      <alignment horizontal="right" vertical="center" indent="1"/>
    </xf>
    <xf numFmtId="3" fontId="3" fillId="11" borderId="23" xfId="1" applyNumberFormat="1" applyFont="1" applyFill="1" applyBorder="1" applyAlignment="1">
      <alignment horizontal="right" vertical="center" indent="1"/>
    </xf>
    <xf numFmtId="3" fontId="7" fillId="0" borderId="5" xfId="0" applyNumberFormat="1" applyFont="1" applyFill="1" applyBorder="1" applyAlignment="1">
      <alignment horizontal="right" vertical="center"/>
    </xf>
    <xf numFmtId="3" fontId="3" fillId="11" borderId="19" xfId="1" applyNumberFormat="1" applyFont="1" applyFill="1" applyBorder="1" applyAlignment="1">
      <alignment horizontal="right" vertical="center" indent="1"/>
    </xf>
    <xf numFmtId="0" fontId="8" fillId="7" borderId="8" xfId="0" applyFont="1" applyFill="1" applyBorder="1" applyAlignment="1">
      <alignment horizontal="center" vertical="center"/>
    </xf>
    <xf numFmtId="3" fontId="3" fillId="7" borderId="1" xfId="1" applyNumberFormat="1" applyFont="1" applyFill="1" applyBorder="1" applyAlignment="1">
      <alignment horizontal="right" vertical="center" indent="1"/>
    </xf>
    <xf numFmtId="3" fontId="3" fillId="7" borderId="10" xfId="1" applyNumberFormat="1" applyFont="1" applyFill="1" applyBorder="1" applyAlignment="1">
      <alignment horizontal="right" vertical="center" indent="1"/>
    </xf>
    <xf numFmtId="3" fontId="3" fillId="7" borderId="25" xfId="1" applyNumberFormat="1" applyFont="1" applyFill="1" applyBorder="1" applyAlignment="1">
      <alignment horizontal="right" vertical="center" indent="1"/>
    </xf>
    <xf numFmtId="3" fontId="3" fillId="7" borderId="26" xfId="1" applyNumberFormat="1" applyFont="1" applyFill="1" applyBorder="1" applyAlignment="1">
      <alignment horizontal="right" vertical="center" indent="1"/>
    </xf>
    <xf numFmtId="3" fontId="3" fillId="7" borderId="6" xfId="1" applyNumberFormat="1" applyFont="1" applyFill="1" applyBorder="1" applyAlignment="1">
      <alignment horizontal="right" vertical="center" indent="1"/>
    </xf>
    <xf numFmtId="3" fontId="3" fillId="7" borderId="12" xfId="1" applyNumberFormat="1" applyFont="1" applyFill="1" applyBorder="1" applyAlignment="1">
      <alignment horizontal="right" vertical="center" indent="1"/>
    </xf>
    <xf numFmtId="3" fontId="3" fillId="7" borderId="8" xfId="1" applyNumberFormat="1" applyFont="1" applyFill="1" applyBorder="1" applyAlignment="1">
      <alignment horizontal="right" vertical="center" indent="1"/>
    </xf>
    <xf numFmtId="0" fontId="15" fillId="0" borderId="12" xfId="0" applyFont="1" applyBorder="1" applyAlignment="1">
      <alignment horizontal="right" vertical="center"/>
    </xf>
    <xf numFmtId="3" fontId="5" fillId="0" borderId="25" xfId="1" applyNumberFormat="1" applyFont="1" applyFill="1" applyBorder="1" applyAlignment="1">
      <alignment horizontal="right" vertical="center" indent="1"/>
    </xf>
    <xf numFmtId="3" fontId="8" fillId="0" borderId="5" xfId="0" applyNumberFormat="1" applyFont="1" applyFill="1" applyBorder="1" applyAlignment="1">
      <alignment horizontal="right" vertical="center"/>
    </xf>
    <xf numFmtId="3" fontId="7" fillId="0" borderId="64" xfId="0" applyNumberFormat="1" applyFont="1" applyBorder="1" applyAlignment="1">
      <alignment horizontal="right" vertical="center" indent="1"/>
    </xf>
    <xf numFmtId="3" fontId="8" fillId="0" borderId="64" xfId="0" applyNumberFormat="1" applyFont="1" applyBorder="1" applyAlignment="1">
      <alignment horizontal="right" vertical="center" indent="1"/>
    </xf>
    <xf numFmtId="3" fontId="8" fillId="0" borderId="10" xfId="0" applyNumberFormat="1" applyFont="1" applyBorder="1" applyAlignment="1">
      <alignment horizontal="right" vertical="center" indent="1"/>
    </xf>
    <xf numFmtId="3" fontId="8" fillId="0" borderId="12" xfId="0" applyNumberFormat="1" applyFont="1" applyBorder="1" applyAlignment="1">
      <alignment horizontal="right" vertical="center" indent="1"/>
    </xf>
    <xf numFmtId="3" fontId="3" fillId="11" borderId="8" xfId="1" applyNumberFormat="1" applyFont="1" applyFill="1" applyBorder="1" applyAlignment="1">
      <alignment horizontal="right" vertical="center" indent="1"/>
    </xf>
    <xf numFmtId="3" fontId="3" fillId="11" borderId="1" xfId="1" applyNumberFormat="1" applyFont="1" applyFill="1" applyBorder="1" applyAlignment="1">
      <alignment horizontal="right" vertical="center" indent="1"/>
    </xf>
    <xf numFmtId="3" fontId="3" fillId="11" borderId="10" xfId="1" applyNumberFormat="1" applyFont="1" applyFill="1" applyBorder="1" applyAlignment="1">
      <alignment horizontal="right" vertical="center" indent="1"/>
    </xf>
    <xf numFmtId="3" fontId="3" fillId="11" borderId="26" xfId="1" applyNumberFormat="1" applyFont="1" applyFill="1" applyBorder="1" applyAlignment="1">
      <alignment horizontal="right" vertical="center" indent="1"/>
    </xf>
    <xf numFmtId="3" fontId="3" fillId="11" borderId="6" xfId="1" applyNumberFormat="1" applyFont="1" applyFill="1" applyBorder="1" applyAlignment="1">
      <alignment horizontal="right" vertical="center" indent="1"/>
    </xf>
    <xf numFmtId="3" fontId="3" fillId="11" borderId="12" xfId="1" applyNumberFormat="1" applyFont="1" applyFill="1" applyBorder="1" applyAlignment="1">
      <alignment horizontal="right" vertical="center" indent="1"/>
    </xf>
    <xf numFmtId="0" fontId="8" fillId="7" borderId="15" xfId="0" applyFont="1" applyFill="1" applyBorder="1" applyAlignment="1">
      <alignment horizontal="left" vertical="center"/>
    </xf>
    <xf numFmtId="3" fontId="7" fillId="0" borderId="27" xfId="0" applyNumberFormat="1" applyFont="1" applyBorder="1" applyAlignment="1">
      <alignment horizontal="right" vertical="center" indent="1"/>
    </xf>
    <xf numFmtId="3" fontId="7" fillId="0" borderId="28" xfId="0" applyNumberFormat="1" applyFont="1" applyBorder="1" applyAlignment="1">
      <alignment horizontal="right" vertical="center" indent="1"/>
    </xf>
    <xf numFmtId="3" fontId="7" fillId="0" borderId="29" xfId="0" applyNumberFormat="1" applyFont="1" applyBorder="1" applyAlignment="1">
      <alignment horizontal="right" vertical="center" indent="1"/>
    </xf>
    <xf numFmtId="3" fontId="7" fillId="0" borderId="30" xfId="0" applyNumberFormat="1" applyFont="1" applyBorder="1" applyAlignment="1">
      <alignment horizontal="right" vertical="center" indent="1"/>
    </xf>
    <xf numFmtId="0" fontId="15" fillId="0" borderId="12" xfId="0" applyFont="1" applyFill="1" applyBorder="1" applyAlignment="1">
      <alignment horizontal="right" vertical="center"/>
    </xf>
    <xf numFmtId="0" fontId="7" fillId="11" borderId="9" xfId="0" applyFont="1" applyFill="1" applyBorder="1" applyAlignment="1">
      <alignment horizontal="center" vertical="center"/>
    </xf>
    <xf numFmtId="0" fontId="8" fillId="11" borderId="13" xfId="0" applyFont="1" applyFill="1" applyBorder="1" applyAlignment="1">
      <alignment vertical="center"/>
    </xf>
    <xf numFmtId="3" fontId="3" fillId="11" borderId="9" xfId="1" applyNumberFormat="1" applyFont="1" applyFill="1" applyBorder="1" applyAlignment="1">
      <alignment horizontal="right" vertical="center" indent="1"/>
    </xf>
    <xf numFmtId="3" fontId="3" fillId="11" borderId="31" xfId="1" applyNumberFormat="1" applyFont="1" applyFill="1" applyBorder="1" applyAlignment="1">
      <alignment horizontal="right" vertical="center" indent="1"/>
    </xf>
    <xf numFmtId="3" fontId="3" fillId="11" borderId="32" xfId="1" applyNumberFormat="1" applyFont="1" applyFill="1" applyBorder="1" applyAlignment="1">
      <alignment horizontal="right" vertical="center" indent="1"/>
    </xf>
    <xf numFmtId="3" fontId="3" fillId="11" borderId="33" xfId="1" applyNumberFormat="1" applyFont="1" applyFill="1" applyBorder="1" applyAlignment="1">
      <alignment horizontal="right" vertical="center" indent="1"/>
    </xf>
    <xf numFmtId="3" fontId="3" fillId="11" borderId="34" xfId="1" applyNumberFormat="1" applyFont="1" applyFill="1" applyBorder="1" applyAlignment="1">
      <alignment horizontal="right" vertical="center" indent="1"/>
    </xf>
    <xf numFmtId="3" fontId="3" fillId="11" borderId="13" xfId="1" applyNumberFormat="1" applyFont="1" applyFill="1" applyBorder="1" applyAlignment="1">
      <alignment horizontal="right" vertical="center" indent="1"/>
    </xf>
    <xf numFmtId="3" fontId="0" fillId="0" borderId="0" xfId="0" applyNumberFormat="1" applyFont="1" applyFill="1" applyBorder="1" applyAlignment="1">
      <alignment horizontal="right" vertical="center"/>
    </xf>
    <xf numFmtId="0" fontId="4" fillId="0" borderId="0" xfId="0" applyFont="1" applyAlignment="1">
      <alignment vertical="center"/>
    </xf>
    <xf numFmtId="0" fontId="57" fillId="0" borderId="0" xfId="0" applyFont="1" applyAlignment="1">
      <alignment vertical="center"/>
    </xf>
    <xf numFmtId="0" fontId="57" fillId="0" borderId="0" xfId="0" applyFont="1" applyFill="1" applyBorder="1" applyAlignment="1">
      <alignment vertical="center"/>
    </xf>
    <xf numFmtId="0" fontId="3" fillId="4" borderId="0" xfId="1" applyFont="1" applyFill="1" applyAlignment="1">
      <alignment horizontal="right" vertical="center"/>
    </xf>
    <xf numFmtId="0" fontId="3" fillId="0" borderId="0" xfId="0" applyFont="1" applyAlignment="1">
      <alignment vertical="center"/>
    </xf>
    <xf numFmtId="0" fontId="11" fillId="0" borderId="0" xfId="0" applyFont="1" applyAlignment="1">
      <alignment vertical="center"/>
    </xf>
    <xf numFmtId="0" fontId="57" fillId="0" borderId="0" xfId="0" applyFont="1" applyAlignment="1">
      <alignment horizontal="right" vertical="center"/>
    </xf>
    <xf numFmtId="0" fontId="3" fillId="0" borderId="5" xfId="0" applyFont="1" applyFill="1" applyBorder="1" applyAlignment="1">
      <alignment horizontal="center" vertical="center" wrapText="1" shrinkToFit="1"/>
    </xf>
    <xf numFmtId="0" fontId="3" fillId="0" borderId="6" xfId="0" applyFont="1" applyBorder="1" applyAlignment="1">
      <alignment horizontal="center" vertical="center"/>
    </xf>
    <xf numFmtId="0" fontId="3" fillId="0" borderId="1" xfId="0" applyFont="1" applyBorder="1" applyAlignment="1">
      <alignment horizontal="center" vertical="center"/>
    </xf>
    <xf numFmtId="0" fontId="3" fillId="0" borderId="10" xfId="0" applyFont="1" applyBorder="1" applyAlignment="1">
      <alignment horizontal="center" vertical="center"/>
    </xf>
    <xf numFmtId="0" fontId="3" fillId="0" borderId="2" xfId="0" applyFont="1" applyBorder="1" applyAlignment="1">
      <alignment horizontal="center" vertical="center" wrapText="1" shrinkToFit="1"/>
    </xf>
    <xf numFmtId="0" fontId="3" fillId="0" borderId="3" xfId="0" applyFont="1" applyBorder="1" applyAlignment="1">
      <alignment horizontal="center" vertical="center" wrapText="1" shrinkToFit="1"/>
    </xf>
    <xf numFmtId="0" fontId="3" fillId="0" borderId="11" xfId="0" applyFont="1" applyBorder="1" applyAlignment="1">
      <alignment horizontal="center" vertical="center" wrapText="1" shrinkToFit="1"/>
    </xf>
    <xf numFmtId="0" fontId="3" fillId="0" borderId="65" xfId="0" applyFont="1" applyFill="1" applyBorder="1" applyAlignment="1">
      <alignment horizontal="center" vertical="center" wrapText="1" shrinkToFit="1"/>
    </xf>
    <xf numFmtId="0" fontId="3" fillId="0" borderId="3" xfId="0" applyFont="1" applyFill="1" applyBorder="1" applyAlignment="1">
      <alignment horizontal="center" vertical="center" wrapText="1" shrinkToFit="1"/>
    </xf>
    <xf numFmtId="0" fontId="3" fillId="0" borderId="4" xfId="0" applyFont="1" applyFill="1" applyBorder="1" applyAlignment="1">
      <alignment horizontal="center" vertical="center" wrapText="1" shrinkToFit="1"/>
    </xf>
    <xf numFmtId="0" fontId="49" fillId="0" borderId="4" xfId="0" applyFont="1" applyFill="1" applyBorder="1" applyAlignment="1">
      <alignment horizontal="center" vertical="center" wrapText="1" shrinkToFit="1"/>
    </xf>
    <xf numFmtId="0" fontId="3" fillId="0" borderId="7" xfId="0" applyFont="1" applyFill="1" applyBorder="1" applyAlignment="1">
      <alignment horizontal="center" vertical="center" wrapText="1" shrinkToFit="1"/>
    </xf>
    <xf numFmtId="0" fontId="5" fillId="2" borderId="8" xfId="0" applyFont="1" applyFill="1" applyBorder="1" applyAlignment="1">
      <alignment horizontal="center" vertical="center"/>
    </xf>
    <xf numFmtId="0" fontId="5" fillId="2" borderId="12" xfId="0" applyFont="1" applyFill="1" applyBorder="1" applyAlignment="1">
      <alignment horizontal="left" vertical="center"/>
    </xf>
    <xf numFmtId="3" fontId="5" fillId="2" borderId="20" xfId="1" applyNumberFormat="1" applyFont="1" applyFill="1" applyBorder="1" applyAlignment="1">
      <alignment horizontal="right" vertical="center"/>
    </xf>
    <xf numFmtId="3" fontId="5" fillId="2" borderId="21" xfId="1" applyNumberFormat="1" applyFont="1" applyFill="1" applyBorder="1" applyAlignment="1">
      <alignment horizontal="right" vertical="center"/>
    </xf>
    <xf numFmtId="3" fontId="5" fillId="2" borderId="66" xfId="1" applyNumberFormat="1" applyFont="1" applyFill="1" applyBorder="1" applyAlignment="1">
      <alignment horizontal="right" vertical="center"/>
    </xf>
    <xf numFmtId="3" fontId="5" fillId="2" borderId="23" xfId="1" applyNumberFormat="1" applyFont="1" applyFill="1" applyBorder="1" applyAlignment="1">
      <alignment horizontal="right" vertical="center"/>
    </xf>
    <xf numFmtId="3" fontId="5" fillId="0" borderId="5" xfId="0" applyNumberFormat="1" applyFont="1" applyFill="1" applyBorder="1" applyAlignment="1">
      <alignment horizontal="right" vertical="center"/>
    </xf>
    <xf numFmtId="3" fontId="5" fillId="2" borderId="19" xfId="1" applyNumberFormat="1" applyFont="1" applyFill="1" applyBorder="1" applyAlignment="1">
      <alignment horizontal="right" vertical="center"/>
    </xf>
    <xf numFmtId="0" fontId="5" fillId="4" borderId="8" xfId="0" applyFont="1" applyFill="1" applyBorder="1" applyAlignment="1">
      <alignment horizontal="center" vertical="center"/>
    </xf>
    <xf numFmtId="3" fontId="5" fillId="2" borderId="10" xfId="1" applyNumberFormat="1" applyFont="1" applyFill="1" applyBorder="1" applyAlignment="1">
      <alignment horizontal="right" vertical="center"/>
    </xf>
    <xf numFmtId="3" fontId="5" fillId="2" borderId="67" xfId="1" applyNumberFormat="1" applyFont="1" applyFill="1" applyBorder="1" applyAlignment="1">
      <alignment horizontal="right" vertical="center"/>
    </xf>
    <xf numFmtId="0" fontId="3" fillId="0" borderId="8" xfId="0" applyFont="1" applyBorder="1" applyAlignment="1">
      <alignment horizontal="center" vertical="center"/>
    </xf>
    <xf numFmtId="0" fontId="5" fillId="0" borderId="12" xfId="0" applyFont="1" applyBorder="1" applyAlignment="1">
      <alignment horizontal="left" vertical="center"/>
    </xf>
    <xf numFmtId="3" fontId="5" fillId="2" borderId="68" xfId="1" applyNumberFormat="1" applyFont="1" applyFill="1" applyBorder="1" applyAlignment="1">
      <alignment horizontal="right" vertical="center"/>
    </xf>
    <xf numFmtId="0" fontId="6" fillId="0" borderId="12" xfId="0" applyFont="1" applyBorder="1" applyAlignment="1">
      <alignment horizontal="right" vertical="center" wrapText="1"/>
    </xf>
    <xf numFmtId="3" fontId="3" fillId="0" borderId="6" xfId="0" applyNumberFormat="1" applyFont="1" applyFill="1" applyBorder="1" applyAlignment="1">
      <alignment horizontal="right" vertical="center"/>
    </xf>
    <xf numFmtId="3" fontId="3" fillId="0" borderId="1" xfId="0" applyNumberFormat="1" applyFont="1" applyFill="1" applyBorder="1" applyAlignment="1">
      <alignment horizontal="right" vertical="center"/>
    </xf>
    <xf numFmtId="3" fontId="3" fillId="0" borderId="1" xfId="1" applyNumberFormat="1" applyFont="1" applyFill="1" applyBorder="1" applyAlignment="1">
      <alignment horizontal="right" vertical="center"/>
    </xf>
    <xf numFmtId="3" fontId="3" fillId="0" borderId="10" xfId="1" applyNumberFormat="1" applyFont="1" applyFill="1" applyBorder="1" applyAlignment="1">
      <alignment horizontal="right" vertical="center"/>
    </xf>
    <xf numFmtId="3" fontId="3" fillId="0" borderId="5" xfId="0" applyNumberFormat="1" applyFont="1" applyFill="1" applyBorder="1" applyAlignment="1">
      <alignment horizontal="right" vertical="center"/>
    </xf>
    <xf numFmtId="3" fontId="3" fillId="0" borderId="8" xfId="0" applyNumberFormat="1" applyFont="1" applyFill="1" applyBorder="1" applyAlignment="1">
      <alignment horizontal="right" vertical="center"/>
    </xf>
    <xf numFmtId="0" fontId="5" fillId="0" borderId="8" xfId="0" applyFont="1" applyBorder="1" applyAlignment="1">
      <alignment horizontal="center" vertical="center"/>
    </xf>
    <xf numFmtId="3" fontId="5" fillId="0" borderId="0" xfId="0" applyNumberFormat="1" applyFont="1" applyFill="1" applyBorder="1" applyAlignment="1">
      <alignment horizontal="right" vertical="center"/>
    </xf>
    <xf numFmtId="0" fontId="5" fillId="0" borderId="12" xfId="0" applyFont="1" applyFill="1" applyBorder="1" applyAlignment="1">
      <alignment horizontal="left" vertical="center"/>
    </xf>
    <xf numFmtId="0" fontId="6" fillId="0" borderId="12" xfId="0" applyFont="1" applyFill="1" applyBorder="1" applyAlignment="1">
      <alignment horizontal="right" vertical="center" wrapText="1"/>
    </xf>
    <xf numFmtId="3" fontId="5" fillId="2" borderId="6" xfId="0" applyNumberFormat="1" applyFont="1" applyFill="1" applyBorder="1" applyAlignment="1">
      <alignment horizontal="right" vertical="center"/>
    </xf>
    <xf numFmtId="3" fontId="5" fillId="2" borderId="1" xfId="0" applyNumberFormat="1" applyFont="1" applyFill="1" applyBorder="1" applyAlignment="1">
      <alignment horizontal="right" vertical="center"/>
    </xf>
    <xf numFmtId="3" fontId="5" fillId="2" borderId="68" xfId="0" applyNumberFormat="1" applyFont="1" applyFill="1" applyBorder="1" applyAlignment="1">
      <alignment horizontal="right" vertical="center"/>
    </xf>
    <xf numFmtId="3" fontId="5" fillId="2" borderId="8" xfId="0" applyNumberFormat="1" applyFont="1" applyFill="1" applyBorder="1" applyAlignment="1">
      <alignment horizontal="right" vertical="center"/>
    </xf>
    <xf numFmtId="0" fontId="5" fillId="0" borderId="16" xfId="0" applyFont="1" applyFill="1" applyBorder="1" applyAlignment="1">
      <alignment horizontal="left" vertical="center"/>
    </xf>
    <xf numFmtId="3" fontId="3" fillId="2" borderId="68" xfId="1" applyNumberFormat="1" applyFont="1" applyFill="1" applyBorder="1" applyAlignment="1">
      <alignment horizontal="right" vertical="center"/>
    </xf>
    <xf numFmtId="0" fontId="5" fillId="0" borderId="8" xfId="0" applyFont="1" applyFill="1" applyBorder="1" applyAlignment="1">
      <alignment horizontal="center" vertical="center"/>
    </xf>
    <xf numFmtId="0" fontId="3" fillId="0" borderId="8" xfId="0" applyFont="1" applyFill="1" applyBorder="1" applyAlignment="1">
      <alignment horizontal="center" vertical="center"/>
    </xf>
    <xf numFmtId="0" fontId="52" fillId="0" borderId="12" xfId="0" applyFont="1" applyFill="1" applyBorder="1" applyAlignment="1">
      <alignment horizontal="right" vertical="center" wrapText="1"/>
    </xf>
    <xf numFmtId="0" fontId="5" fillId="0" borderId="15" xfId="0" applyFont="1" applyFill="1" applyBorder="1" applyAlignment="1">
      <alignment horizontal="left" vertical="center"/>
    </xf>
    <xf numFmtId="3" fontId="49" fillId="0" borderId="27" xfId="0" applyNumberFormat="1" applyFont="1" applyFill="1" applyBorder="1" applyAlignment="1">
      <alignment horizontal="right" vertical="center"/>
    </xf>
    <xf numFmtId="3" fontId="49" fillId="0" borderId="28" xfId="0" applyNumberFormat="1" applyFont="1" applyFill="1" applyBorder="1" applyAlignment="1">
      <alignment horizontal="right" vertical="center"/>
    </xf>
    <xf numFmtId="3" fontId="49" fillId="0" borderId="1" xfId="1" applyNumberFormat="1" applyFont="1" applyFill="1" applyBorder="1" applyAlignment="1">
      <alignment horizontal="right" vertical="center"/>
    </xf>
    <xf numFmtId="3" fontId="49" fillId="0" borderId="10" xfId="1" applyNumberFormat="1" applyFont="1" applyFill="1" applyBorder="1" applyAlignment="1">
      <alignment horizontal="right" vertical="center"/>
    </xf>
    <xf numFmtId="3" fontId="49" fillId="0" borderId="69" xfId="0" applyNumberFormat="1" applyFont="1" applyFill="1" applyBorder="1" applyAlignment="1">
      <alignment horizontal="right" vertical="center"/>
    </xf>
    <xf numFmtId="3" fontId="49" fillId="0" borderId="12" xfId="1" applyNumberFormat="1" applyFont="1" applyFill="1" applyBorder="1" applyAlignment="1">
      <alignment horizontal="right" vertical="center"/>
    </xf>
    <xf numFmtId="3" fontId="49" fillId="0" borderId="5" xfId="0" applyNumberFormat="1" applyFont="1" applyFill="1" applyBorder="1" applyAlignment="1">
      <alignment horizontal="right" vertical="center"/>
    </xf>
    <xf numFmtId="3" fontId="49" fillId="0" borderId="30" xfId="0" applyNumberFormat="1" applyFont="1" applyFill="1" applyBorder="1" applyAlignment="1">
      <alignment horizontal="right" vertical="center"/>
    </xf>
    <xf numFmtId="3" fontId="5" fillId="2" borderId="70" xfId="1" applyNumberFormat="1" applyFont="1" applyFill="1" applyBorder="1" applyAlignment="1">
      <alignment horizontal="right" vertical="center"/>
    </xf>
    <xf numFmtId="3" fontId="3" fillId="2" borderId="1" xfId="1" applyNumberFormat="1" applyFont="1" applyFill="1" applyBorder="1" applyAlignment="1">
      <alignment horizontal="right" vertical="center"/>
    </xf>
    <xf numFmtId="3" fontId="3" fillId="2" borderId="10" xfId="1" applyNumberFormat="1" applyFont="1" applyFill="1" applyBorder="1" applyAlignment="1">
      <alignment horizontal="right" vertical="center"/>
    </xf>
    <xf numFmtId="3" fontId="3" fillId="2" borderId="64" xfId="1" applyNumberFormat="1" applyFont="1" applyFill="1" applyBorder="1" applyAlignment="1">
      <alignment horizontal="right" vertical="center"/>
    </xf>
    <xf numFmtId="3" fontId="3" fillId="0" borderId="27" xfId="0" applyNumberFormat="1" applyFont="1" applyBorder="1" applyAlignment="1">
      <alignment horizontal="right" vertical="center"/>
    </xf>
    <xf numFmtId="3" fontId="3" fillId="0" borderId="28" xfId="0" applyNumberFormat="1" applyFont="1" applyBorder="1" applyAlignment="1">
      <alignment horizontal="right" vertical="center"/>
    </xf>
    <xf numFmtId="3" fontId="3" fillId="0" borderId="69" xfId="0" applyNumberFormat="1" applyFont="1" applyBorder="1" applyAlignment="1">
      <alignment horizontal="right" vertical="center"/>
    </xf>
    <xf numFmtId="3" fontId="3" fillId="0" borderId="30" xfId="0" applyNumberFormat="1" applyFont="1" applyBorder="1" applyAlignment="1">
      <alignment horizontal="right" vertical="center"/>
    </xf>
    <xf numFmtId="0" fontId="5" fillId="2" borderId="15" xfId="0" applyFont="1" applyFill="1" applyBorder="1" applyAlignment="1">
      <alignment horizontal="left" vertical="center"/>
    </xf>
    <xf numFmtId="0" fontId="5" fillId="3" borderId="9" xfId="0" applyFont="1" applyFill="1" applyBorder="1" applyAlignment="1">
      <alignment horizontal="center" vertical="center"/>
    </xf>
    <xf numFmtId="0" fontId="5" fillId="3" borderId="13" xfId="0" applyFont="1" applyFill="1" applyBorder="1" applyAlignment="1">
      <alignment vertical="center"/>
    </xf>
    <xf numFmtId="3" fontId="5" fillId="3" borderId="9" xfId="1" applyNumberFormat="1" applyFont="1" applyFill="1" applyBorder="1" applyAlignment="1">
      <alignment horizontal="right" vertical="center"/>
    </xf>
    <xf numFmtId="3" fontId="5" fillId="3" borderId="31" xfId="1" applyNumberFormat="1" applyFont="1" applyFill="1" applyBorder="1" applyAlignment="1">
      <alignment horizontal="right" vertical="center"/>
    </xf>
    <xf numFmtId="3" fontId="5" fillId="3" borderId="32" xfId="1" applyNumberFormat="1" applyFont="1" applyFill="1" applyBorder="1" applyAlignment="1">
      <alignment horizontal="right" vertical="center"/>
    </xf>
    <xf numFmtId="3" fontId="5" fillId="3" borderId="71" xfId="1" applyNumberFormat="1" applyFont="1" applyFill="1" applyBorder="1" applyAlignment="1">
      <alignment horizontal="right" vertical="center"/>
    </xf>
    <xf numFmtId="3" fontId="5" fillId="3" borderId="13" xfId="1" applyNumberFormat="1" applyFont="1" applyFill="1" applyBorder="1" applyAlignment="1">
      <alignment horizontal="right" vertical="center"/>
    </xf>
    <xf numFmtId="3" fontId="13" fillId="0" borderId="0" xfId="0" applyNumberFormat="1" applyFont="1" applyFill="1" applyBorder="1" applyAlignment="1">
      <alignment horizontal="right" vertical="center"/>
    </xf>
    <xf numFmtId="0" fontId="27" fillId="10" borderId="0" xfId="0" applyFont="1" applyFill="1" applyAlignment="1">
      <alignment vertical="center"/>
    </xf>
    <xf numFmtId="0" fontId="28" fillId="10" borderId="0" xfId="0" applyFont="1" applyFill="1" applyAlignment="1">
      <alignment vertical="center"/>
    </xf>
    <xf numFmtId="0" fontId="28" fillId="10" borderId="0" xfId="0" applyFont="1" applyFill="1" applyBorder="1" applyAlignment="1">
      <alignment vertical="center"/>
    </xf>
    <xf numFmtId="0" fontId="28" fillId="10" borderId="0" xfId="0" applyFont="1" applyFill="1" applyAlignment="1">
      <alignment horizontal="right" vertical="center"/>
    </xf>
    <xf numFmtId="0" fontId="28" fillId="10" borderId="5" xfId="0" applyFont="1" applyFill="1" applyBorder="1" applyAlignment="1">
      <alignment horizontal="center" vertical="center" wrapText="1" shrinkToFit="1"/>
    </xf>
    <xf numFmtId="0" fontId="28" fillId="10" borderId="6" xfId="0" applyFont="1" applyFill="1" applyBorder="1" applyAlignment="1">
      <alignment horizontal="center" vertical="center"/>
    </xf>
    <xf numFmtId="0" fontId="28" fillId="10" borderId="1" xfId="0" applyFont="1" applyFill="1" applyBorder="1" applyAlignment="1">
      <alignment horizontal="center" vertical="center"/>
    </xf>
    <xf numFmtId="0" fontId="28" fillId="10" borderId="10" xfId="0" applyFont="1" applyFill="1" applyBorder="1" applyAlignment="1">
      <alignment horizontal="center" vertical="center"/>
    </xf>
    <xf numFmtId="0" fontId="28" fillId="10" borderId="2" xfId="0" applyFont="1" applyFill="1" applyBorder="1" applyAlignment="1">
      <alignment horizontal="center" vertical="center" wrapText="1" shrinkToFit="1"/>
    </xf>
    <xf numFmtId="0" fontId="28" fillId="10" borderId="3" xfId="0" applyFont="1" applyFill="1" applyBorder="1" applyAlignment="1">
      <alignment horizontal="center" vertical="center" wrapText="1" shrinkToFit="1"/>
    </xf>
    <xf numFmtId="0" fontId="28" fillId="10" borderId="11" xfId="0" applyFont="1" applyFill="1" applyBorder="1" applyAlignment="1">
      <alignment horizontal="center" vertical="center" wrapText="1" shrinkToFit="1"/>
    </xf>
    <xf numFmtId="0" fontId="28" fillId="10" borderId="14" xfId="0" applyFont="1" applyFill="1" applyBorder="1" applyAlignment="1">
      <alignment horizontal="center" vertical="center" wrapText="1" shrinkToFit="1"/>
    </xf>
    <xf numFmtId="0" fontId="28" fillId="10" borderId="4" xfId="0" applyFont="1" applyFill="1" applyBorder="1" applyAlignment="1">
      <alignment horizontal="center" vertical="center" wrapText="1" shrinkToFit="1"/>
    </xf>
    <xf numFmtId="0" fontId="28" fillId="10" borderId="7" xfId="0" applyFont="1" applyFill="1" applyBorder="1" applyAlignment="1">
      <alignment horizontal="center" vertical="center" wrapText="1" shrinkToFit="1"/>
    </xf>
    <xf numFmtId="0" fontId="27" fillId="10" borderId="8" xfId="0" applyFont="1" applyFill="1" applyBorder="1" applyAlignment="1">
      <alignment horizontal="center" vertical="center"/>
    </xf>
    <xf numFmtId="0" fontId="27" fillId="10" borderId="12" xfId="0" applyFont="1" applyFill="1" applyBorder="1" applyAlignment="1">
      <alignment horizontal="left" vertical="center"/>
    </xf>
    <xf numFmtId="3" fontId="28" fillId="10" borderId="20" xfId="1" applyNumberFormat="1" applyFont="1" applyFill="1" applyBorder="1" applyAlignment="1">
      <alignment horizontal="right" vertical="center" indent="1"/>
    </xf>
    <xf numFmtId="3" fontId="28" fillId="10" borderId="21" xfId="1" applyNumberFormat="1" applyFont="1" applyFill="1" applyBorder="1" applyAlignment="1">
      <alignment horizontal="right" vertical="center" indent="1"/>
    </xf>
    <xf numFmtId="3" fontId="28" fillId="10" borderId="24" xfId="1" applyNumberFormat="1" applyFont="1" applyFill="1" applyBorder="1" applyAlignment="1">
      <alignment horizontal="right" vertical="center" indent="1"/>
    </xf>
    <xf numFmtId="3" fontId="28" fillId="10" borderId="22" xfId="1" applyNumberFormat="1" applyFont="1" applyFill="1" applyBorder="1" applyAlignment="1">
      <alignment horizontal="right" vertical="center" indent="1"/>
    </xf>
    <xf numFmtId="3" fontId="28" fillId="10" borderId="23" xfId="1" applyNumberFormat="1" applyFont="1" applyFill="1" applyBorder="1" applyAlignment="1">
      <alignment horizontal="right" vertical="center" indent="1"/>
    </xf>
    <xf numFmtId="3" fontId="28" fillId="10" borderId="5" xfId="0" applyNumberFormat="1" applyFont="1" applyFill="1" applyBorder="1" applyAlignment="1">
      <alignment horizontal="right" vertical="center" indent="1"/>
    </xf>
    <xf numFmtId="3" fontId="28" fillId="10" borderId="19" xfId="1" applyNumberFormat="1" applyFont="1" applyFill="1" applyBorder="1" applyAlignment="1">
      <alignment horizontal="right" vertical="center" indent="1"/>
    </xf>
    <xf numFmtId="3" fontId="27" fillId="10" borderId="1" xfId="1" applyNumberFormat="1" applyFont="1" applyFill="1" applyBorder="1" applyAlignment="1">
      <alignment horizontal="right" vertical="center" indent="1"/>
    </xf>
    <xf numFmtId="3" fontId="27" fillId="10" borderId="10" xfId="1" applyNumberFormat="1" applyFont="1" applyFill="1" applyBorder="1" applyAlignment="1">
      <alignment horizontal="right" vertical="center" indent="1"/>
    </xf>
    <xf numFmtId="3" fontId="27" fillId="10" borderId="25" xfId="1" applyNumberFormat="1" applyFont="1" applyFill="1" applyBorder="1" applyAlignment="1">
      <alignment horizontal="right" vertical="center" indent="1"/>
    </xf>
    <xf numFmtId="3" fontId="27" fillId="10" borderId="26" xfId="1" applyNumberFormat="1" applyFont="1" applyFill="1" applyBorder="1" applyAlignment="1">
      <alignment horizontal="right" vertical="center" indent="1"/>
    </xf>
    <xf numFmtId="3" fontId="27" fillId="10" borderId="6" xfId="1" applyNumberFormat="1" applyFont="1" applyFill="1" applyBorder="1" applyAlignment="1">
      <alignment horizontal="right" vertical="center" indent="1"/>
    </xf>
    <xf numFmtId="3" fontId="27" fillId="10" borderId="12" xfId="1" applyNumberFormat="1" applyFont="1" applyFill="1" applyBorder="1" applyAlignment="1">
      <alignment horizontal="right" vertical="center" indent="1"/>
    </xf>
    <xf numFmtId="3" fontId="27" fillId="10" borderId="5" xfId="0" applyNumberFormat="1" applyFont="1" applyFill="1" applyBorder="1" applyAlignment="1">
      <alignment horizontal="right" vertical="center" indent="1"/>
    </xf>
    <xf numFmtId="3" fontId="27" fillId="10" borderId="8" xfId="1" applyNumberFormat="1" applyFont="1" applyFill="1" applyBorder="1" applyAlignment="1">
      <alignment horizontal="right" vertical="center" indent="1"/>
    </xf>
    <xf numFmtId="0" fontId="28" fillId="10" borderId="8" xfId="0" applyFont="1" applyFill="1" applyBorder="1" applyAlignment="1">
      <alignment horizontal="center" vertical="center"/>
    </xf>
    <xf numFmtId="0" fontId="28" fillId="10" borderId="12" xfId="0" applyFont="1" applyFill="1" applyBorder="1" applyAlignment="1">
      <alignment horizontal="left" vertical="center"/>
    </xf>
    <xf numFmtId="3" fontId="28" fillId="10" borderId="1" xfId="1" applyNumberFormat="1" applyFont="1" applyFill="1" applyBorder="1" applyAlignment="1">
      <alignment horizontal="right" vertical="center" indent="1"/>
    </xf>
    <xf numFmtId="3" fontId="28" fillId="10" borderId="10" xfId="1" applyNumberFormat="1" applyFont="1" applyFill="1" applyBorder="1" applyAlignment="1">
      <alignment horizontal="right" vertical="center" indent="1"/>
    </xf>
    <xf numFmtId="3" fontId="28" fillId="10" borderId="25" xfId="1" applyNumberFormat="1" applyFont="1" applyFill="1" applyBorder="1" applyAlignment="1">
      <alignment horizontal="right" vertical="center" indent="1"/>
    </xf>
    <xf numFmtId="3" fontId="28" fillId="10" borderId="26" xfId="1" applyNumberFormat="1" applyFont="1" applyFill="1" applyBorder="1" applyAlignment="1">
      <alignment horizontal="right" vertical="center" indent="1"/>
    </xf>
    <xf numFmtId="3" fontId="28" fillId="10" borderId="6" xfId="1" applyNumberFormat="1" applyFont="1" applyFill="1" applyBorder="1" applyAlignment="1">
      <alignment horizontal="right" vertical="center" indent="1"/>
    </xf>
    <xf numFmtId="3" fontId="28" fillId="10" borderId="12" xfId="1" applyNumberFormat="1" applyFont="1" applyFill="1" applyBorder="1" applyAlignment="1">
      <alignment horizontal="right" vertical="center" indent="1"/>
    </xf>
    <xf numFmtId="3" fontId="28" fillId="10" borderId="8" xfId="1" applyNumberFormat="1" applyFont="1" applyFill="1" applyBorder="1" applyAlignment="1">
      <alignment horizontal="right" vertical="center" indent="1"/>
    </xf>
    <xf numFmtId="0" fontId="29" fillId="10" borderId="12" xfId="0" applyFont="1" applyFill="1" applyBorder="1" applyAlignment="1">
      <alignment horizontal="right" vertical="center"/>
    </xf>
    <xf numFmtId="3" fontId="27" fillId="10" borderId="6" xfId="0" applyNumberFormat="1" applyFont="1" applyFill="1" applyBorder="1" applyAlignment="1">
      <alignment horizontal="right" vertical="center" indent="1"/>
    </xf>
    <xf numFmtId="3" fontId="27" fillId="10" borderId="1" xfId="0" applyNumberFormat="1" applyFont="1" applyFill="1" applyBorder="1" applyAlignment="1">
      <alignment horizontal="right" vertical="center" indent="1"/>
    </xf>
    <xf numFmtId="3" fontId="27" fillId="10" borderId="26" xfId="0" applyNumberFormat="1" applyFont="1" applyFill="1" applyBorder="1" applyAlignment="1">
      <alignment horizontal="right" vertical="center" indent="1"/>
    </xf>
    <xf numFmtId="3" fontId="27" fillId="10" borderId="8" xfId="0" applyNumberFormat="1" applyFont="1" applyFill="1" applyBorder="1" applyAlignment="1">
      <alignment horizontal="right" vertical="center" indent="1"/>
    </xf>
    <xf numFmtId="3" fontId="28" fillId="10" borderId="6" xfId="0" applyNumberFormat="1" applyFont="1" applyFill="1" applyBorder="1" applyAlignment="1">
      <alignment horizontal="right" vertical="center" indent="1"/>
    </xf>
    <xf numFmtId="3" fontId="28" fillId="10" borderId="1" xfId="0" applyNumberFormat="1" applyFont="1" applyFill="1" applyBorder="1" applyAlignment="1">
      <alignment horizontal="right" vertical="center" indent="1"/>
    </xf>
    <xf numFmtId="3" fontId="28" fillId="10" borderId="26" xfId="0" applyNumberFormat="1" applyFont="1" applyFill="1" applyBorder="1" applyAlignment="1">
      <alignment horizontal="right" vertical="center" indent="1"/>
    </xf>
    <xf numFmtId="3" fontId="28" fillId="10" borderId="8" xfId="0" applyNumberFormat="1" applyFont="1" applyFill="1" applyBorder="1" applyAlignment="1">
      <alignment horizontal="right" vertical="center" indent="1"/>
    </xf>
    <xf numFmtId="0" fontId="28" fillId="10" borderId="16" xfId="0" applyFont="1" applyFill="1" applyBorder="1" applyAlignment="1">
      <alignment horizontal="left" vertical="center"/>
    </xf>
    <xf numFmtId="0" fontId="27" fillId="10" borderId="15" xfId="0" applyFont="1" applyFill="1" applyBorder="1" applyAlignment="1">
      <alignment horizontal="left" vertical="center"/>
    </xf>
    <xf numFmtId="3" fontId="28" fillId="10" borderId="27" xfId="0" applyNumberFormat="1" applyFont="1" applyFill="1" applyBorder="1" applyAlignment="1">
      <alignment horizontal="right" vertical="center" indent="1"/>
    </xf>
    <xf numFmtId="3" fontId="28" fillId="10" borderId="28" xfId="0" applyNumberFormat="1" applyFont="1" applyFill="1" applyBorder="1" applyAlignment="1">
      <alignment horizontal="right" vertical="center" indent="1"/>
    </xf>
    <xf numFmtId="3" fontId="28" fillId="10" borderId="29" xfId="0" applyNumberFormat="1" applyFont="1" applyFill="1" applyBorder="1" applyAlignment="1">
      <alignment horizontal="right" vertical="center" indent="1"/>
    </xf>
    <xf numFmtId="3" fontId="28" fillId="10" borderId="30" xfId="0" applyNumberFormat="1" applyFont="1" applyFill="1" applyBorder="1" applyAlignment="1">
      <alignment horizontal="right" vertical="center" indent="1"/>
    </xf>
    <xf numFmtId="0" fontId="28" fillId="10" borderId="9" xfId="0" applyFont="1" applyFill="1" applyBorder="1" applyAlignment="1">
      <alignment horizontal="center" vertical="center"/>
    </xf>
    <xf numFmtId="0" fontId="27" fillId="10" borderId="13" xfId="0" applyFont="1" applyFill="1" applyBorder="1" applyAlignment="1">
      <alignment vertical="center"/>
    </xf>
    <xf numFmtId="3" fontId="27" fillId="10" borderId="9" xfId="1" applyNumberFormat="1" applyFont="1" applyFill="1" applyBorder="1" applyAlignment="1">
      <alignment horizontal="right" vertical="center" indent="1"/>
    </xf>
    <xf numFmtId="3" fontId="27" fillId="10" borderId="31" xfId="1" applyNumberFormat="1" applyFont="1" applyFill="1" applyBorder="1" applyAlignment="1">
      <alignment horizontal="right" vertical="center" indent="1"/>
    </xf>
    <xf numFmtId="3" fontId="27" fillId="10" borderId="32" xfId="1" applyNumberFormat="1" applyFont="1" applyFill="1" applyBorder="1" applyAlignment="1">
      <alignment horizontal="right" vertical="center" indent="1"/>
    </xf>
    <xf numFmtId="3" fontId="27" fillId="10" borderId="33" xfId="1" applyNumberFormat="1" applyFont="1" applyFill="1" applyBorder="1" applyAlignment="1">
      <alignment horizontal="right" vertical="center" indent="1"/>
    </xf>
    <xf numFmtId="3" fontId="27" fillId="10" borderId="34" xfId="1" applyNumberFormat="1" applyFont="1" applyFill="1" applyBorder="1" applyAlignment="1">
      <alignment horizontal="right" vertical="center" indent="1"/>
    </xf>
    <xf numFmtId="3" fontId="27" fillId="10" borderId="13" xfId="1" applyNumberFormat="1" applyFont="1" applyFill="1" applyBorder="1" applyAlignment="1">
      <alignment horizontal="right" vertical="center" indent="1"/>
    </xf>
    <xf numFmtId="3" fontId="27" fillId="10" borderId="0" xfId="0" applyNumberFormat="1" applyFont="1" applyFill="1" applyBorder="1" applyAlignment="1">
      <alignment horizontal="right" vertical="center" indent="1"/>
    </xf>
    <xf numFmtId="0" fontId="25" fillId="10" borderId="1" xfId="0" applyFont="1" applyFill="1" applyBorder="1" applyAlignment="1">
      <alignment horizontal="center" vertical="center"/>
    </xf>
    <xf numFmtId="0" fontId="25" fillId="10" borderId="1" xfId="0" applyFont="1" applyFill="1" applyBorder="1" applyAlignment="1">
      <alignment horizontal="center" vertical="center" wrapText="1" shrinkToFit="1"/>
    </xf>
    <xf numFmtId="0" fontId="25" fillId="10" borderId="35" xfId="0" applyFont="1" applyFill="1" applyBorder="1" applyAlignment="1">
      <alignment horizontal="center" vertical="center" wrapText="1" shrinkToFit="1"/>
    </xf>
    <xf numFmtId="0" fontId="25" fillId="0" borderId="6" xfId="0" applyFont="1" applyFill="1" applyBorder="1" applyAlignment="1">
      <alignment horizontal="center" vertical="center" wrapText="1" shrinkToFit="1"/>
    </xf>
    <xf numFmtId="0" fontId="25" fillId="0" borderId="1" xfId="0" applyFont="1" applyFill="1" applyBorder="1" applyAlignment="1">
      <alignment horizontal="center" vertical="center" wrapText="1" shrinkToFit="1"/>
    </xf>
    <xf numFmtId="0" fontId="55" fillId="10" borderId="1" xfId="0" applyFont="1" applyFill="1" applyBorder="1" applyAlignment="1">
      <alignment horizontal="center" vertical="center"/>
    </xf>
    <xf numFmtId="0" fontId="55" fillId="10" borderId="1" xfId="0" applyFont="1" applyFill="1" applyBorder="1" applyAlignment="1">
      <alignment horizontal="left" vertical="center"/>
    </xf>
    <xf numFmtId="3" fontId="55" fillId="10" borderId="1" xfId="1" applyNumberFormat="1" applyFont="1" applyFill="1" applyBorder="1" applyAlignment="1">
      <alignment horizontal="right" vertical="center"/>
    </xf>
    <xf numFmtId="3" fontId="55" fillId="10" borderId="35" xfId="1" applyNumberFormat="1" applyFont="1" applyFill="1" applyBorder="1" applyAlignment="1">
      <alignment horizontal="right" vertical="center"/>
    </xf>
    <xf numFmtId="3" fontId="55" fillId="10" borderId="6" xfId="1" applyNumberFormat="1" applyFont="1" applyFill="1" applyBorder="1" applyAlignment="1">
      <alignment horizontal="right" vertical="center"/>
    </xf>
    <xf numFmtId="0" fontId="55" fillId="10" borderId="1" xfId="0" applyFont="1" applyFill="1" applyBorder="1" applyAlignment="1">
      <alignment horizontal="left" vertical="center" indent="1"/>
    </xf>
    <xf numFmtId="0" fontId="54" fillId="10" borderId="1" xfId="0" applyFont="1" applyFill="1" applyBorder="1" applyAlignment="1">
      <alignment horizontal="center" vertical="center"/>
    </xf>
    <xf numFmtId="0" fontId="54" fillId="10" borderId="1" xfId="0" applyFont="1" applyFill="1" applyBorder="1" applyAlignment="1">
      <alignment horizontal="left" vertical="center" indent="2"/>
    </xf>
    <xf numFmtId="3" fontId="54" fillId="10" borderId="1" xfId="1" applyNumberFormat="1" applyFont="1" applyFill="1" applyBorder="1" applyAlignment="1">
      <alignment horizontal="right" vertical="center"/>
    </xf>
    <xf numFmtId="3" fontId="54" fillId="10" borderId="35" xfId="1" applyNumberFormat="1" applyFont="1" applyFill="1" applyBorder="1" applyAlignment="1">
      <alignment horizontal="right" vertical="center"/>
    </xf>
    <xf numFmtId="3" fontId="54" fillId="10" borderId="6" xfId="1" applyNumberFormat="1" applyFont="1" applyFill="1" applyBorder="1" applyAlignment="1">
      <alignment horizontal="right" vertical="center"/>
    </xf>
    <xf numFmtId="3" fontId="54" fillId="10" borderId="1" xfId="0" applyNumberFormat="1" applyFont="1" applyFill="1" applyBorder="1" applyAlignment="1">
      <alignment horizontal="right" vertical="center"/>
    </xf>
    <xf numFmtId="3" fontId="54" fillId="10" borderId="6" xfId="0" applyNumberFormat="1" applyFont="1" applyFill="1" applyBorder="1" applyAlignment="1">
      <alignment horizontal="right" vertical="center"/>
    </xf>
    <xf numFmtId="0" fontId="54" fillId="10" borderId="1" xfId="0" applyFont="1" applyFill="1" applyBorder="1" applyAlignment="1">
      <alignment horizontal="left" vertical="center" indent="4"/>
    </xf>
    <xf numFmtId="0" fontId="58" fillId="10" borderId="1" xfId="0" applyFont="1" applyFill="1" applyBorder="1" applyAlignment="1">
      <alignment horizontal="center" vertical="center"/>
    </xf>
    <xf numFmtId="0" fontId="58" fillId="10" borderId="1" xfId="0" applyFont="1" applyFill="1" applyBorder="1" applyAlignment="1">
      <alignment vertical="center"/>
    </xf>
    <xf numFmtId="3" fontId="58" fillId="10" borderId="1" xfId="1" applyNumberFormat="1" applyFont="1" applyFill="1" applyBorder="1" applyAlignment="1">
      <alignment horizontal="right" vertical="center"/>
    </xf>
    <xf numFmtId="3" fontId="58" fillId="10" borderId="35" xfId="1" applyNumberFormat="1" applyFont="1" applyFill="1" applyBorder="1" applyAlignment="1">
      <alignment horizontal="right" vertical="center"/>
    </xf>
    <xf numFmtId="3" fontId="58" fillId="10" borderId="6" xfId="1" applyNumberFormat="1" applyFont="1" applyFill="1" applyBorder="1" applyAlignment="1">
      <alignment horizontal="right" vertical="center"/>
    </xf>
    <xf numFmtId="0" fontId="54" fillId="10" borderId="1" xfId="0" applyFont="1" applyFill="1" applyBorder="1" applyAlignment="1">
      <alignment horizontal="left" vertical="center" indent="1"/>
    </xf>
    <xf numFmtId="0" fontId="58" fillId="10" borderId="1" xfId="0" applyFont="1" applyFill="1" applyBorder="1" applyAlignment="1">
      <alignment horizontal="left" vertical="center"/>
    </xf>
    <xf numFmtId="0" fontId="54" fillId="0" borderId="1" xfId="0" applyFont="1" applyFill="1" applyBorder="1" applyAlignment="1">
      <alignment horizontal="left" vertical="center" indent="1"/>
    </xf>
    <xf numFmtId="0" fontId="55" fillId="10" borderId="1" xfId="0" applyFont="1" applyFill="1" applyBorder="1" applyAlignment="1">
      <alignment vertical="center"/>
    </xf>
    <xf numFmtId="3" fontId="55" fillId="0" borderId="1" xfId="1" applyNumberFormat="1" applyFont="1" applyFill="1" applyBorder="1" applyAlignment="1">
      <alignment horizontal="right" vertical="center"/>
    </xf>
    <xf numFmtId="0" fontId="55" fillId="0" borderId="0" xfId="0" applyFont="1" applyAlignment="1">
      <alignment horizontal="left" vertical="center"/>
    </xf>
    <xf numFmtId="4" fontId="0" fillId="0" borderId="0" xfId="0" applyNumberFormat="1" applyFont="1" applyAlignment="1">
      <alignment vertical="center"/>
    </xf>
    <xf numFmtId="0" fontId="47" fillId="0" borderId="0" xfId="0" applyFont="1" applyFill="1" applyAlignment="1">
      <alignment vertical="center"/>
    </xf>
    <xf numFmtId="0" fontId="0" fillId="0" borderId="0" xfId="0" applyFont="1" applyFill="1" applyAlignment="1">
      <alignment horizontal="center" vertical="center"/>
    </xf>
    <xf numFmtId="9" fontId="0" fillId="0" borderId="0" xfId="0" applyNumberFormat="1" applyFont="1" applyFill="1" applyAlignment="1">
      <alignment horizontal="center" vertical="center"/>
    </xf>
    <xf numFmtId="0" fontId="0" fillId="0" borderId="0" xfId="0" applyFont="1" applyFill="1" applyAlignment="1">
      <alignment horizontal="right" vertical="center"/>
    </xf>
    <xf numFmtId="0" fontId="46" fillId="0" borderId="56" xfId="0" applyFont="1" applyFill="1" applyBorder="1" applyAlignment="1">
      <alignment horizontal="center" wrapText="1" shrinkToFit="1"/>
    </xf>
    <xf numFmtId="0" fontId="49" fillId="0" borderId="1" xfId="0" applyFont="1" applyBorder="1" applyAlignment="1">
      <alignment horizontal="center" vertical="center"/>
    </xf>
    <xf numFmtId="0" fontId="49" fillId="0" borderId="3" xfId="0" applyFont="1" applyBorder="1" applyAlignment="1">
      <alignment horizontal="center" vertical="center" wrapText="1" shrinkToFit="1"/>
    </xf>
    <xf numFmtId="0" fontId="46" fillId="0" borderId="72" xfId="0" applyFont="1" applyFill="1" applyBorder="1" applyAlignment="1">
      <alignment horizontal="center" vertical="center" wrapText="1" shrinkToFit="1"/>
    </xf>
    <xf numFmtId="0" fontId="46" fillId="0" borderId="56" xfId="0" applyFont="1" applyFill="1" applyBorder="1" applyAlignment="1">
      <alignment horizontal="center" vertical="center" wrapText="1" shrinkToFit="1"/>
    </xf>
    <xf numFmtId="0" fontId="59" fillId="0" borderId="12" xfId="0" applyFont="1" applyBorder="1" applyAlignment="1">
      <alignment horizontal="left" vertical="center"/>
    </xf>
    <xf numFmtId="0" fontId="45" fillId="9" borderId="35" xfId="0" applyFont="1" applyFill="1" applyBorder="1" applyAlignment="1">
      <alignment horizontal="left" vertical="center"/>
    </xf>
    <xf numFmtId="0" fontId="45" fillId="0" borderId="12" xfId="0" applyFont="1" applyBorder="1" applyAlignment="1">
      <alignment horizontal="left" vertical="center"/>
    </xf>
    <xf numFmtId="0" fontId="45" fillId="0" borderId="16" xfId="0" applyFont="1" applyBorder="1" applyAlignment="1">
      <alignment horizontal="left" vertical="center"/>
    </xf>
    <xf numFmtId="0" fontId="45" fillId="12" borderId="12" xfId="0" applyFont="1" applyFill="1" applyBorder="1" applyAlignment="1">
      <alignment horizontal="left" vertical="center"/>
    </xf>
    <xf numFmtId="0" fontId="53" fillId="0" borderId="12" xfId="0" applyFont="1" applyFill="1" applyBorder="1" applyAlignment="1">
      <alignment horizontal="left" vertical="center"/>
    </xf>
    <xf numFmtId="0" fontId="48" fillId="0" borderId="15" xfId="0" applyFont="1" applyFill="1" applyBorder="1" applyAlignment="1">
      <alignment horizontal="left" vertical="center"/>
    </xf>
    <xf numFmtId="0" fontId="48" fillId="0" borderId="15" xfId="0" applyFont="1" applyBorder="1" applyAlignment="1">
      <alignment horizontal="left" vertical="center"/>
    </xf>
    <xf numFmtId="0" fontId="52" fillId="0" borderId="12" xfId="0" applyFont="1" applyBorder="1" applyAlignment="1">
      <alignment horizontal="left" vertical="center"/>
    </xf>
    <xf numFmtId="0" fontId="50" fillId="12" borderId="12" xfId="0" applyFont="1" applyFill="1" applyBorder="1" applyAlignment="1">
      <alignment horizontal="left" vertical="center"/>
    </xf>
    <xf numFmtId="0" fontId="50" fillId="7" borderId="12" xfId="0" applyFont="1" applyFill="1" applyBorder="1" applyAlignment="1">
      <alignment horizontal="left" vertical="center"/>
    </xf>
    <xf numFmtId="0" fontId="50" fillId="6" borderId="12" xfId="0" applyFont="1" applyFill="1" applyBorder="1" applyAlignment="1">
      <alignment horizontal="left" vertical="center"/>
    </xf>
    <xf numFmtId="0" fontId="52" fillId="0" borderId="12" xfId="0" applyFont="1" applyBorder="1" applyAlignment="1">
      <alignment horizontal="right" vertical="center"/>
    </xf>
    <xf numFmtId="0" fontId="49" fillId="0" borderId="12" xfId="0" applyFont="1" applyFill="1" applyBorder="1" applyAlignment="1">
      <alignment horizontal="left" vertical="center"/>
    </xf>
    <xf numFmtId="0" fontId="49" fillId="0" borderId="15" xfId="0" applyFont="1" applyFill="1" applyBorder="1" applyAlignment="1">
      <alignment horizontal="left" vertical="center"/>
    </xf>
    <xf numFmtId="0" fontId="43" fillId="0" borderId="15" xfId="0" applyFont="1" applyFill="1" applyBorder="1" applyAlignment="1">
      <alignment horizontal="left" vertical="center"/>
    </xf>
    <xf numFmtId="0" fontId="43" fillId="0" borderId="55" xfId="0" applyFont="1" applyFill="1" applyBorder="1" applyAlignment="1">
      <alignment horizontal="left" vertical="center"/>
    </xf>
    <xf numFmtId="3" fontId="50" fillId="6" borderId="10" xfId="1" applyNumberFormat="1" applyFont="1" applyFill="1" applyBorder="1" applyAlignment="1">
      <alignment horizontal="right" vertical="center" indent="1"/>
    </xf>
    <xf numFmtId="3" fontId="50" fillId="6" borderId="25" xfId="1" applyNumberFormat="1" applyFont="1" applyFill="1" applyBorder="1" applyAlignment="1">
      <alignment horizontal="right" vertical="center" indent="1"/>
    </xf>
    <xf numFmtId="3" fontId="50" fillId="6" borderId="26" xfId="1" applyNumberFormat="1" applyFont="1" applyFill="1" applyBorder="1" applyAlignment="1">
      <alignment horizontal="right" vertical="center" indent="1"/>
    </xf>
    <xf numFmtId="3" fontId="50" fillId="6" borderId="6" xfId="1" applyNumberFormat="1" applyFont="1" applyFill="1" applyBorder="1" applyAlignment="1">
      <alignment horizontal="right" vertical="center" indent="1"/>
    </xf>
    <xf numFmtId="3" fontId="50" fillId="6" borderId="12" xfId="1" applyNumberFormat="1" applyFont="1" applyFill="1" applyBorder="1" applyAlignment="1">
      <alignment horizontal="right" vertical="center" indent="1"/>
    </xf>
    <xf numFmtId="3" fontId="50" fillId="6" borderId="8" xfId="1" applyNumberFormat="1" applyFont="1" applyFill="1" applyBorder="1" applyAlignment="1">
      <alignment horizontal="right" vertical="center" indent="1"/>
    </xf>
    <xf numFmtId="3" fontId="45" fillId="0" borderId="42" xfId="0" applyNumberFormat="1" applyFont="1" applyBorder="1" applyAlignment="1">
      <alignment horizontal="right" vertical="center" indent="1"/>
    </xf>
    <xf numFmtId="3" fontId="45" fillId="0" borderId="26" xfId="0" applyNumberFormat="1" applyFont="1" applyFill="1" applyBorder="1" applyAlignment="1">
      <alignment horizontal="right" vertical="center" indent="1"/>
    </xf>
    <xf numFmtId="3" fontId="45" fillId="0" borderId="64" xfId="0" applyNumberFormat="1" applyFont="1" applyBorder="1" applyAlignment="1">
      <alignment horizontal="right" vertical="center" indent="1"/>
    </xf>
    <xf numFmtId="3" fontId="45" fillId="0" borderId="12" xfId="0" applyNumberFormat="1" applyFont="1" applyBorder="1" applyAlignment="1">
      <alignment horizontal="right" vertical="center" indent="1"/>
    </xf>
    <xf numFmtId="3" fontId="45" fillId="0" borderId="0" xfId="0" applyNumberFormat="1" applyFont="1" applyFill="1" applyBorder="1" applyAlignment="1">
      <alignment horizontal="right" vertical="center" indent="1"/>
    </xf>
    <xf numFmtId="3" fontId="50" fillId="0" borderId="12" xfId="1" applyNumberFormat="1" applyFont="1" applyFill="1" applyBorder="1" applyAlignment="1">
      <alignment horizontal="right" vertical="center" indent="1"/>
    </xf>
    <xf numFmtId="0" fontId="43" fillId="0" borderId="12" xfId="0" applyFont="1" applyBorder="1" applyAlignment="1">
      <alignment horizontal="left" vertical="center" indent="7"/>
    </xf>
    <xf numFmtId="3" fontId="50" fillId="0" borderId="1" xfId="1" applyNumberFormat="1" applyFont="1" applyFill="1" applyBorder="1" applyAlignment="1">
      <alignment horizontal="right" vertical="center" indent="1"/>
    </xf>
    <xf numFmtId="3" fontId="50" fillId="0" borderId="10" xfId="1" applyNumberFormat="1" applyFont="1" applyFill="1" applyBorder="1" applyAlignment="1">
      <alignment horizontal="right" vertical="center" indent="1"/>
    </xf>
    <xf numFmtId="3" fontId="50" fillId="0" borderId="25" xfId="1" applyNumberFormat="1" applyFont="1" applyFill="1" applyBorder="1" applyAlignment="1">
      <alignment horizontal="right" vertical="center" indent="1"/>
    </xf>
    <xf numFmtId="4" fontId="0" fillId="0" borderId="0" xfId="0" applyNumberFormat="1"/>
    <xf numFmtId="0" fontId="45" fillId="0" borderId="16" xfId="0" applyFont="1" applyBorder="1" applyAlignment="1">
      <alignment horizontal="left" vertical="center" indent="2"/>
    </xf>
    <xf numFmtId="3" fontId="50" fillId="6" borderId="73" xfId="1" applyNumberFormat="1" applyFont="1" applyFill="1" applyBorder="1" applyAlignment="1">
      <alignment horizontal="right" vertical="center" indent="1"/>
    </xf>
    <xf numFmtId="0" fontId="43" fillId="0" borderId="8" xfId="0" applyFont="1" applyFill="1" applyBorder="1" applyAlignment="1">
      <alignment horizontal="center" vertical="center"/>
    </xf>
    <xf numFmtId="0" fontId="43" fillId="0" borderId="12" xfId="0" applyFont="1" applyFill="1" applyBorder="1" applyAlignment="1">
      <alignment horizontal="left" vertical="center" indent="7"/>
    </xf>
    <xf numFmtId="0" fontId="45" fillId="0" borderId="12" xfId="0" applyFont="1" applyFill="1" applyBorder="1" applyAlignment="1">
      <alignment horizontal="left" vertical="center"/>
    </xf>
    <xf numFmtId="3" fontId="43" fillId="0" borderId="29" xfId="0" applyNumberFormat="1" applyFont="1" applyFill="1" applyBorder="1" applyAlignment="1">
      <alignment horizontal="right" vertical="center" indent="1"/>
    </xf>
    <xf numFmtId="0" fontId="43" fillId="0" borderId="74" xfId="0" applyFont="1" applyFill="1" applyBorder="1" applyAlignment="1">
      <alignment horizontal="left" vertical="center" indent="7"/>
    </xf>
    <xf numFmtId="3" fontId="43" fillId="0" borderId="8" xfId="0" applyNumberFormat="1" applyFont="1" applyFill="1" applyBorder="1" applyAlignment="1">
      <alignment horizontal="right" indent="1"/>
    </xf>
    <xf numFmtId="3" fontId="43" fillId="0" borderId="1" xfId="0" applyNumberFormat="1" applyFont="1" applyFill="1" applyBorder="1" applyAlignment="1">
      <alignment horizontal="right" indent="1"/>
    </xf>
    <xf numFmtId="0" fontId="48" fillId="0" borderId="35" xfId="0" applyFont="1" applyBorder="1" applyAlignment="1">
      <alignment horizontal="right" vertical="center"/>
    </xf>
    <xf numFmtId="3" fontId="43" fillId="0" borderId="7" xfId="0" applyNumberFormat="1" applyFont="1" applyBorder="1" applyAlignment="1">
      <alignment horizontal="right" vertical="center" indent="1"/>
    </xf>
    <xf numFmtId="0" fontId="57" fillId="0" borderId="0" xfId="0" applyFont="1" applyFill="1" applyAlignment="1">
      <alignment vertical="center"/>
    </xf>
    <xf numFmtId="0" fontId="51" fillId="0" borderId="0" xfId="0" applyFont="1" applyAlignment="1">
      <alignment vertical="center"/>
    </xf>
    <xf numFmtId="0" fontId="49" fillId="0" borderId="0" xfId="0" applyFont="1" applyAlignment="1">
      <alignment vertical="center"/>
    </xf>
    <xf numFmtId="0" fontId="49" fillId="0" borderId="5" xfId="0" applyFont="1" applyFill="1" applyBorder="1" applyAlignment="1">
      <alignment horizontal="center" vertical="center" wrapText="1" shrinkToFit="1"/>
    </xf>
    <xf numFmtId="0" fontId="49" fillId="0" borderId="6" xfId="0" applyFont="1" applyBorder="1" applyAlignment="1">
      <alignment horizontal="center" vertical="center"/>
    </xf>
    <xf numFmtId="0" fontId="49" fillId="0" borderId="10" xfId="0" applyFont="1" applyBorder="1" applyAlignment="1">
      <alignment horizontal="center" vertical="center"/>
    </xf>
    <xf numFmtId="0" fontId="49" fillId="0" borderId="2" xfId="0" applyFont="1" applyBorder="1" applyAlignment="1">
      <alignment horizontal="center" vertical="center" wrapText="1" shrinkToFit="1"/>
    </xf>
    <xf numFmtId="0" fontId="49" fillId="0" borderId="11" xfId="0" applyFont="1" applyBorder="1" applyAlignment="1">
      <alignment horizontal="center" vertical="center" wrapText="1" shrinkToFit="1"/>
    </xf>
    <xf numFmtId="0" fontId="49" fillId="0" borderId="14" xfId="0" applyFont="1" applyFill="1" applyBorder="1" applyAlignment="1">
      <alignment horizontal="center" vertical="center" wrapText="1" shrinkToFit="1"/>
    </xf>
    <xf numFmtId="0" fontId="49" fillId="0" borderId="2" xfId="0" applyFont="1" applyFill="1" applyBorder="1" applyAlignment="1">
      <alignment horizontal="center" vertical="center" wrapText="1" shrinkToFit="1"/>
    </xf>
    <xf numFmtId="0" fontId="49" fillId="0" borderId="7" xfId="0" applyFont="1" applyFill="1" applyBorder="1" applyAlignment="1">
      <alignment horizontal="center" vertical="center" wrapText="1" shrinkToFit="1"/>
    </xf>
    <xf numFmtId="0" fontId="50" fillId="7" borderId="8" xfId="0" applyFont="1" applyFill="1" applyBorder="1" applyAlignment="1">
      <alignment horizontal="center" vertical="center"/>
    </xf>
    <xf numFmtId="3" fontId="49" fillId="0" borderId="5" xfId="0" applyNumberFormat="1" applyFont="1" applyFill="1" applyBorder="1" applyAlignment="1">
      <alignment horizontal="right" vertical="center" indent="1"/>
    </xf>
    <xf numFmtId="0" fontId="50" fillId="9" borderId="8" xfId="0" applyFont="1" applyFill="1" applyBorder="1" applyAlignment="1">
      <alignment horizontal="center" vertical="center"/>
    </xf>
    <xf numFmtId="0" fontId="50" fillId="9" borderId="12" xfId="0" applyFont="1" applyFill="1" applyBorder="1" applyAlignment="1">
      <alignment horizontal="left" vertical="center"/>
    </xf>
    <xf numFmtId="0" fontId="49" fillId="0" borderId="12" xfId="0" applyFont="1" applyBorder="1" applyAlignment="1">
      <alignment horizontal="left" vertical="center" indent="1"/>
    </xf>
    <xf numFmtId="3" fontId="49" fillId="0" borderId="6" xfId="0" applyNumberFormat="1" applyFont="1" applyBorder="1" applyAlignment="1">
      <alignment horizontal="right" vertical="center" indent="1"/>
    </xf>
    <xf numFmtId="3" fontId="49" fillId="0" borderId="1" xfId="0" applyNumberFormat="1" applyFont="1" applyBorder="1" applyAlignment="1">
      <alignment horizontal="right" vertical="center" indent="1"/>
    </xf>
    <xf numFmtId="3" fontId="49" fillId="0" borderId="26" xfId="0" applyNumberFormat="1" applyFont="1" applyBorder="1" applyAlignment="1">
      <alignment horizontal="right" vertical="center" indent="1"/>
    </xf>
    <xf numFmtId="3" fontId="49" fillId="0" borderId="8" xfId="0" applyNumberFormat="1" applyFont="1" applyBorder="1" applyAlignment="1">
      <alignment horizontal="right" vertical="center" indent="1"/>
    </xf>
    <xf numFmtId="0" fontId="49" fillId="0" borderId="12" xfId="0" applyFont="1" applyBorder="1" applyAlignment="1">
      <alignment horizontal="left" vertical="center" indent="2"/>
    </xf>
    <xf numFmtId="0" fontId="49" fillId="0" borderId="16" xfId="0" applyFont="1" applyBorder="1" applyAlignment="1">
      <alignment horizontal="left" vertical="center" indent="1"/>
    </xf>
    <xf numFmtId="0" fontId="49" fillId="0" borderId="8" xfId="0" applyFont="1" applyFill="1" applyBorder="1" applyAlignment="1">
      <alignment horizontal="center" vertical="center"/>
    </xf>
    <xf numFmtId="0" fontId="49" fillId="0" borderId="12" xfId="0" applyFont="1" applyFill="1" applyBorder="1" applyAlignment="1">
      <alignment horizontal="left" vertical="center" indent="1"/>
    </xf>
    <xf numFmtId="0" fontId="49" fillId="0" borderId="15" xfId="0" applyFont="1" applyBorder="1" applyAlignment="1">
      <alignment horizontal="left" vertical="center" indent="1"/>
    </xf>
    <xf numFmtId="0" fontId="49" fillId="6" borderId="8" xfId="0" applyFont="1" applyFill="1" applyBorder="1" applyAlignment="1">
      <alignment horizontal="center" vertical="center"/>
    </xf>
    <xf numFmtId="0" fontId="49" fillId="6" borderId="15" xfId="0" applyFont="1" applyFill="1" applyBorder="1" applyAlignment="1">
      <alignment horizontal="left" vertical="center" indent="1"/>
    </xf>
    <xf numFmtId="0" fontId="49" fillId="8" borderId="9" xfId="0" applyFont="1" applyFill="1" applyBorder="1" applyAlignment="1">
      <alignment horizontal="center" vertical="center"/>
    </xf>
    <xf numFmtId="0" fontId="50" fillId="8" borderId="13" xfId="0" applyFont="1" applyFill="1" applyBorder="1" applyAlignment="1">
      <alignment vertical="center"/>
    </xf>
    <xf numFmtId="3" fontId="57" fillId="0" borderId="0" xfId="0" applyNumberFormat="1" applyFont="1" applyFill="1" applyBorder="1" applyAlignment="1">
      <alignment horizontal="right" vertical="center" indent="1"/>
    </xf>
    <xf numFmtId="0" fontId="60" fillId="0" borderId="0" xfId="0" applyFont="1" applyFill="1" applyAlignment="1">
      <alignment vertical="center"/>
    </xf>
    <xf numFmtId="0" fontId="61" fillId="0" borderId="0" xfId="0" applyFont="1" applyFill="1" applyAlignment="1">
      <alignment vertical="center"/>
    </xf>
    <xf numFmtId="0" fontId="61" fillId="0" borderId="0" xfId="0" applyFont="1" applyAlignment="1">
      <alignment vertical="center"/>
    </xf>
    <xf numFmtId="0" fontId="61" fillId="0" borderId="0" xfId="0" applyFont="1" applyFill="1" applyBorder="1" applyAlignment="1">
      <alignment vertical="center"/>
    </xf>
    <xf numFmtId="0" fontId="60" fillId="0" borderId="0" xfId="0" applyFont="1" applyAlignment="1">
      <alignment vertical="center"/>
    </xf>
    <xf numFmtId="0" fontId="61" fillId="0" borderId="0" xfId="0" applyFont="1" applyAlignment="1">
      <alignment horizontal="right" vertical="center"/>
    </xf>
    <xf numFmtId="0" fontId="60" fillId="7" borderId="8" xfId="0" applyFont="1" applyFill="1" applyBorder="1" applyAlignment="1">
      <alignment horizontal="center" vertical="center"/>
    </xf>
    <xf numFmtId="0" fontId="60" fillId="7" borderId="12" xfId="0" applyFont="1" applyFill="1" applyBorder="1" applyAlignment="1">
      <alignment horizontal="left" vertical="center"/>
    </xf>
    <xf numFmtId="3" fontId="33" fillId="7" borderId="20" xfId="1" applyNumberFormat="1" applyFont="1" applyFill="1" applyBorder="1" applyAlignment="1">
      <alignment horizontal="right" vertical="center" indent="1"/>
    </xf>
    <xf numFmtId="3" fontId="33" fillId="7" borderId="21" xfId="1" applyNumberFormat="1" applyFont="1" applyFill="1" applyBorder="1" applyAlignment="1">
      <alignment horizontal="right" vertical="center" indent="1"/>
    </xf>
    <xf numFmtId="3" fontId="33" fillId="7" borderId="24" xfId="1" applyNumberFormat="1" applyFont="1" applyFill="1" applyBorder="1" applyAlignment="1">
      <alignment horizontal="right" vertical="center" indent="1"/>
    </xf>
    <xf numFmtId="3" fontId="33" fillId="7" borderId="22" xfId="1" applyNumberFormat="1" applyFont="1" applyFill="1" applyBorder="1" applyAlignment="1">
      <alignment horizontal="right" vertical="center" indent="1"/>
    </xf>
    <xf numFmtId="3" fontId="33" fillId="7" borderId="23" xfId="1" applyNumberFormat="1" applyFont="1" applyFill="1" applyBorder="1" applyAlignment="1">
      <alignment horizontal="right" vertical="center" indent="1"/>
    </xf>
    <xf numFmtId="3" fontId="61" fillId="0" borderId="5" xfId="0" applyNumberFormat="1" applyFont="1" applyFill="1" applyBorder="1" applyAlignment="1">
      <alignment horizontal="right" vertical="center" indent="1"/>
    </xf>
    <xf numFmtId="3" fontId="33" fillId="7" borderId="19" xfId="1" applyNumberFormat="1" applyFont="1" applyFill="1" applyBorder="1" applyAlignment="1">
      <alignment horizontal="right" vertical="center" indent="1"/>
    </xf>
    <xf numFmtId="0" fontId="60" fillId="9" borderId="8" xfId="0" applyFont="1" applyFill="1" applyBorder="1" applyAlignment="1">
      <alignment horizontal="center" vertical="center"/>
    </xf>
    <xf numFmtId="0" fontId="60" fillId="9" borderId="12" xfId="0" applyFont="1" applyFill="1" applyBorder="1" applyAlignment="1">
      <alignment horizontal="left" vertical="center"/>
    </xf>
    <xf numFmtId="3" fontId="33" fillId="6" borderId="1" xfId="1" applyNumberFormat="1" applyFont="1" applyFill="1" applyBorder="1" applyAlignment="1">
      <alignment horizontal="right" vertical="center" indent="1"/>
    </xf>
    <xf numFmtId="3" fontId="33" fillId="6" borderId="10" xfId="1" applyNumberFormat="1" applyFont="1" applyFill="1" applyBorder="1" applyAlignment="1">
      <alignment horizontal="right" vertical="center" indent="1"/>
    </xf>
    <xf numFmtId="3" fontId="33" fillId="6" borderId="25" xfId="1" applyNumberFormat="1" applyFont="1" applyFill="1" applyBorder="1" applyAlignment="1">
      <alignment horizontal="right" vertical="center" indent="1"/>
    </xf>
    <xf numFmtId="3" fontId="33" fillId="6" borderId="26" xfId="1" applyNumberFormat="1" applyFont="1" applyFill="1" applyBorder="1" applyAlignment="1">
      <alignment horizontal="right" vertical="center" indent="1"/>
    </xf>
    <xf numFmtId="3" fontId="33" fillId="6" borderId="6" xfId="1" applyNumberFormat="1" applyFont="1" applyFill="1" applyBorder="1" applyAlignment="1">
      <alignment horizontal="right" vertical="center" indent="1"/>
    </xf>
    <xf numFmtId="3" fontId="33" fillId="6" borderId="12" xfId="1" applyNumberFormat="1" applyFont="1" applyFill="1" applyBorder="1" applyAlignment="1">
      <alignment horizontal="right" vertical="center" indent="1"/>
    </xf>
    <xf numFmtId="3" fontId="33" fillId="6" borderId="8" xfId="1" applyNumberFormat="1" applyFont="1" applyFill="1" applyBorder="1" applyAlignment="1">
      <alignment horizontal="right" vertical="center" indent="1"/>
    </xf>
    <xf numFmtId="0" fontId="61" fillId="0" borderId="8" xfId="0" applyFont="1" applyBorder="1" applyAlignment="1">
      <alignment horizontal="center" vertical="center"/>
    </xf>
    <xf numFmtId="0" fontId="61" fillId="0" borderId="12" xfId="0" applyFont="1" applyBorder="1" applyAlignment="1">
      <alignment horizontal="left" vertical="center"/>
    </xf>
    <xf numFmtId="3" fontId="33" fillId="0" borderId="1" xfId="1" applyNumberFormat="1" applyFont="1" applyFill="1" applyBorder="1" applyAlignment="1">
      <alignment horizontal="right" vertical="center" indent="1"/>
    </xf>
    <xf numFmtId="3" fontId="33" fillId="0" borderId="10" xfId="1" applyNumberFormat="1" applyFont="1" applyFill="1" applyBorder="1" applyAlignment="1">
      <alignment horizontal="right" vertical="center" indent="1"/>
    </xf>
    <xf numFmtId="3" fontId="33" fillId="0" borderId="25" xfId="1" applyNumberFormat="1" applyFont="1" applyFill="1" applyBorder="1" applyAlignment="1">
      <alignment horizontal="right" vertical="center" indent="1"/>
    </xf>
    <xf numFmtId="3" fontId="33" fillId="0" borderId="26" xfId="1" applyNumberFormat="1" applyFont="1" applyFill="1" applyBorder="1" applyAlignment="1">
      <alignment horizontal="right" vertical="center" indent="1"/>
    </xf>
    <xf numFmtId="3" fontId="33" fillId="0" borderId="6" xfId="1" applyNumberFormat="1" applyFont="1" applyFill="1" applyBorder="1" applyAlignment="1">
      <alignment horizontal="right" vertical="center" indent="1"/>
    </xf>
    <xf numFmtId="3" fontId="33" fillId="0" borderId="12" xfId="1" applyNumberFormat="1" applyFont="1" applyFill="1" applyBorder="1" applyAlignment="1">
      <alignment horizontal="right" vertical="center" indent="1"/>
    </xf>
    <xf numFmtId="3" fontId="33" fillId="0" borderId="8" xfId="1" applyNumberFormat="1" applyFont="1" applyFill="1" applyBorder="1" applyAlignment="1">
      <alignment horizontal="right" vertical="center" indent="1"/>
    </xf>
    <xf numFmtId="0" fontId="62" fillId="0" borderId="12" xfId="0" applyFont="1" applyBorder="1" applyAlignment="1">
      <alignment horizontal="right" vertical="center"/>
    </xf>
    <xf numFmtId="0" fontId="60" fillId="0" borderId="8" xfId="0" applyFont="1" applyBorder="1" applyAlignment="1">
      <alignment horizontal="center" vertical="center"/>
    </xf>
    <xf numFmtId="3" fontId="60" fillId="0" borderId="6" xfId="0" applyNumberFormat="1" applyFont="1" applyBorder="1" applyAlignment="1">
      <alignment horizontal="right" vertical="center" indent="1"/>
    </xf>
    <xf numFmtId="3" fontId="60" fillId="0" borderId="1" xfId="0" applyNumberFormat="1" applyFont="1" applyBorder="1" applyAlignment="1">
      <alignment horizontal="right" vertical="center" indent="1"/>
    </xf>
    <xf numFmtId="3" fontId="60" fillId="0" borderId="26" xfId="0" applyNumberFormat="1" applyFont="1" applyBorder="1" applyAlignment="1">
      <alignment horizontal="right" vertical="center" indent="1"/>
    </xf>
    <xf numFmtId="3" fontId="60" fillId="0" borderId="5" xfId="0" applyNumberFormat="1" applyFont="1" applyFill="1" applyBorder="1" applyAlignment="1">
      <alignment horizontal="right" vertical="center" indent="1"/>
    </xf>
    <xf numFmtId="3" fontId="60" fillId="0" borderId="8" xfId="0" applyNumberFormat="1" applyFont="1" applyBorder="1" applyAlignment="1">
      <alignment horizontal="right" vertical="center" indent="1"/>
    </xf>
    <xf numFmtId="0" fontId="61" fillId="0" borderId="12" xfId="0" applyFont="1" applyBorder="1" applyAlignment="1">
      <alignment horizontal="right" vertical="center"/>
    </xf>
    <xf numFmtId="3" fontId="61" fillId="0" borderId="6" xfId="0" applyNumberFormat="1" applyFont="1" applyBorder="1" applyAlignment="1">
      <alignment horizontal="right" vertical="center" indent="1"/>
    </xf>
    <xf numFmtId="3" fontId="61" fillId="0" borderId="1" xfId="0" applyNumberFormat="1" applyFont="1" applyBorder="1" applyAlignment="1">
      <alignment horizontal="right" vertical="center" indent="1"/>
    </xf>
    <xf numFmtId="3" fontId="61" fillId="0" borderId="26" xfId="0" applyNumberFormat="1" applyFont="1" applyBorder="1" applyAlignment="1">
      <alignment horizontal="right" vertical="center" indent="1"/>
    </xf>
    <xf numFmtId="3" fontId="61" fillId="0" borderId="8" xfId="0" applyNumberFormat="1" applyFont="1" applyBorder="1" applyAlignment="1">
      <alignment horizontal="right" vertical="center" indent="1"/>
    </xf>
    <xf numFmtId="0" fontId="61" fillId="0" borderId="16" xfId="0" applyFont="1" applyBorder="1" applyAlignment="1">
      <alignment horizontal="left" vertical="center"/>
    </xf>
    <xf numFmtId="0" fontId="61" fillId="0" borderId="30" xfId="0" applyFont="1" applyBorder="1" applyAlignment="1">
      <alignment horizontal="center" vertical="center"/>
    </xf>
    <xf numFmtId="0" fontId="62" fillId="0" borderId="16" xfId="0" applyFont="1" applyBorder="1" applyAlignment="1">
      <alignment horizontal="right" vertical="center"/>
    </xf>
    <xf numFmtId="3" fontId="61" fillId="0" borderId="27" xfId="0" applyNumberFormat="1" applyFont="1" applyBorder="1" applyAlignment="1">
      <alignment horizontal="right" vertical="center" indent="1"/>
    </xf>
    <xf numFmtId="3" fontId="61" fillId="0" borderId="28" xfId="0" applyNumberFormat="1" applyFont="1" applyBorder="1" applyAlignment="1">
      <alignment horizontal="right" vertical="center" indent="1"/>
    </xf>
    <xf numFmtId="3" fontId="33" fillId="0" borderId="28" xfId="1" applyNumberFormat="1" applyFont="1" applyFill="1" applyBorder="1" applyAlignment="1">
      <alignment horizontal="right" vertical="center" indent="1"/>
    </xf>
    <xf numFmtId="3" fontId="33" fillId="0" borderId="75" xfId="1" applyNumberFormat="1" applyFont="1" applyFill="1" applyBorder="1" applyAlignment="1">
      <alignment horizontal="right" vertical="center" indent="1"/>
    </xf>
    <xf numFmtId="3" fontId="61" fillId="0" borderId="29" xfId="0" applyNumberFormat="1" applyFont="1" applyBorder="1" applyAlignment="1">
      <alignment horizontal="right" vertical="center" indent="1"/>
    </xf>
    <xf numFmtId="3" fontId="33" fillId="0" borderId="16" xfId="1" applyNumberFormat="1" applyFont="1" applyFill="1" applyBorder="1" applyAlignment="1">
      <alignment horizontal="right" vertical="center" indent="1"/>
    </xf>
    <xf numFmtId="3" fontId="61" fillId="0" borderId="30" xfId="0" applyNumberFormat="1" applyFont="1" applyBorder="1" applyAlignment="1">
      <alignment horizontal="right" vertical="center" indent="1"/>
    </xf>
    <xf numFmtId="3" fontId="33" fillId="7" borderId="1" xfId="1" applyNumberFormat="1" applyFont="1" applyFill="1" applyBorder="1" applyAlignment="1">
      <alignment horizontal="right" vertical="center" indent="1"/>
    </xf>
    <xf numFmtId="3" fontId="33" fillId="7" borderId="10" xfId="1" applyNumberFormat="1" applyFont="1" applyFill="1" applyBorder="1" applyAlignment="1">
      <alignment horizontal="right" vertical="center" indent="1"/>
    </xf>
    <xf numFmtId="3" fontId="33" fillId="7" borderId="26" xfId="1" applyNumberFormat="1" applyFont="1" applyFill="1" applyBorder="1" applyAlignment="1">
      <alignment horizontal="right" vertical="center" indent="1"/>
    </xf>
    <xf numFmtId="3" fontId="33" fillId="7" borderId="6" xfId="1" applyNumberFormat="1" applyFont="1" applyFill="1" applyBorder="1" applyAlignment="1">
      <alignment horizontal="right" vertical="center" indent="1"/>
    </xf>
    <xf numFmtId="3" fontId="33" fillId="7" borderId="12" xfId="1" applyNumberFormat="1" applyFont="1" applyFill="1" applyBorder="1" applyAlignment="1">
      <alignment horizontal="right" vertical="center" indent="1"/>
    </xf>
    <xf numFmtId="3" fontId="61" fillId="0" borderId="35" xfId="0" applyNumberFormat="1" applyFont="1" applyFill="1" applyBorder="1" applyAlignment="1">
      <alignment horizontal="right" vertical="center" indent="1"/>
    </xf>
    <xf numFmtId="3" fontId="33" fillId="7" borderId="8" xfId="1" applyNumberFormat="1" applyFont="1" applyFill="1" applyBorder="1" applyAlignment="1">
      <alignment horizontal="right" vertical="center" indent="1"/>
    </xf>
    <xf numFmtId="0" fontId="60" fillId="6" borderId="76" xfId="0" applyFont="1" applyFill="1" applyBorder="1" applyAlignment="1">
      <alignment horizontal="center" vertical="center"/>
    </xf>
    <xf numFmtId="0" fontId="60" fillId="6" borderId="15" xfId="0" applyFont="1" applyFill="1" applyBorder="1" applyAlignment="1">
      <alignment horizontal="left" vertical="center"/>
    </xf>
    <xf numFmtId="3" fontId="33" fillId="6" borderId="77" xfId="1" applyNumberFormat="1" applyFont="1" applyFill="1" applyBorder="1" applyAlignment="1">
      <alignment horizontal="right" vertical="center" indent="1"/>
    </xf>
    <xf numFmtId="3" fontId="33" fillId="6" borderId="78" xfId="1" applyNumberFormat="1" applyFont="1" applyFill="1" applyBorder="1" applyAlignment="1">
      <alignment horizontal="right" vertical="center" indent="1"/>
    </xf>
    <xf numFmtId="3" fontId="33" fillId="6" borderId="53" xfId="1" applyNumberFormat="1" applyFont="1" applyFill="1" applyBorder="1" applyAlignment="1">
      <alignment horizontal="right" vertical="center" indent="1"/>
    </xf>
    <xf numFmtId="3" fontId="33" fillId="6" borderId="79" xfId="1" applyNumberFormat="1" applyFont="1" applyFill="1" applyBorder="1" applyAlignment="1">
      <alignment horizontal="right" vertical="center" indent="1"/>
    </xf>
    <xf numFmtId="3" fontId="33" fillId="6" borderId="15" xfId="1" applyNumberFormat="1" applyFont="1" applyFill="1" applyBorder="1" applyAlignment="1">
      <alignment horizontal="right" vertical="center" indent="1"/>
    </xf>
    <xf numFmtId="3" fontId="33" fillId="6" borderId="76" xfId="1" applyNumberFormat="1" applyFont="1" applyFill="1" applyBorder="1" applyAlignment="1">
      <alignment horizontal="right" vertical="center" indent="1"/>
    </xf>
    <xf numFmtId="0" fontId="60" fillId="6" borderId="12" xfId="0" applyFont="1" applyFill="1" applyBorder="1" applyAlignment="1">
      <alignment horizontal="left" vertical="center"/>
    </xf>
    <xf numFmtId="0" fontId="62" fillId="0" borderId="15" xfId="0" applyFont="1" applyBorder="1" applyAlignment="1">
      <alignment horizontal="right" vertical="center"/>
    </xf>
    <xf numFmtId="0" fontId="60" fillId="6" borderId="8" xfId="0" applyFont="1" applyFill="1" applyBorder="1" applyAlignment="1">
      <alignment horizontal="center" vertical="center"/>
    </xf>
    <xf numFmtId="0" fontId="60" fillId="0" borderId="76" xfId="0" applyFont="1" applyBorder="1" applyAlignment="1">
      <alignment horizontal="center" vertical="center"/>
    </xf>
    <xf numFmtId="0" fontId="62" fillId="10" borderId="15" xfId="0" applyFont="1" applyFill="1" applyBorder="1" applyAlignment="1">
      <alignment horizontal="right" vertical="center"/>
    </xf>
    <xf numFmtId="3" fontId="33" fillId="10" borderId="6" xfId="1" applyNumberFormat="1" applyFont="1" applyFill="1" applyBorder="1" applyAlignment="1">
      <alignment horizontal="right" vertical="center" indent="1"/>
    </xf>
    <xf numFmtId="3" fontId="33" fillId="10" borderId="1" xfId="1" applyNumberFormat="1" applyFont="1" applyFill="1" applyBorder="1" applyAlignment="1">
      <alignment horizontal="right" vertical="center" indent="1"/>
    </xf>
    <xf numFmtId="3" fontId="33" fillId="10" borderId="26" xfId="1" applyNumberFormat="1" applyFont="1" applyFill="1" applyBorder="1" applyAlignment="1">
      <alignment horizontal="right" vertical="center" indent="1"/>
    </xf>
    <xf numFmtId="3" fontId="33" fillId="10" borderId="12" xfId="1" applyNumberFormat="1" applyFont="1" applyFill="1" applyBorder="1" applyAlignment="1">
      <alignment horizontal="right" vertical="center" indent="1"/>
    </xf>
    <xf numFmtId="3" fontId="61" fillId="10" borderId="5" xfId="0" applyNumberFormat="1" applyFont="1" applyFill="1" applyBorder="1" applyAlignment="1">
      <alignment horizontal="right" vertical="center" indent="1"/>
    </xf>
    <xf numFmtId="3" fontId="33" fillId="10" borderId="8" xfId="1" applyNumberFormat="1" applyFont="1" applyFill="1" applyBorder="1" applyAlignment="1">
      <alignment horizontal="right" vertical="center" indent="1"/>
    </xf>
    <xf numFmtId="0" fontId="61" fillId="8" borderId="9" xfId="0" applyFont="1" applyFill="1" applyBorder="1" applyAlignment="1">
      <alignment horizontal="center" vertical="center"/>
    </xf>
    <xf numFmtId="0" fontId="60" fillId="8" borderId="13" xfId="0" applyFont="1" applyFill="1" applyBorder="1" applyAlignment="1">
      <alignment vertical="center"/>
    </xf>
    <xf numFmtId="3" fontId="33" fillId="8" borderId="9" xfId="1" applyNumberFormat="1" applyFont="1" applyFill="1" applyBorder="1" applyAlignment="1">
      <alignment horizontal="right" vertical="center" indent="1"/>
    </xf>
    <xf numFmtId="3" fontId="33" fillId="8" borderId="31" xfId="1" applyNumberFormat="1" applyFont="1" applyFill="1" applyBorder="1" applyAlignment="1">
      <alignment horizontal="right" vertical="center" indent="1"/>
    </xf>
    <xf numFmtId="3" fontId="33" fillId="8" borderId="32" xfId="1" applyNumberFormat="1" applyFont="1" applyFill="1" applyBorder="1" applyAlignment="1">
      <alignment horizontal="right" vertical="center" indent="1"/>
    </xf>
    <xf numFmtId="3" fontId="33" fillId="8" borderId="33" xfId="1" applyNumberFormat="1" applyFont="1" applyFill="1" applyBorder="1" applyAlignment="1">
      <alignment horizontal="right" vertical="center" indent="1"/>
    </xf>
    <xf numFmtId="3" fontId="33" fillId="8" borderId="34" xfId="1" applyNumberFormat="1" applyFont="1" applyFill="1" applyBorder="1" applyAlignment="1">
      <alignment horizontal="right" vertical="center" indent="1"/>
    </xf>
    <xf numFmtId="3" fontId="33" fillId="8" borderId="13" xfId="1" applyNumberFormat="1" applyFont="1" applyFill="1" applyBorder="1" applyAlignment="1">
      <alignment horizontal="right" vertical="center" indent="1"/>
    </xf>
    <xf numFmtId="3" fontId="61" fillId="0" borderId="0" xfId="0" applyNumberFormat="1" applyFont="1" applyFill="1" applyBorder="1" applyAlignment="1">
      <alignment horizontal="right" vertical="center" indent="1"/>
    </xf>
    <xf numFmtId="0" fontId="44" fillId="10" borderId="0" xfId="0" applyFont="1" applyFill="1" applyAlignment="1">
      <alignment vertical="center"/>
    </xf>
    <xf numFmtId="0" fontId="57" fillId="10" borderId="0" xfId="0" applyFont="1" applyFill="1" applyAlignment="1">
      <alignment vertical="center"/>
    </xf>
    <xf numFmtId="0" fontId="43" fillId="10" borderId="0" xfId="0" applyFont="1" applyFill="1" applyAlignment="1">
      <alignment vertical="center"/>
    </xf>
    <xf numFmtId="0" fontId="49" fillId="0" borderId="80" xfId="0" applyFont="1" applyBorder="1" applyAlignment="1">
      <alignment horizontal="center" vertical="center"/>
    </xf>
    <xf numFmtId="0" fontId="49" fillId="0" borderId="81" xfId="0" applyFont="1" applyBorder="1" applyAlignment="1">
      <alignment horizontal="left" vertical="center"/>
    </xf>
    <xf numFmtId="3" fontId="49" fillId="0" borderId="82" xfId="1" applyNumberFormat="1" applyFont="1" applyFill="1" applyBorder="1" applyAlignment="1">
      <alignment horizontal="right" vertical="center" indent="1"/>
    </xf>
    <xf numFmtId="3" fontId="49" fillId="0" borderId="83" xfId="1" applyNumberFormat="1" applyFont="1" applyFill="1" applyBorder="1" applyAlignment="1">
      <alignment horizontal="right" vertical="center" indent="1"/>
    </xf>
    <xf numFmtId="3" fontId="49" fillId="0" borderId="84" xfId="1" applyNumberFormat="1" applyFont="1" applyFill="1" applyBorder="1" applyAlignment="1">
      <alignment horizontal="right" vertical="center" indent="1"/>
    </xf>
    <xf numFmtId="3" fontId="49" fillId="0" borderId="85" xfId="1" applyNumberFormat="1" applyFont="1" applyFill="1" applyBorder="1" applyAlignment="1">
      <alignment horizontal="right" vertical="center" indent="1"/>
    </xf>
    <xf numFmtId="3" fontId="49" fillId="0" borderId="86" xfId="1" applyNumberFormat="1" applyFont="1" applyFill="1" applyBorder="1" applyAlignment="1">
      <alignment horizontal="right" vertical="center" indent="1"/>
    </xf>
    <xf numFmtId="3" fontId="49" fillId="0" borderId="81" xfId="1" applyNumberFormat="1" applyFont="1" applyFill="1" applyBorder="1" applyAlignment="1">
      <alignment horizontal="right" vertical="center" indent="1"/>
    </xf>
    <xf numFmtId="3" fontId="49" fillId="0" borderId="87" xfId="0" applyNumberFormat="1" applyFont="1" applyFill="1" applyBorder="1" applyAlignment="1">
      <alignment horizontal="right" vertical="center" indent="1"/>
    </xf>
    <xf numFmtId="3" fontId="49" fillId="0" borderId="80" xfId="1" applyNumberFormat="1" applyFont="1" applyFill="1" applyBorder="1" applyAlignment="1">
      <alignment horizontal="right" vertical="center" indent="1"/>
    </xf>
    <xf numFmtId="0" fontId="52" fillId="0" borderId="88" xfId="0" applyFont="1" applyBorder="1" applyAlignment="1">
      <alignment horizontal="center" vertical="center"/>
    </xf>
    <xf numFmtId="0" fontId="43" fillId="0" borderId="89" xfId="0" applyFont="1" applyBorder="1" applyAlignment="1">
      <alignment horizontal="left" vertical="center"/>
    </xf>
    <xf numFmtId="3" fontId="49" fillId="0" borderId="90" xfId="1" applyNumberFormat="1" applyFont="1" applyFill="1" applyBorder="1" applyAlignment="1">
      <alignment horizontal="right" vertical="center" indent="1"/>
    </xf>
    <xf numFmtId="3" fontId="49" fillId="0" borderId="91" xfId="1" applyNumberFormat="1" applyFont="1" applyFill="1" applyBorder="1" applyAlignment="1">
      <alignment horizontal="right" vertical="center" indent="1"/>
    </xf>
    <xf numFmtId="3" fontId="49" fillId="0" borderId="92" xfId="1" applyNumberFormat="1" applyFont="1" applyFill="1" applyBorder="1" applyAlignment="1">
      <alignment horizontal="right" vertical="center" indent="1"/>
    </xf>
    <xf numFmtId="3" fontId="49" fillId="0" borderId="93" xfId="1" applyNumberFormat="1" applyFont="1" applyFill="1" applyBorder="1" applyAlignment="1">
      <alignment horizontal="right" vertical="center" indent="1"/>
    </xf>
    <xf numFmtId="3" fontId="49" fillId="0" borderId="89" xfId="1" applyNumberFormat="1" applyFont="1" applyFill="1" applyBorder="1" applyAlignment="1">
      <alignment horizontal="right" vertical="center" indent="1"/>
    </xf>
    <xf numFmtId="3" fontId="43" fillId="0" borderId="94" xfId="0" applyNumberFormat="1" applyFont="1" applyFill="1" applyBorder="1" applyAlignment="1">
      <alignment horizontal="right" vertical="center" indent="1"/>
    </xf>
    <xf numFmtId="3" fontId="49" fillId="0" borderId="88" xfId="1" applyNumberFormat="1" applyFont="1" applyFill="1" applyBorder="1" applyAlignment="1">
      <alignment horizontal="right" vertical="center" indent="1"/>
    </xf>
    <xf numFmtId="0" fontId="49" fillId="0" borderId="88" xfId="0" applyFont="1" applyBorder="1" applyAlignment="1">
      <alignment horizontal="center" vertical="center"/>
    </xf>
    <xf numFmtId="0" fontId="52" fillId="0" borderId="89" xfId="0" applyFont="1" applyBorder="1" applyAlignment="1">
      <alignment horizontal="left" vertical="center" indent="4"/>
    </xf>
    <xf numFmtId="3" fontId="52" fillId="0" borderId="18" xfId="1" applyNumberFormat="1" applyFont="1" applyFill="1" applyBorder="1" applyAlignment="1">
      <alignment horizontal="right" vertical="center" indent="1"/>
    </xf>
    <xf numFmtId="3" fontId="52" fillId="0" borderId="90" xfId="1" applyNumberFormat="1" applyFont="1" applyFill="1" applyBorder="1" applyAlignment="1">
      <alignment horizontal="right" vertical="center" indent="1"/>
    </xf>
    <xf numFmtId="3" fontId="52" fillId="0" borderId="91" xfId="1" applyNumberFormat="1" applyFont="1" applyFill="1" applyBorder="1" applyAlignment="1">
      <alignment horizontal="right" vertical="center" indent="1"/>
    </xf>
    <xf numFmtId="3" fontId="52" fillId="0" borderId="95" xfId="1" applyNumberFormat="1" applyFont="1" applyFill="1" applyBorder="1" applyAlignment="1">
      <alignment horizontal="right" vertical="center" indent="1"/>
    </xf>
    <xf numFmtId="3" fontId="52" fillId="0" borderId="96" xfId="1" applyNumberFormat="1" applyFont="1" applyFill="1" applyBorder="1" applyAlignment="1">
      <alignment horizontal="right" vertical="center" indent="1"/>
    </xf>
    <xf numFmtId="3" fontId="52" fillId="0" borderId="89" xfId="1" applyNumberFormat="1" applyFont="1" applyFill="1" applyBorder="1" applyAlignment="1">
      <alignment horizontal="right" vertical="center" indent="1"/>
    </xf>
    <xf numFmtId="3" fontId="52" fillId="0" borderId="94" xfId="0" applyNumberFormat="1" applyFont="1" applyFill="1" applyBorder="1" applyAlignment="1">
      <alignment horizontal="right" vertical="center" indent="1"/>
    </xf>
    <xf numFmtId="3" fontId="52" fillId="0" borderId="88" xfId="1" applyNumberFormat="1" applyFont="1" applyFill="1" applyBorder="1" applyAlignment="1">
      <alignment horizontal="right" vertical="center" indent="1"/>
    </xf>
    <xf numFmtId="3" fontId="52" fillId="10" borderId="18" xfId="1" applyNumberFormat="1" applyFont="1" applyFill="1" applyBorder="1" applyAlignment="1">
      <alignment horizontal="right" vertical="center" indent="1"/>
    </xf>
    <xf numFmtId="3" fontId="52" fillId="10" borderId="89" xfId="1" applyNumberFormat="1" applyFont="1" applyFill="1" applyBorder="1" applyAlignment="1">
      <alignment horizontal="right" vertical="center" indent="1"/>
    </xf>
    <xf numFmtId="3" fontId="63" fillId="0" borderId="94" xfId="0" applyNumberFormat="1" applyFont="1" applyFill="1" applyBorder="1" applyAlignment="1">
      <alignment horizontal="right" vertical="center" indent="1"/>
    </xf>
    <xf numFmtId="3" fontId="52" fillId="10" borderId="95" xfId="1" applyNumberFormat="1" applyFont="1" applyFill="1" applyBorder="1" applyAlignment="1">
      <alignment horizontal="right" vertical="center" indent="1"/>
    </xf>
    <xf numFmtId="0" fontId="49" fillId="0" borderId="97" xfId="0" applyFont="1" applyBorder="1" applyAlignment="1">
      <alignment horizontal="center" vertical="center"/>
    </xf>
    <xf numFmtId="0" fontId="52" fillId="0" borderId="98" xfId="0" applyFont="1" applyBorder="1" applyAlignment="1">
      <alignment horizontal="left" vertical="center" indent="4"/>
    </xf>
    <xf numFmtId="3" fontId="52" fillId="0" borderId="17" xfId="1" applyNumberFormat="1" applyFont="1" applyFill="1" applyBorder="1" applyAlignment="1">
      <alignment horizontal="right" vertical="center" indent="1"/>
    </xf>
    <xf numFmtId="3" fontId="52" fillId="0" borderId="99" xfId="1" applyNumberFormat="1" applyFont="1" applyFill="1" applyBorder="1" applyAlignment="1">
      <alignment horizontal="right" vertical="center" indent="1"/>
    </xf>
    <xf numFmtId="3" fontId="52" fillId="0" borderId="100" xfId="1" applyNumberFormat="1" applyFont="1" applyFill="1" applyBorder="1" applyAlignment="1">
      <alignment horizontal="right" vertical="center" indent="1"/>
    </xf>
    <xf numFmtId="3" fontId="52" fillId="0" borderId="101" xfId="1" applyNumberFormat="1" applyFont="1" applyFill="1" applyBorder="1" applyAlignment="1">
      <alignment horizontal="right" vertical="center" indent="1"/>
    </xf>
    <xf numFmtId="3" fontId="52" fillId="0" borderId="102" xfId="1" applyNumberFormat="1" applyFont="1" applyFill="1" applyBorder="1" applyAlignment="1">
      <alignment horizontal="right" vertical="center" indent="1"/>
    </xf>
    <xf numFmtId="3" fontId="52" fillId="0" borderId="98" xfId="1" applyNumberFormat="1" applyFont="1" applyFill="1" applyBorder="1" applyAlignment="1">
      <alignment horizontal="right" vertical="center" indent="1"/>
    </xf>
    <xf numFmtId="3" fontId="52" fillId="0" borderId="103" xfId="0" applyNumberFormat="1" applyFont="1" applyFill="1" applyBorder="1" applyAlignment="1">
      <alignment horizontal="right" vertical="center" indent="1"/>
    </xf>
    <xf numFmtId="3" fontId="52" fillId="0" borderId="97" xfId="1" applyNumberFormat="1" applyFont="1" applyFill="1" applyBorder="1" applyAlignment="1">
      <alignment horizontal="right" vertical="center" indent="1"/>
    </xf>
    <xf numFmtId="0" fontId="43" fillId="0" borderId="81" xfId="0" applyFont="1" applyBorder="1" applyAlignment="1">
      <alignment horizontal="left" vertical="center"/>
    </xf>
    <xf numFmtId="3" fontId="43" fillId="0" borderId="86" xfId="0" applyNumberFormat="1" applyFont="1" applyBorder="1" applyAlignment="1">
      <alignment horizontal="right" vertical="center" indent="1"/>
    </xf>
    <xf numFmtId="3" fontId="49" fillId="0" borderId="52" xfId="0" applyNumberFormat="1" applyFont="1" applyBorder="1" applyAlignment="1">
      <alignment horizontal="right" vertical="center" indent="1"/>
    </xf>
    <xf numFmtId="3" fontId="49" fillId="0" borderId="104" xfId="1" applyNumberFormat="1" applyFont="1" applyFill="1" applyBorder="1" applyAlignment="1">
      <alignment horizontal="right" vertical="center" indent="1"/>
    </xf>
    <xf numFmtId="3" fontId="43" fillId="0" borderId="87" xfId="0" applyNumberFormat="1" applyFont="1" applyFill="1" applyBorder="1" applyAlignment="1">
      <alignment horizontal="right" vertical="center" indent="1"/>
    </xf>
    <xf numFmtId="3" fontId="43" fillId="0" borderId="80" xfId="0" applyNumberFormat="1" applyFont="1" applyBorder="1" applyAlignment="1">
      <alignment horizontal="right" vertical="center" indent="1"/>
    </xf>
    <xf numFmtId="3" fontId="52" fillId="0" borderId="96" xfId="0" applyNumberFormat="1" applyFont="1" applyBorder="1" applyAlignment="1">
      <alignment horizontal="right" vertical="center" indent="1"/>
    </xf>
    <xf numFmtId="3" fontId="52" fillId="0" borderId="18" xfId="0" applyNumberFormat="1" applyFont="1" applyBorder="1" applyAlignment="1">
      <alignment horizontal="right" vertical="center" indent="1"/>
    </xf>
    <xf numFmtId="3" fontId="52" fillId="0" borderId="95" xfId="0" applyNumberFormat="1" applyFont="1" applyBorder="1" applyAlignment="1">
      <alignment horizontal="right" vertical="center" indent="1"/>
    </xf>
    <xf numFmtId="3" fontId="52" fillId="0" borderId="88" xfId="0" applyNumberFormat="1" applyFont="1" applyBorder="1" applyAlignment="1">
      <alignment horizontal="right" vertical="center" indent="1"/>
    </xf>
    <xf numFmtId="0" fontId="50" fillId="0" borderId="88" xfId="0" applyFont="1" applyBorder="1" applyAlignment="1">
      <alignment horizontal="center" vertical="center"/>
    </xf>
    <xf numFmtId="3" fontId="43" fillId="0" borderId="96" xfId="0" applyNumberFormat="1" applyFont="1" applyBorder="1" applyAlignment="1">
      <alignment horizontal="right" vertical="center" indent="1"/>
    </xf>
    <xf numFmtId="3" fontId="49" fillId="0" borderId="95" xfId="0" applyNumberFormat="1" applyFont="1" applyBorder="1" applyAlignment="1">
      <alignment horizontal="right" vertical="center" indent="1"/>
    </xf>
    <xf numFmtId="3" fontId="43" fillId="0" borderId="88" xfId="0" applyNumberFormat="1" applyFont="1" applyBorder="1" applyAlignment="1">
      <alignment horizontal="right" vertical="center" indent="1"/>
    </xf>
    <xf numFmtId="3" fontId="63" fillId="0" borderId="91" xfId="1" applyNumberFormat="1" applyFont="1" applyFill="1" applyBorder="1" applyAlignment="1">
      <alignment horizontal="right" vertical="center" indent="1"/>
    </xf>
    <xf numFmtId="3" fontId="63" fillId="0" borderId="89" xfId="1" applyNumberFormat="1" applyFont="1" applyFill="1" applyBorder="1" applyAlignment="1">
      <alignment horizontal="right" vertical="center" indent="1"/>
    </xf>
    <xf numFmtId="3" fontId="63" fillId="0" borderId="95" xfId="0" applyNumberFormat="1" applyFont="1" applyBorder="1" applyAlignment="1">
      <alignment horizontal="right" vertical="center" indent="1"/>
    </xf>
    <xf numFmtId="0" fontId="49" fillId="0" borderId="89" xfId="0" applyFont="1" applyBorder="1" applyAlignment="1">
      <alignment horizontal="left" vertical="center"/>
    </xf>
    <xf numFmtId="3" fontId="49" fillId="0" borderId="96" xfId="0" applyNumberFormat="1" applyFont="1" applyBorder="1" applyAlignment="1">
      <alignment horizontal="right" vertical="center" indent="1"/>
    </xf>
    <xf numFmtId="3" fontId="49" fillId="0" borderId="18" xfId="0" applyNumberFormat="1" applyFont="1" applyBorder="1" applyAlignment="1">
      <alignment horizontal="right" vertical="center" indent="1"/>
    </xf>
    <xf numFmtId="3" fontId="64" fillId="0" borderId="95" xfId="0" applyNumberFormat="1" applyFont="1" applyBorder="1" applyAlignment="1">
      <alignment horizontal="right" vertical="center" indent="1"/>
    </xf>
    <xf numFmtId="3" fontId="64" fillId="0" borderId="94" xfId="0" applyNumberFormat="1" applyFont="1" applyFill="1" applyBorder="1" applyAlignment="1">
      <alignment horizontal="right" vertical="center" indent="1"/>
    </xf>
    <xf numFmtId="3" fontId="49" fillId="0" borderId="88" xfId="0" applyNumberFormat="1" applyFont="1" applyBorder="1" applyAlignment="1">
      <alignment horizontal="right" vertical="center" indent="1"/>
    </xf>
    <xf numFmtId="0" fontId="50" fillId="0" borderId="97" xfId="0" applyFont="1" applyBorder="1" applyAlignment="1">
      <alignment horizontal="center" vertical="center"/>
    </xf>
    <xf numFmtId="0" fontId="49" fillId="0" borderId="105" xfId="0" applyFont="1" applyBorder="1" applyAlignment="1">
      <alignment horizontal="left" vertical="center"/>
    </xf>
    <xf numFmtId="3" fontId="49" fillId="0" borderId="102" xfId="0" applyNumberFormat="1" applyFont="1" applyBorder="1" applyAlignment="1">
      <alignment horizontal="right" vertical="center" indent="1"/>
    </xf>
    <xf numFmtId="3" fontId="49" fillId="0" borderId="17" xfId="0" applyNumberFormat="1" applyFont="1" applyBorder="1" applyAlignment="1">
      <alignment horizontal="right" vertical="center" indent="1"/>
    </xf>
    <xf numFmtId="3" fontId="49" fillId="0" borderId="99" xfId="1" applyNumberFormat="1" applyFont="1" applyFill="1" applyBorder="1" applyAlignment="1">
      <alignment horizontal="right" vertical="center" indent="1"/>
    </xf>
    <xf numFmtId="3" fontId="64" fillId="0" borderId="101" xfId="0" applyNumberFormat="1" applyFont="1" applyBorder="1" applyAlignment="1">
      <alignment horizontal="right" vertical="center" indent="1"/>
    </xf>
    <xf numFmtId="3" fontId="49" fillId="0" borderId="101" xfId="0" applyNumberFormat="1" applyFont="1" applyBorder="1" applyAlignment="1">
      <alignment horizontal="right" vertical="center" indent="1"/>
    </xf>
    <xf numFmtId="3" fontId="49" fillId="0" borderId="98" xfId="1" applyNumberFormat="1" applyFont="1" applyFill="1" applyBorder="1" applyAlignment="1">
      <alignment horizontal="right" vertical="center" indent="1"/>
    </xf>
    <xf numFmtId="3" fontId="64" fillId="0" borderId="103" xfId="0" applyNumberFormat="1" applyFont="1" applyFill="1" applyBorder="1" applyAlignment="1">
      <alignment horizontal="right" vertical="center" indent="1"/>
    </xf>
    <xf numFmtId="3" fontId="49" fillId="0" borderId="97" xfId="0" applyNumberFormat="1" applyFont="1" applyBorder="1" applyAlignment="1">
      <alignment horizontal="right" vertical="center" indent="1"/>
    </xf>
    <xf numFmtId="0" fontId="49" fillId="10" borderId="80" xfId="0" applyFont="1" applyFill="1" applyBorder="1" applyAlignment="1">
      <alignment horizontal="center" vertical="center"/>
    </xf>
    <xf numFmtId="0" fontId="49" fillId="0" borderId="81" xfId="0" applyFont="1" applyFill="1" applyBorder="1" applyAlignment="1">
      <alignment horizontal="left" vertical="center" indent="2"/>
    </xf>
    <xf numFmtId="0" fontId="49" fillId="10" borderId="88" xfId="0" applyFont="1" applyFill="1" applyBorder="1" applyAlignment="1">
      <alignment horizontal="center" vertical="center"/>
    </xf>
    <xf numFmtId="0" fontId="49" fillId="0" borderId="89" xfId="0" applyFont="1" applyFill="1" applyBorder="1" applyAlignment="1">
      <alignment horizontal="left" vertical="center" indent="2"/>
    </xf>
    <xf numFmtId="3" fontId="49" fillId="0" borderId="96" xfId="0" applyNumberFormat="1" applyFont="1" applyFill="1" applyBorder="1" applyAlignment="1">
      <alignment horizontal="right" vertical="center" indent="1"/>
    </xf>
    <xf numFmtId="3" fontId="49" fillId="0" borderId="18" xfId="0" applyNumberFormat="1" applyFont="1" applyFill="1" applyBorder="1" applyAlignment="1">
      <alignment horizontal="right" vertical="center" indent="1"/>
    </xf>
    <xf numFmtId="3" fontId="49" fillId="0" borderId="95" xfId="0" applyNumberFormat="1" applyFont="1" applyFill="1" applyBorder="1" applyAlignment="1">
      <alignment horizontal="right" vertical="center" indent="1"/>
    </xf>
    <xf numFmtId="3" fontId="49" fillId="0" borderId="94" xfId="0" applyNumberFormat="1" applyFont="1" applyFill="1" applyBorder="1" applyAlignment="1">
      <alignment horizontal="right" vertical="center" indent="1"/>
    </xf>
    <xf numFmtId="3" fontId="49" fillId="0" borderId="88" xfId="0" applyNumberFormat="1" applyFont="1" applyFill="1" applyBorder="1" applyAlignment="1">
      <alignment horizontal="right" vertical="center" indent="1"/>
    </xf>
    <xf numFmtId="3" fontId="49" fillId="0" borderId="95" xfId="1" applyNumberFormat="1" applyFont="1" applyFill="1" applyBorder="1" applyAlignment="1">
      <alignment horizontal="right" vertical="center" indent="1"/>
    </xf>
    <xf numFmtId="3" fontId="49" fillId="0" borderId="96" xfId="1" applyNumberFormat="1" applyFont="1" applyFill="1" applyBorder="1" applyAlignment="1">
      <alignment horizontal="right" vertical="center" indent="1"/>
    </xf>
    <xf numFmtId="3" fontId="64" fillId="0" borderId="95" xfId="0" applyNumberFormat="1" applyFont="1" applyFill="1" applyBorder="1" applyAlignment="1">
      <alignment horizontal="right" vertical="center" indent="1"/>
    </xf>
    <xf numFmtId="3" fontId="64" fillId="0" borderId="96" xfId="0" applyNumberFormat="1" applyFont="1" applyFill="1" applyBorder="1" applyAlignment="1">
      <alignment horizontal="right" vertical="center" indent="1"/>
    </xf>
    <xf numFmtId="3" fontId="64" fillId="0" borderId="95" xfId="1" applyNumberFormat="1" applyFont="1" applyFill="1" applyBorder="1" applyAlignment="1">
      <alignment horizontal="right" vertical="center" indent="1"/>
    </xf>
    <xf numFmtId="0" fontId="49" fillId="10" borderId="97" xfId="0" applyFont="1" applyFill="1" applyBorder="1" applyAlignment="1">
      <alignment horizontal="center" vertical="center"/>
    </xf>
    <xf numFmtId="0" fontId="49" fillId="0" borderId="98" xfId="0" applyFont="1" applyFill="1" applyBorder="1" applyAlignment="1">
      <alignment horizontal="left" vertical="center" indent="2"/>
    </xf>
    <xf numFmtId="3" fontId="49" fillId="0" borderId="106" xfId="0" applyNumberFormat="1" applyFont="1" applyBorder="1" applyAlignment="1">
      <alignment horizontal="right" vertical="center" indent="1"/>
    </xf>
    <xf numFmtId="3" fontId="49" fillId="0" borderId="107" xfId="0" applyNumberFormat="1" applyFont="1" applyBorder="1" applyAlignment="1">
      <alignment horizontal="right" vertical="center" indent="1"/>
    </xf>
    <xf numFmtId="3" fontId="64" fillId="0" borderId="108" xfId="0" applyNumberFormat="1" applyFont="1" applyBorder="1" applyAlignment="1">
      <alignment horizontal="right" vertical="center" indent="1"/>
    </xf>
    <xf numFmtId="3" fontId="49" fillId="0" borderId="108" xfId="0" applyNumberFormat="1" applyFont="1" applyBorder="1" applyAlignment="1">
      <alignment horizontal="right" vertical="center" indent="1"/>
    </xf>
    <xf numFmtId="3" fontId="64" fillId="0" borderId="106" xfId="0" applyNumberFormat="1" applyFont="1" applyBorder="1" applyAlignment="1">
      <alignment horizontal="right" vertical="center" indent="1"/>
    </xf>
    <xf numFmtId="3" fontId="49" fillId="0" borderId="103" xfId="0" applyNumberFormat="1" applyFont="1" applyFill="1" applyBorder="1" applyAlignment="1">
      <alignment horizontal="right" vertical="center" indent="1"/>
    </xf>
    <xf numFmtId="3" fontId="49" fillId="0" borderId="109" xfId="0" applyNumberFormat="1" applyFont="1" applyBorder="1" applyAlignment="1">
      <alignment horizontal="right" vertical="center" indent="1"/>
    </xf>
    <xf numFmtId="0" fontId="43" fillId="0" borderId="81" xfId="0" applyFont="1" applyFill="1" applyBorder="1" applyAlignment="1">
      <alignment horizontal="left" vertical="center" indent="2"/>
    </xf>
    <xf numFmtId="0" fontId="3" fillId="10" borderId="98" xfId="0" applyFont="1" applyFill="1" applyBorder="1" applyAlignment="1">
      <alignment horizontal="left" vertical="center" indent="2"/>
    </xf>
    <xf numFmtId="3" fontId="43" fillId="0" borderId="107" xfId="0" applyNumberFormat="1" applyFont="1" applyBorder="1" applyAlignment="1">
      <alignment horizontal="right" vertical="center" indent="1"/>
    </xf>
    <xf numFmtId="3" fontId="43" fillId="0" borderId="108" xfId="0" applyNumberFormat="1" applyFont="1" applyBorder="1" applyAlignment="1">
      <alignment horizontal="right" vertical="center" indent="1"/>
    </xf>
    <xf numFmtId="3" fontId="43" fillId="0" borderId="106" xfId="0" applyNumberFormat="1" applyFont="1" applyBorder="1" applyAlignment="1">
      <alignment horizontal="right" vertical="center" indent="1"/>
    </xf>
    <xf numFmtId="3" fontId="43" fillId="0" borderId="103" xfId="0" applyNumberFormat="1" applyFont="1" applyFill="1" applyBorder="1" applyAlignment="1">
      <alignment horizontal="right" vertical="center" indent="1"/>
    </xf>
    <xf numFmtId="3" fontId="43" fillId="0" borderId="109" xfId="0" applyNumberFormat="1" applyFont="1" applyBorder="1" applyAlignment="1">
      <alignment horizontal="right" vertical="center" indent="1"/>
    </xf>
    <xf numFmtId="0" fontId="49" fillId="0" borderId="110" xfId="0" applyFont="1" applyFill="1" applyBorder="1" applyAlignment="1">
      <alignment horizontal="left" vertical="center" indent="2"/>
    </xf>
    <xf numFmtId="0" fontId="49" fillId="0" borderId="98" xfId="0" applyFont="1" applyBorder="1" applyAlignment="1">
      <alignment horizontal="left" vertical="center" indent="2"/>
    </xf>
    <xf numFmtId="0" fontId="45" fillId="13" borderId="9" xfId="0" applyFont="1" applyFill="1" applyBorder="1" applyAlignment="1">
      <alignment horizontal="center" vertical="center"/>
    </xf>
    <xf numFmtId="0" fontId="45" fillId="13" borderId="13" xfId="0" applyFont="1" applyFill="1" applyBorder="1" applyAlignment="1">
      <alignment vertical="center"/>
    </xf>
    <xf numFmtId="3" fontId="50" fillId="13" borderId="9" xfId="1" applyNumberFormat="1" applyFont="1" applyFill="1" applyBorder="1" applyAlignment="1">
      <alignment horizontal="right" vertical="center" indent="1"/>
    </xf>
    <xf numFmtId="3" fontId="50" fillId="13" borderId="31" xfId="1" applyNumberFormat="1" applyFont="1" applyFill="1" applyBorder="1" applyAlignment="1">
      <alignment horizontal="right" vertical="center" indent="1"/>
    </xf>
    <xf numFmtId="3" fontId="50" fillId="13" borderId="32" xfId="1" applyNumberFormat="1" applyFont="1" applyFill="1" applyBorder="1" applyAlignment="1">
      <alignment horizontal="right" vertical="center" indent="1"/>
    </xf>
    <xf numFmtId="3" fontId="50" fillId="13" borderId="33" xfId="1" applyNumberFormat="1" applyFont="1" applyFill="1" applyBorder="1" applyAlignment="1">
      <alignment horizontal="right" vertical="center" indent="1"/>
    </xf>
    <xf numFmtId="3" fontId="50" fillId="13" borderId="34" xfId="1" applyNumberFormat="1" applyFont="1" applyFill="1" applyBorder="1" applyAlignment="1">
      <alignment horizontal="right" vertical="center" indent="1"/>
    </xf>
    <xf numFmtId="3" fontId="50" fillId="13" borderId="13" xfId="1" applyNumberFormat="1" applyFont="1" applyFill="1" applyBorder="1" applyAlignment="1">
      <alignment horizontal="right" vertical="center" indent="1"/>
    </xf>
    <xf numFmtId="3" fontId="50" fillId="7" borderId="20" xfId="1" applyNumberFormat="1" applyFont="1" applyFill="1" applyBorder="1" applyAlignment="1">
      <alignment horizontal="right" vertical="center"/>
    </xf>
    <xf numFmtId="3" fontId="50" fillId="7" borderId="21" xfId="1" applyNumberFormat="1" applyFont="1" applyFill="1" applyBorder="1" applyAlignment="1">
      <alignment horizontal="right" vertical="center"/>
    </xf>
    <xf numFmtId="3" fontId="50" fillId="7" borderId="24" xfId="1" applyNumberFormat="1" applyFont="1" applyFill="1" applyBorder="1" applyAlignment="1">
      <alignment horizontal="right" vertical="center"/>
    </xf>
    <xf numFmtId="3" fontId="50" fillId="7" borderId="22" xfId="1" applyNumberFormat="1" applyFont="1" applyFill="1" applyBorder="1" applyAlignment="1">
      <alignment horizontal="right" vertical="center"/>
    </xf>
    <xf numFmtId="3" fontId="50" fillId="7" borderId="23" xfId="1" applyNumberFormat="1" applyFont="1" applyFill="1" applyBorder="1" applyAlignment="1">
      <alignment horizontal="right" vertical="center"/>
    </xf>
    <xf numFmtId="3" fontId="43" fillId="0" borderId="5" xfId="0" applyNumberFormat="1" applyFont="1" applyFill="1" applyBorder="1" applyAlignment="1">
      <alignment horizontal="right" vertical="center"/>
    </xf>
    <xf numFmtId="3" fontId="50" fillId="7" borderId="19" xfId="1" applyNumberFormat="1" applyFont="1" applyFill="1" applyBorder="1" applyAlignment="1">
      <alignment horizontal="right" vertical="center"/>
    </xf>
    <xf numFmtId="3" fontId="50" fillId="6" borderId="1" xfId="1" applyNumberFormat="1" applyFont="1" applyFill="1" applyBorder="1" applyAlignment="1">
      <alignment horizontal="right" vertical="center"/>
    </xf>
    <xf numFmtId="3" fontId="50" fillId="6" borderId="10" xfId="1" applyNumberFormat="1" applyFont="1" applyFill="1" applyBorder="1" applyAlignment="1">
      <alignment horizontal="right" vertical="center"/>
    </xf>
    <xf numFmtId="3" fontId="50" fillId="6" borderId="25" xfId="1" applyNumberFormat="1" applyFont="1" applyFill="1" applyBorder="1" applyAlignment="1">
      <alignment horizontal="right" vertical="center"/>
    </xf>
    <xf numFmtId="3" fontId="50" fillId="6" borderId="26" xfId="1" applyNumberFormat="1" applyFont="1" applyFill="1" applyBorder="1" applyAlignment="1">
      <alignment horizontal="right" vertical="center"/>
    </xf>
    <xf numFmtId="3" fontId="50" fillId="6" borderId="6" xfId="1" applyNumberFormat="1" applyFont="1" applyFill="1" applyBorder="1" applyAlignment="1">
      <alignment horizontal="right" vertical="center"/>
    </xf>
    <xf numFmtId="3" fontId="50" fillId="6" borderId="12" xfId="1" applyNumberFormat="1" applyFont="1" applyFill="1" applyBorder="1" applyAlignment="1">
      <alignment horizontal="right" vertical="center"/>
    </xf>
    <xf numFmtId="3" fontId="50" fillId="6" borderId="8" xfId="1" applyNumberFormat="1" applyFont="1" applyFill="1" applyBorder="1" applyAlignment="1">
      <alignment horizontal="right" vertical="center"/>
    </xf>
    <xf numFmtId="3" fontId="49" fillId="0" borderId="25" xfId="1" applyNumberFormat="1" applyFont="1" applyFill="1" applyBorder="1" applyAlignment="1">
      <alignment horizontal="right" vertical="center"/>
    </xf>
    <xf numFmtId="3" fontId="49" fillId="0" borderId="26" xfId="1" applyNumberFormat="1" applyFont="1" applyFill="1" applyBorder="1" applyAlignment="1">
      <alignment horizontal="right" vertical="center"/>
    </xf>
    <xf numFmtId="3" fontId="49" fillId="0" borderId="6" xfId="1" applyNumberFormat="1" applyFont="1" applyFill="1" applyBorder="1" applyAlignment="1">
      <alignment horizontal="right" vertical="center"/>
    </xf>
    <xf numFmtId="3" fontId="49" fillId="0" borderId="8" xfId="1" applyNumberFormat="1" applyFont="1" applyFill="1" applyBorder="1" applyAlignment="1">
      <alignment horizontal="right" vertical="center"/>
    </xf>
    <xf numFmtId="3" fontId="45" fillId="0" borderId="6" xfId="0" applyNumberFormat="1" applyFont="1" applyBorder="1" applyAlignment="1">
      <alignment horizontal="right" vertical="center"/>
    </xf>
    <xf numFmtId="3" fontId="45" fillId="0" borderId="1" xfId="0" applyNumberFormat="1" applyFont="1" applyBorder="1" applyAlignment="1">
      <alignment horizontal="right" vertical="center"/>
    </xf>
    <xf numFmtId="3" fontId="50" fillId="0" borderId="1" xfId="1" applyNumberFormat="1" applyFont="1" applyFill="1" applyBorder="1" applyAlignment="1">
      <alignment horizontal="right" vertical="center"/>
    </xf>
    <xf numFmtId="3" fontId="50" fillId="0" borderId="10" xfId="1" applyNumberFormat="1" applyFont="1" applyFill="1" applyBorder="1" applyAlignment="1">
      <alignment horizontal="right" vertical="center"/>
    </xf>
    <xf numFmtId="3" fontId="50" fillId="0" borderId="25" xfId="1" applyNumberFormat="1" applyFont="1" applyFill="1" applyBorder="1" applyAlignment="1">
      <alignment horizontal="right" vertical="center"/>
    </xf>
    <xf numFmtId="3" fontId="45" fillId="0" borderId="26" xfId="0" applyNumberFormat="1" applyFont="1" applyBorder="1" applyAlignment="1">
      <alignment horizontal="right" vertical="center"/>
    </xf>
    <xf numFmtId="3" fontId="50" fillId="0" borderId="12" xfId="1" applyNumberFormat="1" applyFont="1" applyFill="1" applyBorder="1" applyAlignment="1">
      <alignment horizontal="right" vertical="center"/>
    </xf>
    <xf numFmtId="3" fontId="45" fillId="0" borderId="5" xfId="0" applyNumberFormat="1" applyFont="1" applyFill="1" applyBorder="1" applyAlignment="1">
      <alignment horizontal="right" vertical="center"/>
    </xf>
    <xf numFmtId="3" fontId="45" fillId="0" borderId="8" xfId="0" applyNumberFormat="1" applyFont="1" applyBorder="1" applyAlignment="1">
      <alignment horizontal="right" vertical="center"/>
    </xf>
    <xf numFmtId="3" fontId="43" fillId="0" borderId="6" xfId="0" applyNumberFormat="1" applyFont="1" applyBorder="1" applyAlignment="1">
      <alignment horizontal="right" vertical="center"/>
    </xf>
    <xf numFmtId="3" fontId="43" fillId="0" borderId="1" xfId="0" applyNumberFormat="1" applyFont="1" applyBorder="1" applyAlignment="1">
      <alignment horizontal="right" vertical="center"/>
    </xf>
    <xf numFmtId="3" fontId="43" fillId="0" borderId="26" xfId="0" applyNumberFormat="1" applyFont="1" applyBorder="1" applyAlignment="1">
      <alignment horizontal="right" vertical="center"/>
    </xf>
    <xf numFmtId="3" fontId="43" fillId="0" borderId="8" xfId="0" applyNumberFormat="1" applyFont="1" applyBorder="1" applyAlignment="1">
      <alignment horizontal="right" vertical="center"/>
    </xf>
    <xf numFmtId="3" fontId="43" fillId="0" borderId="27" xfId="0" applyNumberFormat="1" applyFont="1" applyBorder="1" applyAlignment="1">
      <alignment horizontal="right" vertical="center"/>
    </xf>
    <xf numFmtId="3" fontId="43" fillId="0" borderId="28" xfId="0" applyNumberFormat="1" applyFont="1" applyBorder="1" applyAlignment="1">
      <alignment horizontal="right" vertical="center"/>
    </xf>
    <xf numFmtId="3" fontId="43" fillId="0" borderId="29" xfId="0" applyNumberFormat="1" applyFont="1" applyBorder="1" applyAlignment="1">
      <alignment horizontal="right" vertical="center"/>
    </xf>
    <xf numFmtId="3" fontId="43" fillId="0" borderId="30" xfId="0" applyNumberFormat="1" applyFont="1" applyBorder="1" applyAlignment="1">
      <alignment horizontal="right" vertical="center"/>
    </xf>
    <xf numFmtId="3" fontId="45" fillId="0" borderId="27" xfId="0" applyNumberFormat="1" applyFont="1" applyBorder="1" applyAlignment="1">
      <alignment horizontal="right" vertical="center"/>
    </xf>
    <xf numFmtId="3" fontId="45" fillId="0" borderId="28" xfId="0" applyNumberFormat="1" applyFont="1" applyBorder="1" applyAlignment="1">
      <alignment horizontal="right" vertical="center"/>
    </xf>
    <xf numFmtId="3" fontId="45" fillId="0" borderId="29" xfId="0" applyNumberFormat="1" applyFont="1" applyBorder="1" applyAlignment="1">
      <alignment horizontal="right" vertical="center"/>
    </xf>
    <xf numFmtId="3" fontId="45" fillId="0" borderId="30" xfId="0" applyNumberFormat="1" applyFont="1" applyBorder="1" applyAlignment="1">
      <alignment horizontal="right" vertical="center"/>
    </xf>
    <xf numFmtId="0" fontId="45" fillId="0" borderId="12" xfId="0" applyFont="1" applyBorder="1" applyAlignment="1">
      <alignment horizontal="right" vertical="center"/>
    </xf>
    <xf numFmtId="3" fontId="50" fillId="7" borderId="8" xfId="1" applyNumberFormat="1" applyFont="1" applyFill="1" applyBorder="1" applyAlignment="1">
      <alignment horizontal="right" vertical="center"/>
    </xf>
    <xf numFmtId="3" fontId="50" fillId="7" borderId="1" xfId="1" applyNumberFormat="1" applyFont="1" applyFill="1" applyBorder="1" applyAlignment="1">
      <alignment horizontal="right" vertical="center"/>
    </xf>
    <xf numFmtId="3" fontId="50" fillId="7" borderId="10" xfId="1" applyNumberFormat="1" applyFont="1" applyFill="1" applyBorder="1" applyAlignment="1">
      <alignment horizontal="right" vertical="center"/>
    </xf>
    <xf numFmtId="3" fontId="50" fillId="7" borderId="26" xfId="1" applyNumberFormat="1" applyFont="1" applyFill="1" applyBorder="1" applyAlignment="1">
      <alignment horizontal="right" vertical="center"/>
    </xf>
    <xf numFmtId="3" fontId="50" fillId="7" borderId="6" xfId="1" applyNumberFormat="1" applyFont="1" applyFill="1" applyBorder="1" applyAlignment="1">
      <alignment horizontal="right" vertical="center"/>
    </xf>
    <xf numFmtId="3" fontId="50" fillId="7" borderId="12" xfId="1" applyNumberFormat="1" applyFont="1" applyFill="1" applyBorder="1" applyAlignment="1">
      <alignment horizontal="right" vertical="center"/>
    </xf>
    <xf numFmtId="3" fontId="49" fillId="7" borderId="8" xfId="1" applyNumberFormat="1" applyFont="1" applyFill="1" applyBorder="1" applyAlignment="1">
      <alignment horizontal="right" vertical="center"/>
    </xf>
    <xf numFmtId="0" fontId="43" fillId="6" borderId="12" xfId="0" applyFont="1" applyFill="1" applyBorder="1" applyAlignment="1">
      <alignment horizontal="left" vertical="center"/>
    </xf>
    <xf numFmtId="3" fontId="49" fillId="6" borderId="1" xfId="1" applyNumberFormat="1" applyFont="1" applyFill="1" applyBorder="1" applyAlignment="1">
      <alignment horizontal="right" vertical="center"/>
    </xf>
    <xf numFmtId="3" fontId="49" fillId="6" borderId="10" xfId="1" applyNumberFormat="1" applyFont="1" applyFill="1" applyBorder="1" applyAlignment="1">
      <alignment horizontal="right" vertical="center"/>
    </xf>
    <xf numFmtId="3" fontId="49" fillId="6" borderId="26" xfId="1" applyNumberFormat="1" applyFont="1" applyFill="1" applyBorder="1" applyAlignment="1">
      <alignment horizontal="right" vertical="center"/>
    </xf>
    <xf numFmtId="3" fontId="49" fillId="6" borderId="6" xfId="1" applyNumberFormat="1" applyFont="1" applyFill="1" applyBorder="1" applyAlignment="1">
      <alignment horizontal="right" vertical="center"/>
    </xf>
    <xf numFmtId="3" fontId="49" fillId="6" borderId="12" xfId="1" applyNumberFormat="1" applyFont="1" applyFill="1" applyBorder="1" applyAlignment="1">
      <alignment horizontal="right" vertical="center"/>
    </xf>
    <xf numFmtId="3" fontId="49" fillId="6" borderId="8" xfId="1" applyNumberFormat="1" applyFont="1" applyFill="1" applyBorder="1" applyAlignment="1">
      <alignment horizontal="right" vertical="center"/>
    </xf>
    <xf numFmtId="0" fontId="43" fillId="0" borderId="15" xfId="0" applyFont="1" applyBorder="1" applyAlignment="1">
      <alignment vertical="center"/>
    </xf>
    <xf numFmtId="0" fontId="43" fillId="6" borderId="15" xfId="0" applyFont="1" applyFill="1" applyBorder="1" applyAlignment="1">
      <alignment horizontal="left" vertical="center"/>
    </xf>
    <xf numFmtId="3" fontId="50" fillId="8" borderId="9" xfId="1" applyNumberFormat="1" applyFont="1" applyFill="1" applyBorder="1" applyAlignment="1">
      <alignment horizontal="right" vertical="center"/>
    </xf>
    <xf numFmtId="3" fontId="50" fillId="8" borderId="31" xfId="1" applyNumberFormat="1" applyFont="1" applyFill="1" applyBorder="1" applyAlignment="1">
      <alignment horizontal="right" vertical="center"/>
    </xf>
    <xf numFmtId="3" fontId="50" fillId="8" borderId="32" xfId="1" applyNumberFormat="1" applyFont="1" applyFill="1" applyBorder="1" applyAlignment="1">
      <alignment horizontal="right" vertical="center"/>
    </xf>
    <xf numFmtId="3" fontId="50" fillId="8" borderId="33" xfId="1" applyNumberFormat="1" applyFont="1" applyFill="1" applyBorder="1" applyAlignment="1">
      <alignment horizontal="right" vertical="center"/>
    </xf>
    <xf numFmtId="3" fontId="50" fillId="8" borderId="34" xfId="1" applyNumberFormat="1" applyFont="1" applyFill="1" applyBorder="1" applyAlignment="1">
      <alignment horizontal="right" vertical="center"/>
    </xf>
    <xf numFmtId="3" fontId="50" fillId="8" borderId="13" xfId="1" applyNumberFormat="1" applyFont="1" applyFill="1" applyBorder="1" applyAlignment="1">
      <alignment horizontal="right" vertical="center"/>
    </xf>
    <xf numFmtId="3" fontId="49" fillId="8" borderId="9" xfId="1" applyNumberFormat="1" applyFont="1" applyFill="1" applyBorder="1" applyAlignment="1">
      <alignment horizontal="right" vertical="center"/>
    </xf>
    <xf numFmtId="3" fontId="50" fillId="0" borderId="8" xfId="1" applyNumberFormat="1" applyFont="1" applyFill="1" applyBorder="1" applyAlignment="1">
      <alignment horizontal="right" vertical="center" indent="1"/>
    </xf>
    <xf numFmtId="0" fontId="48" fillId="6" borderId="12" xfId="0" applyFont="1" applyFill="1" applyBorder="1" applyAlignment="1">
      <alignment horizontal="right" vertical="center"/>
    </xf>
    <xf numFmtId="0" fontId="48" fillId="6" borderId="15" xfId="0" applyFont="1" applyFill="1" applyBorder="1" applyAlignment="1">
      <alignment horizontal="right" vertical="center"/>
    </xf>
    <xf numFmtId="0" fontId="48" fillId="10" borderId="15" xfId="0" applyFont="1" applyFill="1" applyBorder="1" applyAlignment="1">
      <alignment horizontal="right" vertical="center"/>
    </xf>
    <xf numFmtId="3" fontId="49" fillId="6" borderId="27" xfId="1" applyNumberFormat="1" applyFont="1" applyFill="1" applyBorder="1" applyAlignment="1">
      <alignment horizontal="right" vertical="center" indent="1"/>
    </xf>
    <xf numFmtId="3" fontId="49" fillId="6" borderId="28" xfId="1" applyNumberFormat="1" applyFont="1" applyFill="1" applyBorder="1" applyAlignment="1">
      <alignment horizontal="right" vertical="center" indent="1"/>
    </xf>
    <xf numFmtId="3" fontId="49" fillId="6" borderId="29" xfId="1" applyNumberFormat="1" applyFont="1" applyFill="1" applyBorder="1" applyAlignment="1">
      <alignment horizontal="right" vertical="center" indent="1"/>
    </xf>
    <xf numFmtId="3" fontId="50" fillId="6" borderId="30" xfId="1" applyNumberFormat="1" applyFont="1" applyFill="1" applyBorder="1" applyAlignment="1">
      <alignment horizontal="right" vertical="center" indent="1"/>
    </xf>
    <xf numFmtId="0" fontId="48" fillId="10" borderId="15" xfId="0" applyFont="1" applyFill="1" applyBorder="1" applyAlignment="1">
      <alignment horizontal="right" vertical="center" wrapText="1"/>
    </xf>
    <xf numFmtId="3" fontId="45" fillId="0" borderId="30" xfId="0" applyNumberFormat="1" applyFont="1" applyBorder="1" applyAlignment="1">
      <alignment horizontal="right" vertical="center" indent="1"/>
    </xf>
    <xf numFmtId="3" fontId="43" fillId="0" borderId="0" xfId="0" applyNumberFormat="1" applyFont="1" applyFill="1" applyBorder="1" applyAlignment="1">
      <alignment horizontal="right" vertical="center" indent="1"/>
    </xf>
    <xf numFmtId="0" fontId="46" fillId="0" borderId="0" xfId="0" applyFont="1" applyFill="1" applyBorder="1" applyAlignment="1">
      <alignment horizontal="center" vertical="center" wrapText="1" shrinkToFit="1"/>
    </xf>
    <xf numFmtId="0" fontId="46" fillId="0" borderId="111" xfId="0" applyFont="1" applyFill="1" applyBorder="1" applyAlignment="1">
      <alignment horizontal="center" vertical="center" wrapText="1" shrinkToFit="1"/>
    </xf>
    <xf numFmtId="3" fontId="49" fillId="7" borderId="112" xfId="1" applyNumberFormat="1" applyFont="1" applyFill="1" applyBorder="1" applyAlignment="1">
      <alignment horizontal="right" vertical="center" indent="1"/>
    </xf>
    <xf numFmtId="3" fontId="49" fillId="0" borderId="48" xfId="1" applyNumberFormat="1" applyFont="1" applyFill="1" applyBorder="1" applyAlignment="1">
      <alignment horizontal="right" vertical="center" indent="1"/>
    </xf>
    <xf numFmtId="3" fontId="49" fillId="0" borderId="51" xfId="1" applyNumberFormat="1" applyFont="1" applyFill="1" applyBorder="1" applyAlignment="1">
      <alignment horizontal="right" vertical="center" indent="1"/>
    </xf>
    <xf numFmtId="0" fontId="48" fillId="0" borderId="12" xfId="0" applyFont="1" applyFill="1" applyBorder="1" applyAlignment="1">
      <alignment horizontal="right" vertical="center"/>
    </xf>
    <xf numFmtId="0" fontId="45" fillId="14" borderId="8" xfId="0" applyFont="1" applyFill="1" applyBorder="1" applyAlignment="1">
      <alignment horizontal="center" vertical="center"/>
    </xf>
    <xf numFmtId="0" fontId="45" fillId="14" borderId="12" xfId="0" applyFont="1" applyFill="1" applyBorder="1" applyAlignment="1">
      <alignment horizontal="left" vertical="center"/>
    </xf>
    <xf numFmtId="3" fontId="49" fillId="14" borderId="1" xfId="1" applyNumberFormat="1" applyFont="1" applyFill="1" applyBorder="1" applyAlignment="1">
      <alignment horizontal="right" vertical="center" indent="1"/>
    </xf>
    <xf numFmtId="3" fontId="49" fillId="14" borderId="10" xfId="1" applyNumberFormat="1" applyFont="1" applyFill="1" applyBorder="1" applyAlignment="1">
      <alignment horizontal="right" vertical="center" indent="1"/>
    </xf>
    <xf numFmtId="3" fontId="49" fillId="14" borderId="26" xfId="1" applyNumberFormat="1" applyFont="1" applyFill="1" applyBorder="1" applyAlignment="1">
      <alignment horizontal="right" vertical="center" indent="1"/>
    </xf>
    <xf numFmtId="3" fontId="49" fillId="14" borderId="6" xfId="1" applyNumberFormat="1" applyFont="1" applyFill="1" applyBorder="1" applyAlignment="1">
      <alignment horizontal="right" vertical="center" indent="1"/>
    </xf>
    <xf numFmtId="3" fontId="49" fillId="14" borderId="12" xfId="1" applyNumberFormat="1" applyFont="1" applyFill="1" applyBorder="1" applyAlignment="1">
      <alignment horizontal="right" vertical="center" indent="1"/>
    </xf>
    <xf numFmtId="3" fontId="49" fillId="14" borderId="48" xfId="1" applyNumberFormat="1" applyFont="1" applyFill="1" applyBorder="1" applyAlignment="1">
      <alignment horizontal="right" vertical="center" indent="1"/>
    </xf>
    <xf numFmtId="3" fontId="49" fillId="14" borderId="51" xfId="1" applyNumberFormat="1" applyFont="1" applyFill="1" applyBorder="1" applyAlignment="1">
      <alignment horizontal="right" vertical="center" indent="1"/>
    </xf>
    <xf numFmtId="0" fontId="43" fillId="14" borderId="12" xfId="0" applyFont="1" applyFill="1" applyBorder="1" applyAlignment="1">
      <alignment horizontal="left" vertical="center"/>
    </xf>
    <xf numFmtId="3" fontId="49" fillId="14" borderId="25" xfId="1" applyNumberFormat="1" applyFont="1" applyFill="1" applyBorder="1" applyAlignment="1">
      <alignment horizontal="right" vertical="center" indent="1"/>
    </xf>
    <xf numFmtId="3" fontId="43" fillId="14" borderId="26" xfId="0" applyNumberFormat="1" applyFont="1" applyFill="1" applyBorder="1" applyAlignment="1">
      <alignment horizontal="right" vertical="center" indent="1"/>
    </xf>
    <xf numFmtId="3" fontId="43" fillId="14" borderId="6" xfId="0" applyNumberFormat="1" applyFont="1" applyFill="1" applyBorder="1" applyAlignment="1">
      <alignment horizontal="right" vertical="center" indent="1"/>
    </xf>
    <xf numFmtId="3" fontId="43" fillId="14" borderId="51" xfId="0" applyNumberFormat="1" applyFont="1" applyFill="1" applyBorder="1" applyAlignment="1">
      <alignment horizontal="right" vertical="center" indent="1"/>
    </xf>
    <xf numFmtId="3" fontId="43" fillId="0" borderId="51" xfId="0" applyNumberFormat="1" applyFont="1" applyBorder="1" applyAlignment="1">
      <alignment horizontal="right" vertical="center" indent="1"/>
    </xf>
    <xf numFmtId="3" fontId="43" fillId="14" borderId="1" xfId="0" applyNumberFormat="1" applyFont="1" applyFill="1" applyBorder="1" applyAlignment="1">
      <alignment horizontal="right" vertical="center" indent="1"/>
    </xf>
    <xf numFmtId="3" fontId="43" fillId="14" borderId="35" xfId="0" applyNumberFormat="1" applyFont="1" applyFill="1" applyBorder="1" applyAlignment="1">
      <alignment horizontal="right" vertical="center" indent="1"/>
    </xf>
    <xf numFmtId="3" fontId="43" fillId="14" borderId="47" xfId="0" applyNumberFormat="1" applyFont="1" applyFill="1" applyBorder="1" applyAlignment="1">
      <alignment horizontal="right" vertical="center" indent="1"/>
    </xf>
    <xf numFmtId="3" fontId="43" fillId="14" borderId="12" xfId="0" applyNumberFormat="1" applyFont="1" applyFill="1" applyBorder="1" applyAlignment="1">
      <alignment horizontal="right" vertical="center" indent="1"/>
    </xf>
    <xf numFmtId="0" fontId="43" fillId="0" borderId="12" xfId="0" applyFont="1" applyBorder="1" applyAlignment="1">
      <alignment horizontal="left" vertical="center" indent="15"/>
    </xf>
    <xf numFmtId="3" fontId="45" fillId="14" borderId="0" xfId="0" applyNumberFormat="1" applyFont="1" applyFill="1" applyBorder="1" applyAlignment="1">
      <alignment horizontal="right" vertical="center" indent="1"/>
    </xf>
    <xf numFmtId="0" fontId="43" fillId="14" borderId="16" xfId="0" applyFont="1" applyFill="1" applyBorder="1" applyAlignment="1">
      <alignment horizontal="left" vertical="center"/>
    </xf>
    <xf numFmtId="3" fontId="43" fillId="7" borderId="1" xfId="0" applyNumberFormat="1" applyFont="1" applyFill="1" applyBorder="1" applyAlignment="1">
      <alignment horizontal="right" vertical="center" indent="1"/>
    </xf>
    <xf numFmtId="3" fontId="43" fillId="7" borderId="35" xfId="0" applyNumberFormat="1" applyFont="1" applyFill="1" applyBorder="1" applyAlignment="1">
      <alignment horizontal="right" vertical="center" indent="1"/>
    </xf>
    <xf numFmtId="3" fontId="43" fillId="7" borderId="26" xfId="0" applyNumberFormat="1" applyFont="1" applyFill="1" applyBorder="1" applyAlignment="1">
      <alignment horizontal="right" vertical="center" indent="1"/>
    </xf>
    <xf numFmtId="3" fontId="43" fillId="7" borderId="6" xfId="0" applyNumberFormat="1" applyFont="1" applyFill="1" applyBorder="1" applyAlignment="1">
      <alignment horizontal="right" vertical="center" indent="1"/>
    </xf>
    <xf numFmtId="3" fontId="43" fillId="7" borderId="12" xfId="0" applyNumberFormat="1" applyFont="1" applyFill="1" applyBorder="1" applyAlignment="1">
      <alignment horizontal="right" vertical="center" indent="1"/>
    </xf>
    <xf numFmtId="3" fontId="49" fillId="7" borderId="48" xfId="1" applyNumberFormat="1" applyFont="1" applyFill="1" applyBorder="1" applyAlignment="1">
      <alignment horizontal="right" vertical="center" indent="1"/>
    </xf>
    <xf numFmtId="3" fontId="43" fillId="7" borderId="8" xfId="0" applyNumberFormat="1" applyFont="1" applyFill="1" applyBorder="1" applyAlignment="1">
      <alignment horizontal="right" vertical="center" indent="1"/>
    </xf>
    <xf numFmtId="3" fontId="43" fillId="0" borderId="1" xfId="0" applyNumberFormat="1" applyFont="1" applyFill="1" applyBorder="1" applyAlignment="1">
      <alignment horizontal="right" vertical="center" indent="1"/>
    </xf>
    <xf numFmtId="3" fontId="43" fillId="0" borderId="48" xfId="0" applyNumberFormat="1" applyFont="1" applyFill="1" applyBorder="1" applyAlignment="1">
      <alignment horizontal="right" vertical="center" indent="1"/>
    </xf>
    <xf numFmtId="3" fontId="43" fillId="0" borderId="113" xfId="0" applyNumberFormat="1" applyFont="1" applyFill="1" applyBorder="1" applyAlignment="1">
      <alignment horizontal="right" vertical="center" indent="1"/>
    </xf>
    <xf numFmtId="3" fontId="49" fillId="8" borderId="114" xfId="1" applyNumberFormat="1" applyFont="1" applyFill="1" applyBorder="1" applyAlignment="1">
      <alignment horizontal="right" vertical="center" indent="1"/>
    </xf>
    <xf numFmtId="0" fontId="65" fillId="0" borderId="0" xfId="0" applyFont="1" applyFill="1" applyAlignment="1">
      <alignment vertical="center"/>
    </xf>
    <xf numFmtId="0" fontId="46" fillId="0" borderId="8" xfId="0" applyFont="1" applyBorder="1" applyAlignment="1">
      <alignment horizontal="center" vertical="center"/>
    </xf>
    <xf numFmtId="0" fontId="46" fillId="0" borderId="7" xfId="0" applyFont="1" applyBorder="1" applyAlignment="1">
      <alignment horizontal="center" vertical="center" wrapText="1" shrinkToFit="1"/>
    </xf>
    <xf numFmtId="0" fontId="46" fillId="0" borderId="57" xfId="0" applyFont="1" applyFill="1" applyBorder="1" applyAlignment="1">
      <alignment horizontal="center" vertical="center" wrapText="1" shrinkToFit="1"/>
    </xf>
    <xf numFmtId="0" fontId="46" fillId="0" borderId="115" xfId="0" applyFont="1" applyFill="1" applyBorder="1" applyAlignment="1">
      <alignment horizontal="center" vertical="center" wrapText="1" shrinkToFit="1"/>
    </xf>
    <xf numFmtId="0" fontId="45" fillId="7" borderId="76" xfId="0" applyFont="1" applyFill="1" applyBorder="1" applyAlignment="1">
      <alignment horizontal="center" vertical="center"/>
    </xf>
    <xf numFmtId="0" fontId="45" fillId="7" borderId="15" xfId="0" applyFont="1" applyFill="1" applyBorder="1" applyAlignment="1">
      <alignment horizontal="left" vertical="center"/>
    </xf>
    <xf numFmtId="3" fontId="50" fillId="7" borderId="76" xfId="1" applyNumberFormat="1" applyFont="1" applyFill="1" applyBorder="1" applyAlignment="1">
      <alignment horizontal="right" vertical="center" indent="1"/>
    </xf>
    <xf numFmtId="3" fontId="50" fillId="7" borderId="77" xfId="1" applyNumberFormat="1" applyFont="1" applyFill="1" applyBorder="1" applyAlignment="1">
      <alignment horizontal="right" vertical="center" indent="1"/>
    </xf>
    <xf numFmtId="3" fontId="50" fillId="7" borderId="74" xfId="1" applyNumberFormat="1" applyFont="1" applyFill="1" applyBorder="1" applyAlignment="1">
      <alignment horizontal="right" vertical="center" indent="1"/>
    </xf>
    <xf numFmtId="3" fontId="50" fillId="7" borderId="116" xfId="1" applyNumberFormat="1" applyFont="1" applyFill="1" applyBorder="1" applyAlignment="1">
      <alignment horizontal="right" vertical="center" indent="1"/>
    </xf>
    <xf numFmtId="3" fontId="50" fillId="7" borderId="15" xfId="1" applyNumberFormat="1" applyFont="1" applyFill="1" applyBorder="1" applyAlignment="1">
      <alignment horizontal="right" vertical="center" indent="1"/>
    </xf>
    <xf numFmtId="0" fontId="45" fillId="15" borderId="12" xfId="0" applyFont="1" applyFill="1" applyBorder="1" applyAlignment="1">
      <alignment horizontal="left" vertical="center"/>
    </xf>
    <xf numFmtId="3" fontId="50" fillId="15" borderId="8" xfId="1" applyNumberFormat="1" applyFont="1" applyFill="1" applyBorder="1" applyAlignment="1">
      <alignment horizontal="right" vertical="center" indent="1"/>
    </xf>
    <xf numFmtId="3" fontId="50" fillId="15" borderId="1" xfId="1" applyNumberFormat="1" applyFont="1" applyFill="1" applyBorder="1" applyAlignment="1">
      <alignment horizontal="right" vertical="center" indent="1"/>
    </xf>
    <xf numFmtId="3" fontId="50" fillId="15" borderId="35" xfId="1" applyNumberFormat="1" applyFont="1" applyFill="1" applyBorder="1" applyAlignment="1">
      <alignment horizontal="right" vertical="center" indent="1"/>
    </xf>
    <xf numFmtId="3" fontId="50" fillId="15" borderId="48" xfId="1" applyNumberFormat="1" applyFont="1" applyFill="1" applyBorder="1" applyAlignment="1">
      <alignment horizontal="right" vertical="center" indent="1"/>
    </xf>
    <xf numFmtId="3" fontId="50" fillId="15" borderId="12" xfId="1" applyNumberFormat="1" applyFont="1" applyFill="1" applyBorder="1" applyAlignment="1">
      <alignment horizontal="right" vertical="center" indent="1"/>
    </xf>
    <xf numFmtId="3" fontId="45" fillId="0" borderId="8" xfId="0" applyNumberFormat="1" applyFont="1" applyFill="1" applyBorder="1" applyAlignment="1">
      <alignment horizontal="right" vertical="center" indent="1"/>
    </xf>
    <xf numFmtId="3" fontId="45" fillId="0" borderId="6" xfId="0" applyNumberFormat="1" applyFont="1" applyFill="1" applyBorder="1" applyAlignment="1">
      <alignment horizontal="right" vertical="center" indent="1"/>
    </xf>
    <xf numFmtId="3" fontId="45" fillId="0" borderId="1" xfId="0" applyNumberFormat="1" applyFont="1" applyFill="1" applyBorder="1" applyAlignment="1">
      <alignment horizontal="right" vertical="center" indent="1"/>
    </xf>
    <xf numFmtId="3" fontId="45" fillId="0" borderId="35" xfId="0" applyNumberFormat="1" applyFont="1" applyFill="1" applyBorder="1" applyAlignment="1">
      <alignment horizontal="right" vertical="center" indent="1"/>
    </xf>
    <xf numFmtId="3" fontId="43" fillId="0" borderId="12" xfId="0" applyNumberFormat="1" applyFont="1" applyFill="1" applyBorder="1" applyAlignment="1">
      <alignment horizontal="right" vertical="center" indent="1"/>
    </xf>
    <xf numFmtId="3" fontId="45" fillId="10" borderId="1" xfId="0" applyNumberFormat="1" applyFont="1" applyFill="1" applyBorder="1" applyAlignment="1">
      <alignment horizontal="right" vertical="center" indent="1"/>
    </xf>
    <xf numFmtId="3" fontId="50" fillId="0" borderId="35" xfId="1" applyNumberFormat="1" applyFont="1" applyFill="1" applyBorder="1" applyAlignment="1">
      <alignment horizontal="right" vertical="center" indent="1"/>
    </xf>
    <xf numFmtId="3" fontId="50" fillId="0" borderId="0" xfId="1" applyNumberFormat="1" applyFont="1" applyFill="1" applyBorder="1" applyAlignment="1">
      <alignment horizontal="right" vertical="center" indent="1"/>
    </xf>
    <xf numFmtId="0" fontId="8" fillId="15" borderId="12" xfId="0" applyFont="1" applyFill="1" applyBorder="1" applyAlignment="1">
      <alignment horizontal="left" vertical="center"/>
    </xf>
    <xf numFmtId="3" fontId="50" fillId="15" borderId="51" xfId="1" applyNumberFormat="1" applyFont="1" applyFill="1" applyBorder="1" applyAlignment="1">
      <alignment horizontal="right" vertical="center" indent="1"/>
    </xf>
    <xf numFmtId="3" fontId="50" fillId="15" borderId="42" xfId="1" applyNumberFormat="1" applyFont="1" applyFill="1" applyBorder="1" applyAlignment="1">
      <alignment horizontal="right" vertical="center" indent="1"/>
    </xf>
    <xf numFmtId="3" fontId="66" fillId="0" borderId="1" xfId="0" applyNumberFormat="1" applyFont="1" applyFill="1" applyBorder="1" applyAlignment="1">
      <alignment horizontal="right" vertical="center" indent="1"/>
    </xf>
    <xf numFmtId="0" fontId="3" fillId="0" borderId="12" xfId="0" applyFont="1" applyFill="1" applyBorder="1" applyAlignment="1">
      <alignment horizontal="left" vertical="center"/>
    </xf>
    <xf numFmtId="3" fontId="45" fillId="15" borderId="51" xfId="0" applyNumberFormat="1" applyFont="1" applyFill="1" applyBorder="1" applyAlignment="1">
      <alignment horizontal="right" vertical="center" indent="1"/>
    </xf>
    <xf numFmtId="3" fontId="45" fillId="15" borderId="1" xfId="0" applyNumberFormat="1" applyFont="1" applyFill="1" applyBorder="1" applyAlignment="1">
      <alignment horizontal="right" vertical="center" indent="1"/>
    </xf>
    <xf numFmtId="3" fontId="45" fillId="15" borderId="35" xfId="0" applyNumberFormat="1" applyFont="1" applyFill="1" applyBorder="1" applyAlignment="1">
      <alignment horizontal="right" vertical="center" indent="1"/>
    </xf>
    <xf numFmtId="3" fontId="45" fillId="15" borderId="48" xfId="0" applyNumberFormat="1" applyFont="1" applyFill="1" applyBorder="1" applyAlignment="1">
      <alignment horizontal="right" vertical="center" indent="1"/>
    </xf>
    <xf numFmtId="3" fontId="45" fillId="15" borderId="8" xfId="0" applyNumberFormat="1" applyFont="1" applyFill="1" applyBorder="1" applyAlignment="1">
      <alignment horizontal="right" vertical="center" indent="1"/>
    </xf>
    <xf numFmtId="3" fontId="45" fillId="15" borderId="12" xfId="0" applyNumberFormat="1" applyFont="1" applyFill="1" applyBorder="1" applyAlignment="1">
      <alignment horizontal="right" vertical="center" indent="1"/>
    </xf>
    <xf numFmtId="0" fontId="43" fillId="0" borderId="30" xfId="0" applyFont="1" applyBorder="1" applyAlignment="1">
      <alignment horizontal="center" vertical="center"/>
    </xf>
    <xf numFmtId="0" fontId="3" fillId="0" borderId="16" xfId="0" applyFont="1" applyFill="1" applyBorder="1" applyAlignment="1">
      <alignment horizontal="left" vertical="center"/>
    </xf>
    <xf numFmtId="3" fontId="43" fillId="0" borderId="113" xfId="0" applyNumberFormat="1" applyFont="1" applyBorder="1" applyAlignment="1">
      <alignment horizontal="right" vertical="center" indent="1"/>
    </xf>
    <xf numFmtId="0" fontId="5" fillId="15" borderId="16" xfId="0" applyFont="1" applyFill="1" applyBorder="1" applyAlignment="1">
      <alignment horizontal="left" vertical="center"/>
    </xf>
    <xf numFmtId="3" fontId="45" fillId="15" borderId="113" xfId="0" applyNumberFormat="1" applyFont="1" applyFill="1" applyBorder="1" applyAlignment="1">
      <alignment horizontal="right" vertical="center" indent="1"/>
    </xf>
    <xf numFmtId="3" fontId="49" fillId="0" borderId="111" xfId="1" applyNumberFormat="1" applyFont="1" applyFill="1" applyBorder="1" applyAlignment="1">
      <alignment horizontal="right" vertical="center" indent="1"/>
    </xf>
    <xf numFmtId="3" fontId="49" fillId="0" borderId="49" xfId="1" applyNumberFormat="1" applyFont="1" applyFill="1" applyBorder="1" applyAlignment="1">
      <alignment horizontal="right" vertical="center" indent="1"/>
    </xf>
    <xf numFmtId="3" fontId="50" fillId="8" borderId="114" xfId="1" applyNumberFormat="1" applyFont="1" applyFill="1" applyBorder="1" applyAlignment="1">
      <alignment horizontal="right" vertical="center" indent="1"/>
    </xf>
    <xf numFmtId="0" fontId="44" fillId="7" borderId="12" xfId="0" applyFont="1" applyFill="1" applyBorder="1" applyAlignment="1">
      <alignment horizontal="left" vertical="center"/>
    </xf>
    <xf numFmtId="3" fontId="51" fillId="7" borderId="20" xfId="1" applyNumberFormat="1" applyFont="1" applyFill="1" applyBorder="1" applyAlignment="1">
      <alignment vertical="center"/>
    </xf>
    <xf numFmtId="3" fontId="51" fillId="7" borderId="21" xfId="1" applyNumberFormat="1" applyFont="1" applyFill="1" applyBorder="1" applyAlignment="1">
      <alignment vertical="center"/>
    </xf>
    <xf numFmtId="3" fontId="51" fillId="7" borderId="24" xfId="1" applyNumberFormat="1" applyFont="1" applyFill="1" applyBorder="1" applyAlignment="1">
      <alignment vertical="center"/>
    </xf>
    <xf numFmtId="3" fontId="51" fillId="7" borderId="22" xfId="1" applyNumberFormat="1" applyFont="1" applyFill="1" applyBorder="1" applyAlignment="1">
      <alignment vertical="center"/>
    </xf>
    <xf numFmtId="3" fontId="51" fillId="7" borderId="23" xfId="1" applyNumberFormat="1" applyFont="1" applyFill="1" applyBorder="1" applyAlignment="1">
      <alignment vertical="center"/>
    </xf>
    <xf numFmtId="3" fontId="51" fillId="7" borderId="19" xfId="1" applyNumberFormat="1" applyFont="1" applyFill="1" applyBorder="1" applyAlignment="1">
      <alignment vertical="center"/>
    </xf>
    <xf numFmtId="3" fontId="51" fillId="7" borderId="1" xfId="1" applyNumberFormat="1" applyFont="1" applyFill="1" applyBorder="1" applyAlignment="1">
      <alignment vertical="center"/>
    </xf>
    <xf numFmtId="3" fontId="51" fillId="7" borderId="10" xfId="1" applyNumberFormat="1" applyFont="1" applyFill="1" applyBorder="1" applyAlignment="1">
      <alignment vertical="center"/>
    </xf>
    <xf numFmtId="3" fontId="51" fillId="7" borderId="25" xfId="1" applyNumberFormat="1" applyFont="1" applyFill="1" applyBorder="1" applyAlignment="1">
      <alignment vertical="center"/>
    </xf>
    <xf numFmtId="3" fontId="51" fillId="7" borderId="26" xfId="1" applyNumberFormat="1" applyFont="1" applyFill="1" applyBorder="1" applyAlignment="1">
      <alignment vertical="center"/>
    </xf>
    <xf numFmtId="3" fontId="51" fillId="7" borderId="6" xfId="1" applyNumberFormat="1" applyFont="1" applyFill="1" applyBorder="1" applyAlignment="1">
      <alignment vertical="center"/>
    </xf>
    <xf numFmtId="3" fontId="51" fillId="7" borderId="12" xfId="1" applyNumberFormat="1" applyFont="1" applyFill="1" applyBorder="1" applyAlignment="1">
      <alignment vertical="center"/>
    </xf>
    <xf numFmtId="3" fontId="51" fillId="7" borderId="8" xfId="1" applyNumberFormat="1" applyFont="1" applyFill="1" applyBorder="1" applyAlignment="1">
      <alignment vertical="center"/>
    </xf>
    <xf numFmtId="3" fontId="67" fillId="0" borderId="1" xfId="1" applyNumberFormat="1" applyFont="1" applyFill="1" applyBorder="1" applyAlignment="1">
      <alignment vertical="center"/>
    </xf>
    <xf numFmtId="3" fontId="67" fillId="0" borderId="10" xfId="1" applyNumberFormat="1" applyFont="1" applyFill="1" applyBorder="1" applyAlignment="1">
      <alignment vertical="center"/>
    </xf>
    <xf numFmtId="3" fontId="67" fillId="0" borderId="25" xfId="1" applyNumberFormat="1" applyFont="1" applyFill="1" applyBorder="1" applyAlignment="1">
      <alignment vertical="center"/>
    </xf>
    <xf numFmtId="3" fontId="67" fillId="0" borderId="26" xfId="1" applyNumberFormat="1" applyFont="1" applyFill="1" applyBorder="1" applyAlignment="1">
      <alignment vertical="center"/>
    </xf>
    <xf numFmtId="3" fontId="67" fillId="0" borderId="6" xfId="1" applyNumberFormat="1" applyFont="1" applyFill="1" applyBorder="1" applyAlignment="1">
      <alignment vertical="center"/>
    </xf>
    <xf numFmtId="3" fontId="67" fillId="0" borderId="12" xfId="1" applyNumberFormat="1" applyFont="1" applyFill="1" applyBorder="1" applyAlignment="1">
      <alignment vertical="center"/>
    </xf>
    <xf numFmtId="3" fontId="67" fillId="0" borderId="8" xfId="1" applyNumberFormat="1" applyFont="1" applyFill="1" applyBorder="1" applyAlignment="1">
      <alignment vertical="center"/>
    </xf>
    <xf numFmtId="3" fontId="44" fillId="0" borderId="6" xfId="0" applyNumberFormat="1" applyFont="1" applyBorder="1" applyAlignment="1">
      <alignment vertical="center"/>
    </xf>
    <xf numFmtId="3" fontId="44" fillId="0" borderId="1" xfId="0" applyNumberFormat="1" applyFont="1" applyBorder="1" applyAlignment="1">
      <alignment vertical="center"/>
    </xf>
    <xf numFmtId="3" fontId="44" fillId="0" borderId="26" xfId="0" applyNumberFormat="1" applyFont="1" applyBorder="1" applyAlignment="1">
      <alignment vertical="center"/>
    </xf>
    <xf numFmtId="3" fontId="44" fillId="0" borderId="8" xfId="0" applyNumberFormat="1" applyFont="1" applyBorder="1" applyAlignment="1">
      <alignment vertical="center"/>
    </xf>
    <xf numFmtId="3" fontId="47" fillId="0" borderId="6" xfId="0" applyNumberFormat="1" applyFont="1" applyBorder="1" applyAlignment="1">
      <alignment vertical="center"/>
    </xf>
    <xf numFmtId="3" fontId="47" fillId="0" borderId="1" xfId="0" applyNumberFormat="1" applyFont="1" applyBorder="1" applyAlignment="1">
      <alignment vertical="center"/>
    </xf>
    <xf numFmtId="3" fontId="47" fillId="0" borderId="26" xfId="0" applyNumberFormat="1" applyFont="1" applyBorder="1" applyAlignment="1">
      <alignment vertical="center"/>
    </xf>
    <xf numFmtId="3" fontId="47" fillId="0" borderId="8" xfId="0" applyNumberFormat="1" applyFont="1" applyBorder="1" applyAlignment="1">
      <alignment vertical="center"/>
    </xf>
    <xf numFmtId="3" fontId="51" fillId="7" borderId="43" xfId="1" applyNumberFormat="1" applyFont="1" applyFill="1" applyBorder="1" applyAlignment="1">
      <alignment vertical="center"/>
    </xf>
    <xf numFmtId="0" fontId="53" fillId="6" borderId="12" xfId="0" quotePrefix="1" applyFont="1" applyFill="1" applyBorder="1" applyAlignment="1">
      <alignment horizontal="left" vertical="center"/>
    </xf>
    <xf numFmtId="3" fontId="67" fillId="6" borderId="1" xfId="1" applyNumberFormat="1" applyFont="1" applyFill="1" applyBorder="1" applyAlignment="1">
      <alignment vertical="center"/>
    </xf>
    <xf numFmtId="3" fontId="67" fillId="6" borderId="10" xfId="1" applyNumberFormat="1" applyFont="1" applyFill="1" applyBorder="1" applyAlignment="1">
      <alignment vertical="center"/>
    </xf>
    <xf numFmtId="3" fontId="67" fillId="6" borderId="26" xfId="1" applyNumberFormat="1" applyFont="1" applyFill="1" applyBorder="1" applyAlignment="1">
      <alignment vertical="center"/>
    </xf>
    <xf numFmtId="3" fontId="67" fillId="6" borderId="6" xfId="1" applyNumberFormat="1" applyFont="1" applyFill="1" applyBorder="1" applyAlignment="1">
      <alignment vertical="center"/>
    </xf>
    <xf numFmtId="3" fontId="67" fillId="6" borderId="12" xfId="1" applyNumberFormat="1" applyFont="1" applyFill="1" applyBorder="1" applyAlignment="1">
      <alignment vertical="center"/>
    </xf>
    <xf numFmtId="3" fontId="67" fillId="6" borderId="8" xfId="1" applyNumberFormat="1" applyFont="1" applyFill="1" applyBorder="1" applyAlignment="1">
      <alignment vertical="center"/>
    </xf>
    <xf numFmtId="0" fontId="49" fillId="6" borderId="12" xfId="0" quotePrefix="1" applyFont="1" applyFill="1" applyBorder="1" applyAlignment="1">
      <alignment horizontal="left" vertical="center"/>
    </xf>
    <xf numFmtId="3" fontId="47" fillId="6" borderId="6" xfId="0" applyNumberFormat="1" applyFont="1" applyFill="1" applyBorder="1" applyAlignment="1">
      <alignment vertical="center"/>
    </xf>
    <xf numFmtId="3" fontId="47" fillId="6" borderId="1" xfId="0" applyNumberFormat="1" applyFont="1" applyFill="1" applyBorder="1" applyAlignment="1">
      <alignment vertical="center"/>
    </xf>
    <xf numFmtId="3" fontId="47" fillId="6" borderId="26" xfId="0" applyNumberFormat="1" applyFont="1" applyFill="1" applyBorder="1" applyAlignment="1">
      <alignment vertical="center"/>
    </xf>
    <xf numFmtId="3" fontId="47" fillId="6" borderId="8" xfId="0" applyNumberFormat="1" applyFont="1" applyFill="1" applyBorder="1" applyAlignment="1">
      <alignment vertical="center"/>
    </xf>
    <xf numFmtId="3" fontId="47" fillId="0" borderId="27" xfId="0" applyNumberFormat="1" applyFont="1" applyBorder="1" applyAlignment="1">
      <alignment vertical="center"/>
    </xf>
    <xf numFmtId="3" fontId="47" fillId="0" borderId="28" xfId="0" applyNumberFormat="1" applyFont="1" applyBorder="1" applyAlignment="1">
      <alignment vertical="center"/>
    </xf>
    <xf numFmtId="3" fontId="47" fillId="0" borderId="29" xfId="0" applyNumberFormat="1" applyFont="1" applyBorder="1" applyAlignment="1">
      <alignment vertical="center"/>
    </xf>
    <xf numFmtId="3" fontId="47" fillId="0" borderId="30" xfId="0" applyNumberFormat="1" applyFont="1" applyBorder="1" applyAlignment="1">
      <alignment vertical="center"/>
    </xf>
    <xf numFmtId="3" fontId="67" fillId="7" borderId="8" xfId="1" applyNumberFormat="1" applyFont="1" applyFill="1" applyBorder="1" applyAlignment="1">
      <alignment vertical="center"/>
    </xf>
    <xf numFmtId="3" fontId="67" fillId="7" borderId="1" xfId="1" applyNumberFormat="1" applyFont="1" applyFill="1" applyBorder="1" applyAlignment="1">
      <alignment vertical="center"/>
    </xf>
    <xf numFmtId="3" fontId="67" fillId="7" borderId="10" xfId="1" applyNumberFormat="1" applyFont="1" applyFill="1" applyBorder="1" applyAlignment="1">
      <alignment vertical="center"/>
    </xf>
    <xf numFmtId="3" fontId="67" fillId="7" borderId="26" xfId="1" applyNumberFormat="1" applyFont="1" applyFill="1" applyBorder="1" applyAlignment="1">
      <alignment vertical="center"/>
    </xf>
    <xf numFmtId="3" fontId="67" fillId="7" borderId="6" xfId="1" applyNumberFormat="1" applyFont="1" applyFill="1" applyBorder="1" applyAlignment="1">
      <alignment vertical="center"/>
    </xf>
    <xf numFmtId="3" fontId="67" fillId="7" borderId="12" xfId="1" applyNumberFormat="1" applyFont="1" applyFill="1" applyBorder="1" applyAlignment="1">
      <alignment vertical="center"/>
    </xf>
    <xf numFmtId="3" fontId="51" fillId="8" borderId="9" xfId="1" applyNumberFormat="1" applyFont="1" applyFill="1" applyBorder="1" applyAlignment="1">
      <alignment vertical="center"/>
    </xf>
    <xf numFmtId="3" fontId="51" fillId="8" borderId="31" xfId="1" applyNumberFormat="1" applyFont="1" applyFill="1" applyBorder="1" applyAlignment="1">
      <alignment vertical="center"/>
    </xf>
    <xf numFmtId="3" fontId="51" fillId="8" borderId="32" xfId="1" applyNumberFormat="1" applyFont="1" applyFill="1" applyBorder="1" applyAlignment="1">
      <alignment vertical="center"/>
    </xf>
    <xf numFmtId="3" fontId="51" fillId="8" borderId="33" xfId="1" applyNumberFormat="1" applyFont="1" applyFill="1" applyBorder="1" applyAlignment="1">
      <alignment vertical="center"/>
    </xf>
    <xf numFmtId="3" fontId="51" fillId="8" borderId="34" xfId="1" applyNumberFormat="1" applyFont="1" applyFill="1" applyBorder="1" applyAlignment="1">
      <alignment vertical="center"/>
    </xf>
    <xf numFmtId="3" fontId="51" fillId="8" borderId="13" xfId="1" applyNumberFormat="1" applyFont="1" applyFill="1" applyBorder="1" applyAlignment="1">
      <alignment vertical="center"/>
    </xf>
    <xf numFmtId="3" fontId="43" fillId="10" borderId="12" xfId="1" applyNumberFormat="1" applyFont="1" applyFill="1" applyBorder="1" applyAlignment="1">
      <alignment horizontal="right" vertical="center" indent="1"/>
    </xf>
    <xf numFmtId="4" fontId="49" fillId="7" borderId="20" xfId="1" applyNumberFormat="1" applyFont="1" applyFill="1" applyBorder="1" applyAlignment="1">
      <alignment horizontal="right" vertical="center" indent="1"/>
    </xf>
    <xf numFmtId="4" fontId="49" fillId="7" borderId="21" xfId="1" applyNumberFormat="1" applyFont="1" applyFill="1" applyBorder="1" applyAlignment="1">
      <alignment horizontal="right" vertical="center" indent="1"/>
    </xf>
    <xf numFmtId="4" fontId="49" fillId="7" borderId="24" xfId="1" applyNumberFormat="1" applyFont="1" applyFill="1" applyBorder="1" applyAlignment="1">
      <alignment horizontal="right" vertical="center" indent="1"/>
    </xf>
    <xf numFmtId="4" fontId="49" fillId="7" borderId="22" xfId="1" applyNumberFormat="1" applyFont="1" applyFill="1" applyBorder="1" applyAlignment="1">
      <alignment horizontal="right" vertical="center" indent="1"/>
    </xf>
    <xf numFmtId="4" fontId="49" fillId="7" borderId="23" xfId="1" applyNumberFormat="1" applyFont="1" applyFill="1" applyBorder="1" applyAlignment="1">
      <alignment horizontal="right" vertical="center" indent="1"/>
    </xf>
    <xf numFmtId="4" fontId="49" fillId="7" borderId="19" xfId="1" applyNumberFormat="1" applyFont="1" applyFill="1" applyBorder="1" applyAlignment="1">
      <alignment horizontal="right" vertical="center" indent="1"/>
    </xf>
    <xf numFmtId="4" fontId="49" fillId="6" borderId="1" xfId="1" applyNumberFormat="1" applyFont="1" applyFill="1" applyBorder="1" applyAlignment="1">
      <alignment horizontal="right" vertical="center" indent="1"/>
    </xf>
    <xf numFmtId="4" fontId="49" fillId="6" borderId="10" xfId="1" applyNumberFormat="1" applyFont="1" applyFill="1" applyBorder="1" applyAlignment="1">
      <alignment horizontal="right" vertical="center" indent="1"/>
    </xf>
    <xf numFmtId="4" fontId="49" fillId="6" borderId="25" xfId="1" applyNumberFormat="1" applyFont="1" applyFill="1" applyBorder="1" applyAlignment="1">
      <alignment horizontal="right" vertical="center" indent="1"/>
    </xf>
    <xf numFmtId="4" fontId="49" fillId="6" borderId="26" xfId="1" applyNumberFormat="1" applyFont="1" applyFill="1" applyBorder="1" applyAlignment="1">
      <alignment horizontal="right" vertical="center" indent="1"/>
    </xf>
    <xf numFmtId="4" fontId="49" fillId="6" borderId="6" xfId="1" applyNumberFormat="1" applyFont="1" applyFill="1" applyBorder="1" applyAlignment="1">
      <alignment horizontal="right" vertical="center" indent="1"/>
    </xf>
    <xf numFmtId="4" fontId="49" fillId="6" borderId="12" xfId="1" applyNumberFormat="1" applyFont="1" applyFill="1" applyBorder="1" applyAlignment="1">
      <alignment horizontal="right" vertical="center" indent="1"/>
    </xf>
    <xf numFmtId="4" fontId="49" fillId="6" borderId="8" xfId="1" applyNumberFormat="1" applyFont="1" applyFill="1" applyBorder="1" applyAlignment="1">
      <alignment horizontal="right" vertical="center" indent="1"/>
    </xf>
    <xf numFmtId="4" fontId="49" fillId="0" borderId="1" xfId="1" applyNumberFormat="1" applyFont="1" applyFill="1" applyBorder="1" applyAlignment="1">
      <alignment horizontal="right" vertical="center" indent="1"/>
    </xf>
    <xf numFmtId="4" fontId="49" fillId="0" borderId="10" xfId="1" applyNumberFormat="1" applyFont="1" applyFill="1" applyBorder="1" applyAlignment="1">
      <alignment horizontal="right" vertical="center" indent="1"/>
    </xf>
    <xf numFmtId="4" fontId="49" fillId="0" borderId="25" xfId="1" applyNumberFormat="1" applyFont="1" applyFill="1" applyBorder="1" applyAlignment="1">
      <alignment horizontal="right" vertical="center" indent="1"/>
    </xf>
    <xf numFmtId="4" fontId="49" fillId="0" borderId="26" xfId="1" applyNumberFormat="1" applyFont="1" applyFill="1" applyBorder="1" applyAlignment="1">
      <alignment horizontal="right" vertical="center" indent="1"/>
    </xf>
    <xf numFmtId="4" fontId="49" fillId="0" borderId="6" xfId="1" applyNumberFormat="1" applyFont="1" applyFill="1" applyBorder="1" applyAlignment="1">
      <alignment horizontal="right" vertical="center" indent="1"/>
    </xf>
    <xf numFmtId="4" fontId="49" fillId="0" borderId="12" xfId="1" applyNumberFormat="1" applyFont="1" applyFill="1" applyBorder="1" applyAlignment="1">
      <alignment horizontal="right" vertical="center" indent="1"/>
    </xf>
    <xf numFmtId="4" fontId="49" fillId="0" borderId="8" xfId="1" applyNumberFormat="1" applyFont="1" applyFill="1" applyBorder="1" applyAlignment="1">
      <alignment horizontal="right" vertical="center" indent="1"/>
    </xf>
    <xf numFmtId="4" fontId="45" fillId="0" borderId="6" xfId="0" applyNumberFormat="1" applyFont="1" applyBorder="1" applyAlignment="1">
      <alignment horizontal="right" vertical="center" indent="1"/>
    </xf>
    <xf numFmtId="4" fontId="45" fillId="0" borderId="1" xfId="0" applyNumberFormat="1" applyFont="1" applyBorder="1" applyAlignment="1">
      <alignment horizontal="right" vertical="center" indent="1"/>
    </xf>
    <xf numFmtId="4" fontId="45" fillId="0" borderId="26" xfId="0" applyNumberFormat="1" applyFont="1" applyBorder="1" applyAlignment="1">
      <alignment horizontal="right" vertical="center" indent="1"/>
    </xf>
    <xf numFmtId="4" fontId="45" fillId="0" borderId="8" xfId="0" applyNumberFormat="1" applyFont="1" applyBorder="1" applyAlignment="1">
      <alignment horizontal="right" vertical="center" indent="1"/>
    </xf>
    <xf numFmtId="4" fontId="43" fillId="0" borderId="6" xfId="0" applyNumberFormat="1" applyFont="1" applyBorder="1" applyAlignment="1">
      <alignment horizontal="right" vertical="center" indent="1"/>
    </xf>
    <xf numFmtId="4" fontId="43" fillId="0" borderId="1" xfId="0" applyNumberFormat="1" applyFont="1" applyBorder="1" applyAlignment="1">
      <alignment horizontal="right" vertical="center" indent="1"/>
    </xf>
    <xf numFmtId="4" fontId="43" fillId="0" borderId="26" xfId="0" applyNumberFormat="1" applyFont="1" applyBorder="1" applyAlignment="1">
      <alignment horizontal="right" vertical="center" indent="1"/>
    </xf>
    <xf numFmtId="4" fontId="43" fillId="0" borderId="8" xfId="0" applyNumberFormat="1" applyFont="1" applyBorder="1" applyAlignment="1">
      <alignment horizontal="right" vertical="center" indent="1"/>
    </xf>
    <xf numFmtId="4" fontId="49" fillId="7" borderId="8" xfId="1" applyNumberFormat="1" applyFont="1" applyFill="1" applyBorder="1" applyAlignment="1">
      <alignment horizontal="right" vertical="center" indent="1"/>
    </xf>
    <xf numFmtId="4" fontId="49" fillId="7" borderId="1" xfId="1" applyNumberFormat="1" applyFont="1" applyFill="1" applyBorder="1" applyAlignment="1">
      <alignment horizontal="right" vertical="center" indent="1"/>
    </xf>
    <xf numFmtId="4" fontId="49" fillId="7" borderId="10" xfId="1" applyNumberFormat="1" applyFont="1" applyFill="1" applyBorder="1" applyAlignment="1">
      <alignment horizontal="right" vertical="center" indent="1"/>
    </xf>
    <xf numFmtId="4" fontId="49" fillId="7" borderId="26" xfId="1" applyNumberFormat="1" applyFont="1" applyFill="1" applyBorder="1" applyAlignment="1">
      <alignment horizontal="right" vertical="center" indent="1"/>
    </xf>
    <xf numFmtId="4" fontId="49" fillId="7" borderId="6" xfId="1" applyNumberFormat="1" applyFont="1" applyFill="1" applyBorder="1" applyAlignment="1">
      <alignment horizontal="right" vertical="center" indent="1"/>
    </xf>
    <xf numFmtId="4" fontId="49" fillId="7" borderId="12" xfId="1" applyNumberFormat="1" applyFont="1" applyFill="1" applyBorder="1" applyAlignment="1">
      <alignment horizontal="right" vertical="center" indent="1"/>
    </xf>
    <xf numFmtId="4" fontId="43" fillId="0" borderId="27" xfId="0" applyNumberFormat="1" applyFont="1" applyBorder="1" applyAlignment="1">
      <alignment horizontal="right" vertical="center" indent="1"/>
    </xf>
    <xf numFmtId="4" fontId="43" fillId="0" borderId="28" xfId="0" applyNumberFormat="1" applyFont="1" applyBorder="1" applyAlignment="1">
      <alignment horizontal="right" vertical="center" indent="1"/>
    </xf>
    <xf numFmtId="4" fontId="43" fillId="0" borderId="29" xfId="0" applyNumberFormat="1" applyFont="1" applyBorder="1" applyAlignment="1">
      <alignment horizontal="right" vertical="center" indent="1"/>
    </xf>
    <xf numFmtId="4" fontId="43" fillId="0" borderId="30" xfId="0" applyNumberFormat="1" applyFont="1" applyBorder="1" applyAlignment="1">
      <alignment horizontal="right" vertical="center" indent="1"/>
    </xf>
    <xf numFmtId="4" fontId="49" fillId="8" borderId="9" xfId="1" applyNumberFormat="1" applyFont="1" applyFill="1" applyBorder="1" applyAlignment="1">
      <alignment horizontal="right" vertical="center" indent="1"/>
    </xf>
    <xf numFmtId="4" fontId="49" fillId="8" borderId="31" xfId="1" applyNumberFormat="1" applyFont="1" applyFill="1" applyBorder="1" applyAlignment="1">
      <alignment horizontal="right" vertical="center" indent="1"/>
    </xf>
    <xf numFmtId="4" fontId="49" fillId="8" borderId="32" xfId="1" applyNumberFormat="1" applyFont="1" applyFill="1" applyBorder="1" applyAlignment="1">
      <alignment horizontal="right" vertical="center" indent="1"/>
    </xf>
    <xf numFmtId="4" fontId="49" fillId="8" borderId="33" xfId="1" applyNumberFormat="1" applyFont="1" applyFill="1" applyBorder="1" applyAlignment="1">
      <alignment horizontal="right" vertical="center" indent="1"/>
    </xf>
    <xf numFmtId="4" fontId="49" fillId="8" borderId="34" xfId="1" applyNumberFormat="1" applyFont="1" applyFill="1" applyBorder="1" applyAlignment="1">
      <alignment horizontal="right" vertical="center" indent="1"/>
    </xf>
    <xf numFmtId="4" fontId="49" fillId="8" borderId="13" xfId="1" applyNumberFormat="1" applyFont="1" applyFill="1" applyBorder="1" applyAlignment="1">
      <alignment horizontal="right" vertical="center" indent="1"/>
    </xf>
    <xf numFmtId="0" fontId="46" fillId="0" borderId="27" xfId="0" applyFont="1" applyBorder="1" applyAlignment="1">
      <alignment horizontal="center" vertical="center" wrapText="1" shrinkToFit="1"/>
    </xf>
    <xf numFmtId="0" fontId="46" fillId="0" borderId="28" xfId="0" applyFont="1" applyBorder="1" applyAlignment="1">
      <alignment horizontal="center" vertical="center" wrapText="1" shrinkToFit="1"/>
    </xf>
    <xf numFmtId="0" fontId="46" fillId="0" borderId="75" xfId="0" applyFont="1" applyBorder="1" applyAlignment="1">
      <alignment horizontal="center" vertical="center" wrapText="1" shrinkToFit="1"/>
    </xf>
    <xf numFmtId="0" fontId="46" fillId="0" borderId="29" xfId="0" applyFont="1" applyFill="1" applyBorder="1" applyAlignment="1">
      <alignment horizontal="center" vertical="center" wrapText="1" shrinkToFit="1"/>
    </xf>
    <xf numFmtId="0" fontId="46" fillId="0" borderId="27" xfId="0" applyFont="1" applyFill="1" applyBorder="1" applyAlignment="1">
      <alignment horizontal="center" vertical="center" wrapText="1" shrinkToFit="1"/>
    </xf>
    <xf numFmtId="0" fontId="46" fillId="0" borderId="16" xfId="0" applyFont="1" applyFill="1" applyBorder="1" applyAlignment="1">
      <alignment horizontal="center" vertical="center" wrapText="1" shrinkToFit="1"/>
    </xf>
    <xf numFmtId="0" fontId="45" fillId="7" borderId="35" xfId="0" applyFont="1" applyFill="1" applyBorder="1" applyAlignment="1">
      <alignment horizontal="left" vertical="center"/>
    </xf>
    <xf numFmtId="3" fontId="49" fillId="7" borderId="37" xfId="1" applyNumberFormat="1" applyFont="1" applyFill="1" applyBorder="1" applyAlignment="1">
      <alignment horizontal="right" vertical="center" indent="1"/>
    </xf>
    <xf numFmtId="3" fontId="49" fillId="7" borderId="39" xfId="1" applyNumberFormat="1" applyFont="1" applyFill="1" applyBorder="1" applyAlignment="1">
      <alignment horizontal="right" vertical="center" indent="1"/>
    </xf>
    <xf numFmtId="3" fontId="49" fillId="7" borderId="41" xfId="1" applyNumberFormat="1" applyFont="1" applyFill="1" applyBorder="1" applyAlignment="1">
      <alignment horizontal="right" vertical="center" indent="1"/>
    </xf>
    <xf numFmtId="3" fontId="49" fillId="6" borderId="51" xfId="1" applyNumberFormat="1" applyFont="1" applyFill="1" applyBorder="1" applyAlignment="1">
      <alignment horizontal="right" vertical="center" indent="1"/>
    </xf>
    <xf numFmtId="0" fontId="43" fillId="0" borderId="35" xfId="0" applyFont="1" applyBorder="1" applyAlignment="1">
      <alignment horizontal="left" vertical="center"/>
    </xf>
    <xf numFmtId="0" fontId="43" fillId="0" borderId="36" xfId="0" applyFont="1" applyBorder="1" applyAlignment="1">
      <alignment horizontal="left" vertical="center"/>
    </xf>
    <xf numFmtId="0" fontId="43" fillId="6" borderId="35" xfId="0" applyFont="1" applyFill="1" applyBorder="1" applyAlignment="1">
      <alignment horizontal="left" vertical="center"/>
    </xf>
    <xf numFmtId="0" fontId="43" fillId="7" borderId="8" xfId="0" applyFont="1" applyFill="1" applyBorder="1" applyAlignment="1">
      <alignment horizontal="center" vertical="center"/>
    </xf>
    <xf numFmtId="0" fontId="48" fillId="0" borderId="35" xfId="0" applyFont="1" applyFill="1" applyBorder="1" applyAlignment="1">
      <alignment horizontal="left" vertical="center"/>
    </xf>
    <xf numFmtId="0" fontId="48" fillId="0" borderId="35" xfId="0" applyFont="1" applyBorder="1" applyAlignment="1">
      <alignment horizontal="left" vertical="center"/>
    </xf>
    <xf numFmtId="0" fontId="45" fillId="6" borderId="74" xfId="0" applyFont="1" applyFill="1" applyBorder="1" applyAlignment="1">
      <alignment horizontal="left" vertical="center"/>
    </xf>
    <xf numFmtId="0" fontId="45" fillId="6" borderId="35" xfId="0" applyFont="1" applyFill="1" applyBorder="1" applyAlignment="1">
      <alignment horizontal="left" vertical="center"/>
    </xf>
    <xf numFmtId="3" fontId="43" fillId="0" borderId="3" xfId="0" applyNumberFormat="1" applyFont="1" applyBorder="1" applyAlignment="1">
      <alignment horizontal="right" vertical="center" indent="1"/>
    </xf>
    <xf numFmtId="3" fontId="49" fillId="0" borderId="3" xfId="1" applyNumberFormat="1" applyFont="1" applyFill="1" applyBorder="1" applyAlignment="1">
      <alignment horizontal="right" vertical="center" indent="1"/>
    </xf>
    <xf numFmtId="3" fontId="49" fillId="0" borderId="4" xfId="1" applyNumberFormat="1" applyFont="1" applyFill="1" applyBorder="1" applyAlignment="1">
      <alignment horizontal="right" vertical="center" indent="1"/>
    </xf>
    <xf numFmtId="3" fontId="49" fillId="8" borderId="117" xfId="1" applyNumberFormat="1" applyFont="1" applyFill="1" applyBorder="1" applyAlignment="1">
      <alignment horizontal="right" vertical="center" indent="1"/>
    </xf>
    <xf numFmtId="3" fontId="49" fillId="8" borderId="118" xfId="1" applyNumberFormat="1" applyFont="1" applyFill="1" applyBorder="1" applyAlignment="1">
      <alignment horizontal="right" vertical="center" indent="1"/>
    </xf>
    <xf numFmtId="3" fontId="49" fillId="8" borderId="119" xfId="1" applyNumberFormat="1" applyFont="1" applyFill="1" applyBorder="1" applyAlignment="1">
      <alignment horizontal="right" vertical="center" indent="1"/>
    </xf>
    <xf numFmtId="3" fontId="49" fillId="8" borderId="120" xfId="1" applyNumberFormat="1" applyFont="1" applyFill="1" applyBorder="1" applyAlignment="1">
      <alignment horizontal="right" vertical="center" indent="1"/>
    </xf>
    <xf numFmtId="3" fontId="49" fillId="8" borderId="121" xfId="1" applyNumberFormat="1" applyFont="1" applyFill="1" applyBorder="1" applyAlignment="1">
      <alignment horizontal="right" vertical="center" indent="1"/>
    </xf>
    <xf numFmtId="3" fontId="49" fillId="8" borderId="122" xfId="1" applyNumberFormat="1" applyFont="1" applyFill="1" applyBorder="1" applyAlignment="1">
      <alignment horizontal="right" vertical="center" indent="1"/>
    </xf>
    <xf numFmtId="3" fontId="49" fillId="7" borderId="53" xfId="1" applyNumberFormat="1" applyFont="1" applyFill="1" applyBorder="1" applyAlignment="1">
      <alignment horizontal="right" vertical="center" indent="1"/>
    </xf>
    <xf numFmtId="3" fontId="49" fillId="7" borderId="20" xfId="1" applyNumberFormat="1" applyFont="1" applyFill="1" applyBorder="1" applyAlignment="1">
      <alignment horizontal="right" vertical="center"/>
    </xf>
    <xf numFmtId="3" fontId="49" fillId="7" borderId="21" xfId="1" applyNumberFormat="1" applyFont="1" applyFill="1" applyBorder="1" applyAlignment="1">
      <alignment horizontal="right" vertical="center"/>
    </xf>
    <xf numFmtId="3" fontId="49" fillId="7" borderId="24" xfId="1" applyNumberFormat="1" applyFont="1" applyFill="1" applyBorder="1" applyAlignment="1">
      <alignment horizontal="right" vertical="center"/>
    </xf>
    <xf numFmtId="3" fontId="49" fillId="7" borderId="22" xfId="1" applyNumberFormat="1" applyFont="1" applyFill="1" applyBorder="1" applyAlignment="1">
      <alignment horizontal="right" vertical="center"/>
    </xf>
    <xf numFmtId="3" fontId="49" fillId="7" borderId="23" xfId="1" applyNumberFormat="1" applyFont="1" applyFill="1" applyBorder="1" applyAlignment="1">
      <alignment horizontal="right" vertical="center"/>
    </xf>
    <xf numFmtId="3" fontId="49" fillId="0" borderId="56" xfId="1" applyNumberFormat="1" applyFont="1" applyFill="1" applyBorder="1" applyAlignment="1">
      <alignment horizontal="right" vertical="center"/>
    </xf>
    <xf numFmtId="3" fontId="49" fillId="6" borderId="42" xfId="1" applyNumberFormat="1" applyFont="1" applyFill="1" applyBorder="1" applyAlignment="1">
      <alignment horizontal="right" vertical="center"/>
    </xf>
    <xf numFmtId="3" fontId="43" fillId="0" borderId="0" xfId="0" applyNumberFormat="1" applyFont="1" applyAlignment="1">
      <alignment vertical="center"/>
    </xf>
    <xf numFmtId="3" fontId="49" fillId="0" borderId="42" xfId="1" applyNumberFormat="1" applyFont="1" applyFill="1" applyBorder="1" applyAlignment="1">
      <alignment horizontal="right" vertical="center"/>
    </xf>
    <xf numFmtId="3" fontId="45" fillId="9" borderId="1" xfId="0" applyNumberFormat="1" applyFont="1" applyFill="1" applyBorder="1" applyAlignment="1">
      <alignment horizontal="right" vertical="center"/>
    </xf>
    <xf numFmtId="3" fontId="50" fillId="9" borderId="1" xfId="0" applyNumberFormat="1" applyFont="1" applyFill="1" applyBorder="1" applyAlignment="1">
      <alignment horizontal="right" vertical="center"/>
    </xf>
    <xf numFmtId="3" fontId="45" fillId="9" borderId="43" xfId="0" applyNumberFormat="1" applyFont="1" applyFill="1" applyBorder="1" applyAlignment="1">
      <alignment horizontal="right" vertical="center"/>
    </xf>
    <xf numFmtId="3" fontId="50" fillId="0" borderId="1" xfId="0" applyNumberFormat="1" applyFont="1" applyBorder="1" applyAlignment="1">
      <alignment horizontal="right" vertical="center"/>
    </xf>
    <xf numFmtId="3" fontId="45" fillId="0" borderId="42" xfId="0" applyNumberFormat="1" applyFont="1" applyBorder="1" applyAlignment="1">
      <alignment horizontal="right" vertical="center"/>
    </xf>
    <xf numFmtId="3" fontId="45" fillId="0" borderId="56" xfId="0" applyNumberFormat="1" applyFont="1" applyFill="1" applyBorder="1" applyAlignment="1">
      <alignment horizontal="right" vertical="center"/>
    </xf>
    <xf numFmtId="3" fontId="49" fillId="0" borderId="1" xfId="0" applyNumberFormat="1" applyFont="1" applyBorder="1" applyAlignment="1">
      <alignment horizontal="right" vertical="center"/>
    </xf>
    <xf numFmtId="3" fontId="43" fillId="0" borderId="42" xfId="0" applyNumberFormat="1" applyFont="1" applyBorder="1" applyAlignment="1">
      <alignment horizontal="right" vertical="center"/>
    </xf>
    <xf numFmtId="3" fontId="43" fillId="0" borderId="56" xfId="0" applyNumberFormat="1" applyFont="1" applyFill="1" applyBorder="1" applyAlignment="1">
      <alignment horizontal="right" vertical="center"/>
    </xf>
    <xf numFmtId="3" fontId="50" fillId="0" borderId="6" xfId="0" applyNumberFormat="1" applyFont="1" applyBorder="1" applyAlignment="1">
      <alignment horizontal="right" vertical="center"/>
    </xf>
    <xf numFmtId="3" fontId="50" fillId="0" borderId="42" xfId="1" applyNumberFormat="1" applyFont="1" applyFill="1" applyBorder="1" applyAlignment="1">
      <alignment horizontal="right" vertical="center"/>
    </xf>
    <xf numFmtId="3" fontId="50" fillId="0" borderId="56" xfId="1" applyNumberFormat="1" applyFont="1" applyFill="1" applyBorder="1" applyAlignment="1">
      <alignment horizontal="right" vertical="center"/>
    </xf>
    <xf numFmtId="3" fontId="43" fillId="0" borderId="6" xfId="0" applyNumberFormat="1" applyFont="1" applyFill="1" applyBorder="1" applyAlignment="1">
      <alignment horizontal="right" vertical="center"/>
    </xf>
    <xf numFmtId="3" fontId="49" fillId="0" borderId="6" xfId="0" applyNumberFormat="1" applyFont="1" applyBorder="1" applyAlignment="1">
      <alignment horizontal="right" vertical="center"/>
    </xf>
    <xf numFmtId="3" fontId="50" fillId="0" borderId="6" xfId="0" applyNumberFormat="1" applyFont="1" applyFill="1" applyBorder="1" applyAlignment="1">
      <alignment horizontal="right" vertical="center"/>
    </xf>
    <xf numFmtId="3" fontId="45" fillId="0" borderId="6" xfId="0" applyNumberFormat="1" applyFont="1" applyFill="1" applyBorder="1" applyAlignment="1">
      <alignment horizontal="right" vertical="center"/>
    </xf>
    <xf numFmtId="3" fontId="49" fillId="0" borderId="27" xfId="0" applyNumberFormat="1" applyFont="1" applyBorder="1" applyAlignment="1">
      <alignment horizontal="right" vertical="center"/>
    </xf>
    <xf numFmtId="3" fontId="49" fillId="7" borderId="51" xfId="1" applyNumberFormat="1" applyFont="1" applyFill="1" applyBorder="1" applyAlignment="1">
      <alignment horizontal="right" vertical="center"/>
    </xf>
    <xf numFmtId="3" fontId="49" fillId="7" borderId="6" xfId="1" applyNumberFormat="1" applyFont="1" applyFill="1" applyBorder="1" applyAlignment="1">
      <alignment horizontal="right" vertical="center"/>
    </xf>
    <xf numFmtId="3" fontId="49" fillId="6" borderId="47" xfId="1" applyNumberFormat="1" applyFont="1" applyFill="1" applyBorder="1" applyAlignment="1">
      <alignment horizontal="right" vertical="center"/>
    </xf>
    <xf numFmtId="3" fontId="43" fillId="0" borderId="29" xfId="0" applyNumberFormat="1" applyFont="1" applyFill="1" applyBorder="1" applyAlignment="1">
      <alignment horizontal="right" vertical="center"/>
    </xf>
    <xf numFmtId="3" fontId="43" fillId="0" borderId="27" xfId="0" applyNumberFormat="1" applyFont="1" applyFill="1" applyBorder="1" applyAlignment="1">
      <alignment horizontal="right" vertical="center"/>
    </xf>
    <xf numFmtId="3" fontId="49" fillId="0" borderId="44" xfId="0" applyNumberFormat="1" applyFont="1" applyFill="1" applyBorder="1" applyAlignment="1">
      <alignment horizontal="right" vertical="center"/>
    </xf>
    <xf numFmtId="3" fontId="49" fillId="0" borderId="56" xfId="0" applyNumberFormat="1" applyFont="1" applyFill="1" applyBorder="1" applyAlignment="1">
      <alignment horizontal="right" vertical="center"/>
    </xf>
    <xf numFmtId="3" fontId="49" fillId="0" borderId="29" xfId="0" applyNumberFormat="1" applyFont="1" applyFill="1" applyBorder="1" applyAlignment="1">
      <alignment horizontal="right" vertical="center"/>
    </xf>
    <xf numFmtId="3" fontId="49" fillId="0" borderId="8" xfId="0" applyNumberFormat="1" applyFont="1" applyBorder="1" applyAlignment="1">
      <alignment horizontal="right" vertical="center"/>
    </xf>
    <xf numFmtId="3" fontId="49" fillId="6" borderId="30" xfId="0" applyNumberFormat="1" applyFont="1" applyFill="1" applyBorder="1" applyAlignment="1">
      <alignment horizontal="right" vertical="center"/>
    </xf>
    <xf numFmtId="3" fontId="49" fillId="6" borderId="27" xfId="0" applyNumberFormat="1" applyFont="1" applyFill="1" applyBorder="1" applyAlignment="1">
      <alignment horizontal="right" vertical="center"/>
    </xf>
    <xf numFmtId="3" fontId="49" fillId="6" borderId="29" xfId="0" applyNumberFormat="1" applyFont="1" applyFill="1" applyBorder="1" applyAlignment="1">
      <alignment horizontal="right" vertical="center"/>
    </xf>
    <xf numFmtId="3" fontId="49" fillId="0" borderId="44" xfId="0" applyNumberFormat="1" applyFont="1" applyBorder="1" applyAlignment="1">
      <alignment horizontal="right" vertical="center"/>
    </xf>
    <xf numFmtId="3" fontId="49" fillId="6" borderId="8" xfId="0" applyNumberFormat="1" applyFont="1" applyFill="1" applyBorder="1" applyAlignment="1">
      <alignment horizontal="right" vertical="center"/>
    </xf>
    <xf numFmtId="3" fontId="49" fillId="6" borderId="1" xfId="0" applyNumberFormat="1" applyFont="1" applyFill="1" applyBorder="1" applyAlignment="1">
      <alignment horizontal="right" vertical="center"/>
    </xf>
    <xf numFmtId="3" fontId="49" fillId="7" borderId="26" xfId="1" applyNumberFormat="1" applyFont="1" applyFill="1" applyBorder="1" applyAlignment="1">
      <alignment horizontal="right" vertical="center"/>
    </xf>
    <xf numFmtId="3" fontId="49" fillId="7" borderId="12" xfId="1" applyNumberFormat="1" applyFont="1" applyFill="1" applyBorder="1" applyAlignment="1">
      <alignment horizontal="right" vertical="center"/>
    </xf>
    <xf numFmtId="3" fontId="49" fillId="8" borderId="31" xfId="1" applyNumberFormat="1" applyFont="1" applyFill="1" applyBorder="1" applyAlignment="1">
      <alignment horizontal="right" vertical="center"/>
    </xf>
    <xf numFmtId="3" fontId="49" fillId="8" borderId="33" xfId="1" applyNumberFormat="1" applyFont="1" applyFill="1" applyBorder="1" applyAlignment="1">
      <alignment horizontal="right" vertical="center"/>
    </xf>
    <xf numFmtId="3" fontId="49" fillId="8" borderId="34" xfId="1" applyNumberFormat="1" applyFont="1" applyFill="1" applyBorder="1" applyAlignment="1">
      <alignment horizontal="right" vertical="center"/>
    </xf>
    <xf numFmtId="3" fontId="49" fillId="8" borderId="13" xfId="1" applyNumberFormat="1" applyFont="1" applyFill="1" applyBorder="1" applyAlignment="1">
      <alignment horizontal="right" vertical="center"/>
    </xf>
    <xf numFmtId="3" fontId="49" fillId="8" borderId="123" xfId="1" applyNumberFormat="1" applyFont="1" applyFill="1" applyBorder="1" applyAlignment="1">
      <alignment horizontal="right" vertical="center"/>
    </xf>
    <xf numFmtId="0" fontId="22" fillId="0" borderId="1" xfId="0" applyFont="1" applyBorder="1" applyAlignment="1">
      <alignment horizontal="center" vertical="center" wrapText="1" shrinkToFit="1"/>
    </xf>
    <xf numFmtId="0" fontId="22" fillId="0" borderId="1" xfId="0" applyFont="1" applyBorder="1" applyAlignment="1">
      <alignment horizontal="center" vertical="center"/>
    </xf>
    <xf numFmtId="0" fontId="22" fillId="0" borderId="1" xfId="0" applyFont="1" applyFill="1" applyBorder="1" applyAlignment="1">
      <alignment horizontal="center" vertical="center" wrapText="1" shrinkToFit="1"/>
    </xf>
    <xf numFmtId="0" fontId="22" fillId="0" borderId="1" xfId="0" applyFont="1" applyBorder="1" applyAlignment="1">
      <alignment horizontal="left" vertical="center"/>
    </xf>
    <xf numFmtId="0" fontId="2" fillId="0" borderId="0" xfId="1"/>
    <xf numFmtId="0" fontId="22" fillId="0" borderId="0" xfId="0" applyFont="1" applyBorder="1" applyAlignment="1">
      <alignment horizontal="center" vertical="center" wrapText="1" shrinkToFit="1"/>
    </xf>
    <xf numFmtId="0" fontId="22" fillId="0" borderId="0" xfId="0" applyFont="1" applyFill="1" applyBorder="1" applyAlignment="1">
      <alignment horizontal="center" vertical="center" wrapText="1" shrinkToFit="1"/>
    </xf>
    <xf numFmtId="3" fontId="2" fillId="7" borderId="0" xfId="1" applyNumberFormat="1" applyFont="1" applyFill="1" applyBorder="1" applyAlignment="1">
      <alignment horizontal="right" vertical="center" indent="1"/>
    </xf>
    <xf numFmtId="3" fontId="2" fillId="6" borderId="0" xfId="1" applyNumberFormat="1" applyFont="1" applyFill="1" applyBorder="1" applyAlignment="1">
      <alignment horizontal="right" vertical="center" indent="1"/>
    </xf>
    <xf numFmtId="3" fontId="2" fillId="0" borderId="0" xfId="1" applyNumberFormat="1" applyFont="1" applyFill="1" applyBorder="1" applyAlignment="1">
      <alignment horizontal="right" vertical="center" indent="1"/>
    </xf>
    <xf numFmtId="3" fontId="25" fillId="8" borderId="0" xfId="1" applyNumberFormat="1" applyFont="1" applyFill="1" applyBorder="1" applyAlignment="1">
      <alignment horizontal="right" vertical="center" indent="1"/>
    </xf>
    <xf numFmtId="3" fontId="43" fillId="0" borderId="44" xfId="0" applyNumberFormat="1" applyFont="1" applyBorder="1" applyAlignment="1">
      <alignment horizontal="right" vertical="center"/>
    </xf>
    <xf numFmtId="0" fontId="46" fillId="0" borderId="5" xfId="0" applyFont="1" applyBorder="1" applyAlignment="1">
      <alignment horizontal="center" vertical="center" wrapText="1" shrinkToFit="1"/>
    </xf>
    <xf numFmtId="3" fontId="50" fillId="7" borderId="5" xfId="1" applyNumberFormat="1" applyFont="1" applyFill="1" applyBorder="1" applyAlignment="1">
      <alignment horizontal="right" vertical="center" indent="1"/>
    </xf>
    <xf numFmtId="3" fontId="50" fillId="6" borderId="5" xfId="1" applyNumberFormat="1" applyFont="1" applyFill="1" applyBorder="1" applyAlignment="1">
      <alignment horizontal="right" vertical="center" indent="1"/>
    </xf>
    <xf numFmtId="3" fontId="49" fillId="0" borderId="5" xfId="1" applyNumberFormat="1" applyFont="1" applyFill="1" applyBorder="1" applyAlignment="1">
      <alignment horizontal="right" vertical="center" indent="1"/>
    </xf>
    <xf numFmtId="3" fontId="49" fillId="6" borderId="5" xfId="1" applyNumberFormat="1" applyFont="1" applyFill="1" applyBorder="1" applyAlignment="1">
      <alignment horizontal="right" vertical="center" indent="1"/>
    </xf>
    <xf numFmtId="3" fontId="45" fillId="0" borderId="0" xfId="0" applyNumberFormat="1" applyFont="1" applyBorder="1" applyAlignment="1">
      <alignment horizontal="right" vertical="center" indent="1"/>
    </xf>
    <xf numFmtId="3" fontId="50" fillId="0" borderId="5" xfId="1" applyNumberFormat="1" applyFont="1" applyFill="1" applyBorder="1" applyAlignment="1">
      <alignment horizontal="right" vertical="center" indent="1"/>
    </xf>
    <xf numFmtId="3" fontId="50" fillId="7" borderId="0" xfId="1" applyNumberFormat="1" applyFont="1" applyFill="1" applyBorder="1" applyAlignment="1">
      <alignment horizontal="right" vertical="center" indent="1"/>
    </xf>
    <xf numFmtId="3" fontId="50" fillId="6" borderId="0" xfId="1" applyNumberFormat="1" applyFont="1" applyFill="1" applyBorder="1" applyAlignment="1">
      <alignment horizontal="right" vertical="center" indent="1"/>
    </xf>
    <xf numFmtId="3" fontId="49" fillId="8" borderId="0" xfId="1" applyNumberFormat="1" applyFont="1" applyFill="1" applyBorder="1" applyAlignment="1">
      <alignment horizontal="right" vertical="center" indent="1"/>
    </xf>
    <xf numFmtId="0" fontId="32" fillId="0" borderId="5" xfId="0" applyFont="1" applyFill="1" applyBorder="1" applyAlignment="1">
      <alignment horizontal="center" vertical="center" wrapText="1" shrinkToFit="1"/>
    </xf>
    <xf numFmtId="0" fontId="32" fillId="0" borderId="6" xfId="0" applyFont="1" applyBorder="1" applyAlignment="1">
      <alignment horizontal="center" vertical="center"/>
    </xf>
    <xf numFmtId="0" fontId="32" fillId="0" borderId="1" xfId="0" applyFont="1" applyBorder="1" applyAlignment="1">
      <alignment horizontal="center" vertical="center"/>
    </xf>
    <xf numFmtId="0" fontId="32" fillId="0" borderId="10" xfId="0" applyFont="1" applyBorder="1" applyAlignment="1">
      <alignment horizontal="center" vertical="center"/>
    </xf>
    <xf numFmtId="0" fontId="32" fillId="0" borderId="2" xfId="0" applyFont="1" applyBorder="1" applyAlignment="1">
      <alignment horizontal="center" vertical="center" wrapText="1" shrinkToFit="1"/>
    </xf>
    <xf numFmtId="0" fontId="32" fillId="0" borderId="3" xfId="0" applyFont="1" applyBorder="1" applyAlignment="1">
      <alignment horizontal="center" vertical="center" wrapText="1" shrinkToFit="1"/>
    </xf>
    <xf numFmtId="0" fontId="32" fillId="0" borderId="11" xfId="0" applyFont="1" applyBorder="1" applyAlignment="1">
      <alignment horizontal="center" vertical="center" wrapText="1" shrinkToFit="1"/>
    </xf>
    <xf numFmtId="0" fontId="32" fillId="0" borderId="14" xfId="0" applyFont="1" applyFill="1" applyBorder="1" applyAlignment="1">
      <alignment horizontal="center" vertical="center" wrapText="1" shrinkToFit="1"/>
    </xf>
    <xf numFmtId="0" fontId="32" fillId="0" borderId="2" xfId="0" applyFont="1" applyFill="1" applyBorder="1" applyAlignment="1">
      <alignment horizontal="center" vertical="center" wrapText="1" shrinkToFit="1"/>
    </xf>
    <xf numFmtId="0" fontId="32" fillId="0" borderId="4" xfId="0" applyFont="1" applyFill="1" applyBorder="1" applyAlignment="1">
      <alignment horizontal="center" vertical="center" wrapText="1" shrinkToFit="1"/>
    </xf>
    <xf numFmtId="0" fontId="32" fillId="0" borderId="7" xfId="0" applyFont="1" applyFill="1" applyBorder="1" applyAlignment="1">
      <alignment horizontal="center" vertical="center" wrapText="1" shrinkToFit="1"/>
    </xf>
    <xf numFmtId="3" fontId="49" fillId="6" borderId="27" xfId="1" applyNumberFormat="1" applyFont="1" applyFill="1" applyBorder="1" applyAlignment="1">
      <alignment horizontal="right" vertical="center"/>
    </xf>
    <xf numFmtId="3" fontId="49" fillId="6" borderId="28" xfId="1" applyNumberFormat="1" applyFont="1" applyFill="1" applyBorder="1" applyAlignment="1">
      <alignment horizontal="right" vertical="center"/>
    </xf>
    <xf numFmtId="3" fontId="49" fillId="6" borderId="29" xfId="1" applyNumberFormat="1" applyFont="1" applyFill="1" applyBorder="1" applyAlignment="1">
      <alignment horizontal="right" vertical="center"/>
    </xf>
    <xf numFmtId="3" fontId="49" fillId="6" borderId="30" xfId="1" applyNumberFormat="1" applyFont="1" applyFill="1" applyBorder="1" applyAlignment="1">
      <alignment horizontal="right" vertical="center"/>
    </xf>
    <xf numFmtId="3" fontId="50" fillId="7" borderId="5" xfId="1" applyNumberFormat="1" applyFont="1" applyFill="1" applyBorder="1" applyAlignment="1">
      <alignment horizontal="right" vertical="center"/>
    </xf>
    <xf numFmtId="3" fontId="50" fillId="6" borderId="5" xfId="1" applyNumberFormat="1" applyFont="1" applyFill="1" applyBorder="1" applyAlignment="1">
      <alignment horizontal="right" vertical="center"/>
    </xf>
    <xf numFmtId="3" fontId="49" fillId="0" borderId="5" xfId="1" applyNumberFormat="1" applyFont="1" applyFill="1" applyBorder="1" applyAlignment="1">
      <alignment horizontal="right" vertical="center"/>
    </xf>
    <xf numFmtId="3" fontId="50" fillId="0" borderId="5" xfId="1" applyNumberFormat="1" applyFont="1" applyFill="1" applyBorder="1" applyAlignment="1">
      <alignment horizontal="right" vertical="center"/>
    </xf>
    <xf numFmtId="3" fontId="49" fillId="6" borderId="5" xfId="1" applyNumberFormat="1" applyFont="1" applyFill="1" applyBorder="1" applyAlignment="1">
      <alignment horizontal="right" vertical="center"/>
    </xf>
    <xf numFmtId="3" fontId="50" fillId="8" borderId="0" xfId="1" applyNumberFormat="1" applyFont="1" applyFill="1" applyBorder="1" applyAlignment="1">
      <alignment horizontal="right" vertical="center"/>
    </xf>
    <xf numFmtId="3" fontId="49" fillId="7" borderId="0" xfId="1" applyNumberFormat="1" applyFont="1" applyFill="1" applyBorder="1" applyAlignment="1">
      <alignment horizontal="right" vertical="center" indent="1"/>
    </xf>
    <xf numFmtId="3" fontId="49" fillId="6" borderId="0" xfId="1" applyNumberFormat="1" applyFont="1" applyFill="1" applyBorder="1" applyAlignment="1">
      <alignment horizontal="right" vertical="center" indent="1"/>
    </xf>
    <xf numFmtId="3" fontId="49" fillId="0" borderId="0" xfId="1" applyNumberFormat="1" applyFont="1" applyFill="1" applyBorder="1" applyAlignment="1">
      <alignment horizontal="right" vertical="center" indent="1"/>
    </xf>
    <xf numFmtId="3" fontId="0" fillId="0" borderId="0" xfId="0" applyNumberFormat="1" applyFont="1" applyAlignment="1">
      <alignment vertical="center"/>
    </xf>
    <xf numFmtId="0" fontId="7" fillId="0" borderId="0" xfId="0" applyFont="1" applyAlignment="1">
      <alignment horizontal="left" vertical="center" wrapText="1"/>
    </xf>
    <xf numFmtId="0" fontId="46" fillId="0" borderId="24" xfId="0" applyFont="1" applyFill="1" applyBorder="1" applyAlignment="1">
      <alignment horizontal="left" wrapText="1"/>
    </xf>
    <xf numFmtId="0" fontId="46" fillId="0" borderId="53" xfId="0" applyFont="1" applyFill="1" applyBorder="1" applyAlignment="1">
      <alignment horizontal="left" wrapText="1"/>
    </xf>
    <xf numFmtId="0" fontId="46" fillId="0" borderId="22" xfId="0" applyFont="1" applyBorder="1" applyAlignment="1">
      <alignment horizontal="left" wrapText="1" shrinkToFit="1"/>
    </xf>
    <xf numFmtId="0" fontId="46" fillId="0" borderId="79" xfId="0" applyFont="1" applyBorder="1" applyAlignment="1">
      <alignment horizontal="left" wrapText="1" shrinkToFit="1"/>
    </xf>
    <xf numFmtId="0" fontId="43" fillId="0" borderId="0" xfId="0" applyFont="1" applyAlignment="1">
      <alignment horizontal="left" vertical="center" wrapText="1"/>
    </xf>
    <xf numFmtId="0" fontId="43" fillId="0" borderId="41" xfId="0" applyFont="1" applyBorder="1" applyAlignment="1">
      <alignment horizontal="center" vertical="center"/>
    </xf>
    <xf numFmtId="0" fontId="43" fillId="0" borderId="12" xfId="0" applyFont="1" applyBorder="1" applyAlignment="1">
      <alignment horizontal="center" vertical="center"/>
    </xf>
    <xf numFmtId="0" fontId="43" fillId="0" borderId="4" xfId="0" applyFont="1" applyBorder="1" applyAlignment="1">
      <alignment horizontal="center" vertical="center"/>
    </xf>
    <xf numFmtId="0" fontId="43" fillId="0" borderId="37" xfId="0" applyFont="1" applyBorder="1" applyAlignment="1">
      <alignment horizontal="center" vertical="center" wrapText="1"/>
    </xf>
    <xf numFmtId="0" fontId="43" fillId="0" borderId="8" xfId="0" applyFont="1" applyBorder="1" applyAlignment="1">
      <alignment horizontal="center" vertical="center" wrapText="1"/>
    </xf>
    <xf numFmtId="0" fontId="43" fillId="0" borderId="7" xfId="0" applyFont="1" applyBorder="1" applyAlignment="1">
      <alignment horizontal="center" vertical="center" wrapText="1"/>
    </xf>
    <xf numFmtId="0" fontId="46" fillId="0" borderId="37" xfId="0" applyFont="1" applyBorder="1" applyAlignment="1">
      <alignment horizontal="center" vertical="center" wrapText="1" shrinkToFit="1"/>
    </xf>
    <xf numFmtId="0" fontId="46" fillId="0" borderId="39" xfId="0" applyFont="1" applyBorder="1" applyAlignment="1">
      <alignment horizontal="center" vertical="center" wrapText="1" shrinkToFit="1"/>
    </xf>
    <xf numFmtId="0" fontId="46" fillId="0" borderId="23" xfId="0" applyFont="1" applyBorder="1" applyAlignment="1">
      <alignment horizontal="center" vertical="center" wrapText="1" shrinkToFit="1"/>
    </xf>
    <xf numFmtId="0" fontId="46" fillId="0" borderId="15" xfId="0" applyFont="1" applyBorder="1" applyAlignment="1">
      <alignment horizontal="center" vertical="center" wrapText="1" shrinkToFit="1"/>
    </xf>
    <xf numFmtId="0" fontId="46" fillId="0" borderId="40" xfId="0" applyFont="1" applyBorder="1" applyAlignment="1">
      <alignment horizontal="center" vertical="center" wrapText="1" shrinkToFit="1"/>
    </xf>
    <xf numFmtId="0" fontId="46" fillId="0" borderId="124" xfId="0" applyFont="1" applyBorder="1" applyAlignment="1">
      <alignment horizontal="center" vertical="center" wrapText="1" shrinkToFit="1"/>
    </xf>
    <xf numFmtId="0" fontId="46" fillId="0" borderId="19" xfId="0" applyFont="1" applyBorder="1" applyAlignment="1">
      <alignment horizontal="center" vertical="center" wrapText="1" shrinkToFit="1"/>
    </xf>
    <xf numFmtId="0" fontId="46" fillId="0" borderId="76" xfId="0" applyFont="1" applyBorder="1" applyAlignment="1">
      <alignment horizontal="center" vertical="center" wrapText="1" shrinkToFit="1"/>
    </xf>
    <xf numFmtId="0" fontId="68" fillId="0" borderId="23" xfId="0" applyFont="1" applyBorder="1" applyAlignment="1">
      <alignment horizontal="center" vertical="center" wrapText="1" shrinkToFit="1"/>
    </xf>
    <xf numFmtId="0" fontId="68" fillId="0" borderId="15" xfId="0" applyFont="1" applyBorder="1" applyAlignment="1">
      <alignment horizontal="center" vertical="center" wrapText="1" shrinkToFit="1"/>
    </xf>
    <xf numFmtId="0" fontId="46" fillId="0" borderId="23" xfId="0" applyFont="1" applyBorder="1" applyAlignment="1">
      <alignment horizontal="center" wrapText="1" shrinkToFit="1"/>
    </xf>
    <xf numFmtId="0" fontId="46" fillId="0" borderId="15" xfId="0" applyFont="1" applyBorder="1" applyAlignment="1">
      <alignment horizontal="center" wrapText="1" shrinkToFit="1"/>
    </xf>
    <xf numFmtId="0" fontId="7" fillId="0" borderId="24" xfId="0" applyFont="1" applyFill="1" applyBorder="1" applyAlignment="1">
      <alignment horizontal="center" vertical="center" wrapText="1"/>
    </xf>
    <xf numFmtId="0" fontId="7" fillId="0" borderId="53" xfId="0" applyFont="1" applyFill="1" applyBorder="1" applyAlignment="1">
      <alignment horizontal="center" vertical="center" wrapText="1"/>
    </xf>
    <xf numFmtId="0" fontId="7" fillId="0" borderId="22" xfId="0" applyFont="1" applyBorder="1" applyAlignment="1">
      <alignment horizontal="center" vertical="center" wrapText="1" shrinkToFit="1"/>
    </xf>
    <xf numFmtId="0" fontId="7" fillId="0" borderId="79" xfId="0" applyFont="1" applyBorder="1" applyAlignment="1">
      <alignment horizontal="center" vertical="center" wrapText="1" shrinkToFit="1"/>
    </xf>
    <xf numFmtId="0" fontId="7" fillId="0" borderId="58" xfId="0" applyFont="1" applyBorder="1" applyAlignment="1">
      <alignment horizontal="center" vertical="center" wrapText="1" shrinkToFit="1"/>
    </xf>
    <xf numFmtId="0" fontId="7" fillId="0" borderId="74" xfId="0" applyFont="1" applyBorder="1" applyAlignment="1">
      <alignment horizontal="center" vertical="center" wrapText="1" shrinkToFit="1"/>
    </xf>
    <xf numFmtId="0" fontId="7" fillId="0" borderId="19" xfId="0" applyFont="1" applyBorder="1" applyAlignment="1">
      <alignment horizontal="center" vertical="center" wrapText="1" shrinkToFit="1"/>
    </xf>
    <xf numFmtId="0" fontId="7" fillId="0" borderId="76" xfId="0" applyFont="1" applyBorder="1" applyAlignment="1">
      <alignment horizontal="center" vertical="center" wrapText="1" shrinkToFit="1"/>
    </xf>
    <xf numFmtId="0" fontId="8" fillId="0" borderId="23" xfId="0" applyFont="1" applyBorder="1" applyAlignment="1">
      <alignment horizontal="center" vertical="center" wrapText="1" shrinkToFit="1"/>
    </xf>
    <xf numFmtId="0" fontId="8" fillId="0" borderId="15" xfId="0" applyFont="1" applyBorder="1" applyAlignment="1">
      <alignment horizontal="center" vertical="center" wrapText="1" shrinkToFit="1"/>
    </xf>
    <xf numFmtId="0" fontId="7" fillId="0" borderId="3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30" xfId="0" applyFont="1" applyBorder="1" applyAlignment="1">
      <alignment horizontal="center" vertical="center" wrapText="1"/>
    </xf>
    <xf numFmtId="0" fontId="21" fillId="0" borderId="41" xfId="0" applyFont="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7" fillId="0" borderId="38" xfId="0" applyFont="1" applyBorder="1" applyAlignment="1">
      <alignment horizontal="center" vertical="center" wrapText="1" shrinkToFit="1"/>
    </xf>
    <xf numFmtId="0" fontId="7" fillId="0" borderId="39" xfId="0" applyFont="1" applyBorder="1" applyAlignment="1">
      <alignment horizontal="center" vertical="center" wrapText="1" shrinkToFit="1"/>
    </xf>
    <xf numFmtId="0" fontId="7" fillId="0" borderId="40" xfId="0" applyFont="1" applyBorder="1" applyAlignment="1">
      <alignment horizontal="center" vertical="center" wrapText="1" shrinkToFit="1"/>
    </xf>
    <xf numFmtId="0" fontId="7" fillId="0" borderId="125" xfId="0" applyFont="1" applyBorder="1" applyAlignment="1">
      <alignment horizontal="center" vertical="center" wrapText="1" shrinkToFit="1"/>
    </xf>
    <xf numFmtId="0" fontId="7" fillId="0" borderId="21" xfId="0" applyFont="1" applyFill="1" applyBorder="1" applyAlignment="1">
      <alignment horizontal="center" vertical="center" wrapText="1"/>
    </xf>
    <xf numFmtId="0" fontId="7" fillId="0" borderId="78" xfId="0" applyFont="1" applyFill="1" applyBorder="1" applyAlignment="1">
      <alignment horizontal="center" vertical="center" wrapText="1"/>
    </xf>
    <xf numFmtId="0" fontId="46" fillId="0" borderId="38" xfId="0" applyFont="1" applyBorder="1" applyAlignment="1">
      <alignment horizontal="center" vertical="center" wrapText="1" shrinkToFit="1"/>
    </xf>
    <xf numFmtId="0" fontId="22" fillId="0" borderId="1" xfId="0" applyFont="1" applyBorder="1" applyAlignment="1">
      <alignment horizontal="center" vertical="center" wrapText="1" shrinkToFit="1"/>
    </xf>
    <xf numFmtId="0" fontId="22" fillId="0" borderId="1" xfId="0" applyFont="1" applyFill="1" applyBorder="1" applyAlignment="1">
      <alignment horizontal="center" wrapText="1"/>
    </xf>
    <xf numFmtId="0" fontId="22" fillId="0" borderId="1" xfId="0" applyFont="1" applyBorder="1" applyAlignment="1">
      <alignment horizontal="center" wrapText="1" shrinkToFit="1"/>
    </xf>
    <xf numFmtId="0" fontId="69" fillId="0" borderId="0" xfId="0" applyFont="1" applyAlignment="1">
      <alignment vertical="center"/>
    </xf>
    <xf numFmtId="0" fontId="70" fillId="0" borderId="0" xfId="0" applyFont="1" applyAlignment="1">
      <alignment vertical="center"/>
    </xf>
    <xf numFmtId="0" fontId="54" fillId="0" borderId="0" xfId="0" applyFont="1" applyAlignment="1">
      <alignment vertical="center"/>
    </xf>
    <xf numFmtId="0" fontId="71" fillId="0" borderId="0" xfId="0" applyFont="1" applyAlignment="1">
      <alignment vertical="center"/>
    </xf>
    <xf numFmtId="0" fontId="54" fillId="0" borderId="1" xfId="0" applyFont="1" applyBorder="1" applyAlignment="1">
      <alignment horizontal="center" vertical="center" textRotation="90" wrapText="1"/>
    </xf>
    <xf numFmtId="0" fontId="54" fillId="0" borderId="28" xfId="0" applyFont="1" applyBorder="1" applyAlignment="1">
      <alignment horizontal="left" vertical="center" indent="1"/>
    </xf>
    <xf numFmtId="0" fontId="54" fillId="0" borderId="56" xfId="0" applyFont="1" applyBorder="1" applyAlignment="1">
      <alignment horizontal="left" vertical="center" indent="1"/>
    </xf>
    <xf numFmtId="0" fontId="54" fillId="0" borderId="77" xfId="0" applyFont="1" applyBorder="1" applyAlignment="1">
      <alignment horizontal="left" vertical="center" indent="1"/>
    </xf>
    <xf numFmtId="0" fontId="46" fillId="10" borderId="24" xfId="0" applyFont="1" applyFill="1" applyBorder="1" applyAlignment="1">
      <alignment horizontal="left" wrapText="1"/>
    </xf>
    <xf numFmtId="0" fontId="46" fillId="10" borderId="53" xfId="0" applyFont="1" applyFill="1" applyBorder="1" applyAlignment="1">
      <alignment horizontal="left" wrapText="1"/>
    </xf>
    <xf numFmtId="0" fontId="46" fillId="10" borderId="22" xfId="0" applyFont="1" applyFill="1" applyBorder="1" applyAlignment="1">
      <alignment horizontal="left" wrapText="1" shrinkToFit="1"/>
    </xf>
    <xf numFmtId="0" fontId="46" fillId="10" borderId="79" xfId="0" applyFont="1" applyFill="1" applyBorder="1" applyAlignment="1">
      <alignment horizontal="left" wrapText="1" shrinkToFit="1"/>
    </xf>
    <xf numFmtId="0" fontId="46" fillId="10" borderId="23" xfId="0" applyFont="1" applyFill="1" applyBorder="1" applyAlignment="1">
      <alignment horizontal="center" vertical="center" wrapText="1" shrinkToFit="1"/>
    </xf>
    <xf numFmtId="0" fontId="46" fillId="10" borderId="15" xfId="0" applyFont="1" applyFill="1" applyBorder="1" applyAlignment="1">
      <alignment horizontal="center" vertical="center" wrapText="1" shrinkToFit="1"/>
    </xf>
    <xf numFmtId="0" fontId="46" fillId="10" borderId="23" xfId="0" applyFont="1" applyFill="1" applyBorder="1" applyAlignment="1">
      <alignment horizontal="center" wrapText="1" shrinkToFit="1"/>
    </xf>
    <xf numFmtId="0" fontId="46" fillId="10" borderId="15" xfId="0" applyFont="1" applyFill="1" applyBorder="1" applyAlignment="1">
      <alignment horizontal="center" wrapText="1" shrinkToFit="1"/>
    </xf>
    <xf numFmtId="0" fontId="46" fillId="10" borderId="19" xfId="0" applyFont="1" applyFill="1" applyBorder="1" applyAlignment="1">
      <alignment horizontal="center" vertical="center" wrapText="1" shrinkToFit="1"/>
    </xf>
    <xf numFmtId="0" fontId="46" fillId="10" borderId="76" xfId="0" applyFont="1" applyFill="1" applyBorder="1" applyAlignment="1">
      <alignment horizontal="center" vertical="center" wrapText="1" shrinkToFit="1"/>
    </xf>
    <xf numFmtId="0" fontId="68" fillId="10" borderId="23" xfId="0" applyFont="1" applyFill="1" applyBorder="1" applyAlignment="1">
      <alignment horizontal="center" vertical="center" wrapText="1" shrinkToFit="1"/>
    </xf>
    <xf numFmtId="0" fontId="68" fillId="10" borderId="15" xfId="0" applyFont="1" applyFill="1" applyBorder="1" applyAlignment="1">
      <alignment horizontal="center" vertical="center" wrapText="1" shrinkToFit="1"/>
    </xf>
    <xf numFmtId="0" fontId="43" fillId="10" borderId="37" xfId="0" applyFont="1" applyFill="1" applyBorder="1" applyAlignment="1">
      <alignment horizontal="center" vertical="center" wrapText="1"/>
    </xf>
    <xf numFmtId="0" fontId="43" fillId="10" borderId="8" xfId="0" applyFont="1" applyFill="1" applyBorder="1" applyAlignment="1">
      <alignment horizontal="center" vertical="center" wrapText="1"/>
    </xf>
    <xf numFmtId="0" fontId="43" fillId="10" borderId="7" xfId="0" applyFont="1" applyFill="1" applyBorder="1" applyAlignment="1">
      <alignment horizontal="center" vertical="center" wrapText="1"/>
    </xf>
    <xf numFmtId="0" fontId="43" fillId="10" borderId="41" xfId="0" applyFont="1" applyFill="1" applyBorder="1" applyAlignment="1">
      <alignment horizontal="center" vertical="center"/>
    </xf>
    <xf numFmtId="0" fontId="43" fillId="10" borderId="12" xfId="0" applyFont="1" applyFill="1" applyBorder="1" applyAlignment="1">
      <alignment horizontal="center" vertical="center"/>
    </xf>
    <xf numFmtId="0" fontId="43" fillId="10" borderId="4" xfId="0" applyFont="1" applyFill="1" applyBorder="1" applyAlignment="1">
      <alignment horizontal="center" vertical="center"/>
    </xf>
    <xf numFmtId="0" fontId="46" fillId="10" borderId="37" xfId="0" applyFont="1" applyFill="1" applyBorder="1" applyAlignment="1">
      <alignment horizontal="center" vertical="center" wrapText="1" shrinkToFit="1"/>
    </xf>
    <xf numFmtId="0" fontId="46" fillId="10" borderId="39" xfId="0" applyFont="1" applyFill="1" applyBorder="1" applyAlignment="1">
      <alignment horizontal="center" vertical="center" wrapText="1" shrinkToFit="1"/>
    </xf>
    <xf numFmtId="0" fontId="46" fillId="10" borderId="40" xfId="0" applyFont="1" applyFill="1" applyBorder="1" applyAlignment="1">
      <alignment horizontal="center" vertical="center" wrapText="1" shrinkToFit="1"/>
    </xf>
    <xf numFmtId="0" fontId="46" fillId="10" borderId="124" xfId="0" applyFont="1" applyFill="1" applyBorder="1" applyAlignment="1">
      <alignment horizontal="center" vertical="center" wrapText="1" shrinkToFit="1"/>
    </xf>
    <xf numFmtId="0" fontId="7" fillId="0" borderId="24" xfId="0" applyFont="1" applyFill="1" applyBorder="1" applyAlignment="1">
      <alignment horizontal="left" wrapText="1"/>
    </xf>
    <xf numFmtId="0" fontId="7" fillId="0" borderId="53" xfId="0" applyFont="1" applyFill="1" applyBorder="1" applyAlignment="1">
      <alignment horizontal="left" wrapText="1"/>
    </xf>
    <xf numFmtId="0" fontId="7" fillId="0" borderId="22" xfId="0" applyFont="1" applyBorder="1" applyAlignment="1">
      <alignment horizontal="left" wrapText="1" shrinkToFit="1"/>
    </xf>
    <xf numFmtId="0" fontId="7" fillId="0" borderId="79" xfId="0" applyFont="1" applyBorder="1" applyAlignment="1">
      <alignment horizontal="left" wrapText="1" shrinkToFit="1"/>
    </xf>
    <xf numFmtId="0" fontId="7" fillId="0" borderId="23" xfId="0" applyFont="1" applyBorder="1" applyAlignment="1">
      <alignment horizontal="center" vertical="center" wrapText="1" shrinkToFit="1"/>
    </xf>
    <xf numFmtId="0" fontId="7" fillId="0" borderId="15" xfId="0" applyFont="1" applyBorder="1" applyAlignment="1">
      <alignment horizontal="center" vertical="center" wrapText="1" shrinkToFit="1"/>
    </xf>
    <xf numFmtId="0" fontId="7" fillId="0" borderId="23" xfId="0" applyFont="1" applyBorder="1" applyAlignment="1">
      <alignment horizontal="center" wrapText="1" shrinkToFit="1"/>
    </xf>
    <xf numFmtId="0" fontId="7" fillId="0" borderId="15" xfId="0" applyFont="1" applyBorder="1" applyAlignment="1">
      <alignment horizontal="center" wrapText="1" shrinkToFit="1"/>
    </xf>
    <xf numFmtId="0" fontId="7" fillId="0" borderId="7" xfId="0" applyFont="1" applyBorder="1" applyAlignment="1">
      <alignment horizontal="center" vertical="center" wrapText="1"/>
    </xf>
    <xf numFmtId="0" fontId="7" fillId="0" borderId="41" xfId="0" applyFont="1" applyBorder="1" applyAlignment="1">
      <alignment horizontal="center" vertical="center"/>
    </xf>
    <xf numFmtId="0" fontId="7" fillId="0" borderId="12" xfId="0" applyFont="1" applyBorder="1" applyAlignment="1">
      <alignment horizontal="center" vertical="center"/>
    </xf>
    <xf numFmtId="0" fontId="7" fillId="0" borderId="4" xfId="0" applyFont="1" applyBorder="1" applyAlignment="1">
      <alignment horizontal="center" vertical="center"/>
    </xf>
    <xf numFmtId="0" fontId="7" fillId="0" borderId="124" xfId="0" applyFont="1" applyBorder="1" applyAlignment="1">
      <alignment horizontal="center" vertical="center" wrapText="1" shrinkToFit="1"/>
    </xf>
    <xf numFmtId="0" fontId="3" fillId="0" borderId="20" xfId="0" applyFont="1" applyFill="1" applyBorder="1" applyAlignment="1">
      <alignment horizontal="left" wrapText="1"/>
    </xf>
    <xf numFmtId="0" fontId="3" fillId="0" borderId="77" xfId="0" applyFont="1" applyFill="1" applyBorder="1" applyAlignment="1">
      <alignment horizontal="left" wrapText="1"/>
    </xf>
    <xf numFmtId="0" fontId="3" fillId="0" borderId="20" xfId="0" applyFont="1" applyBorder="1" applyAlignment="1">
      <alignment horizontal="left" wrapText="1" shrinkToFit="1"/>
    </xf>
    <xf numFmtId="0" fontId="3" fillId="0" borderId="77" xfId="0" applyFont="1" applyBorder="1" applyAlignment="1">
      <alignment horizontal="left" wrapText="1" shrinkToFit="1"/>
    </xf>
    <xf numFmtId="0" fontId="49" fillId="0" borderId="23" xfId="0" applyFont="1" applyBorder="1" applyAlignment="1">
      <alignment horizontal="center" vertical="center" wrapText="1" shrinkToFit="1"/>
    </xf>
    <xf numFmtId="0" fontId="49" fillId="0" borderId="15" xfId="0" applyFont="1" applyBorder="1" applyAlignment="1">
      <alignment horizontal="center" vertical="center" wrapText="1" shrinkToFit="1"/>
    </xf>
    <xf numFmtId="0" fontId="49" fillId="0" borderId="23" xfId="0" applyFont="1" applyBorder="1" applyAlignment="1">
      <alignment horizontal="center" wrapText="1" shrinkToFit="1"/>
    </xf>
    <xf numFmtId="0" fontId="49" fillId="0" borderId="15" xfId="0" applyFont="1" applyBorder="1" applyAlignment="1">
      <alignment horizontal="center" wrapText="1" shrinkToFit="1"/>
    </xf>
    <xf numFmtId="0" fontId="3" fillId="0" borderId="19" xfId="0" applyFont="1" applyBorder="1" applyAlignment="1">
      <alignment horizontal="center" vertical="center" wrapText="1" shrinkToFit="1"/>
    </xf>
    <xf numFmtId="0" fontId="3" fillId="0" borderId="76" xfId="0" applyFont="1" applyBorder="1" applyAlignment="1">
      <alignment horizontal="center" vertical="center" wrapText="1" shrinkToFit="1"/>
    </xf>
    <xf numFmtId="0" fontId="5" fillId="0" borderId="23" xfId="0" applyFont="1" applyBorder="1" applyAlignment="1">
      <alignment horizontal="center" vertical="center" wrapText="1" shrinkToFit="1"/>
    </xf>
    <xf numFmtId="0" fontId="5" fillId="0" borderId="15" xfId="0" applyFont="1" applyBorder="1" applyAlignment="1">
      <alignment horizontal="center" vertical="center" wrapText="1" shrinkToFit="1"/>
    </xf>
    <xf numFmtId="0" fontId="3" fillId="0" borderId="3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41" xfId="0" applyFont="1" applyBorder="1" applyAlignment="1">
      <alignment horizontal="center" vertical="center"/>
    </xf>
    <xf numFmtId="0" fontId="3" fillId="0" borderId="12" xfId="0" applyFont="1" applyBorder="1" applyAlignment="1">
      <alignment horizontal="center" vertical="center"/>
    </xf>
    <xf numFmtId="0" fontId="3" fillId="0" borderId="4" xfId="0" applyFont="1" applyBorder="1" applyAlignment="1">
      <alignment horizontal="center" vertical="center"/>
    </xf>
    <xf numFmtId="0" fontId="3" fillId="0" borderId="38" xfId="0" applyFont="1" applyBorder="1" applyAlignment="1">
      <alignment horizontal="center" vertical="center" wrapText="1" shrinkToFit="1"/>
    </xf>
    <xf numFmtId="0" fontId="3" fillId="0" borderId="39" xfId="0" applyFont="1" applyBorder="1" applyAlignment="1">
      <alignment horizontal="center" vertical="center" wrapText="1" shrinkToFit="1"/>
    </xf>
    <xf numFmtId="0" fontId="3" fillId="0" borderId="40" xfId="0" applyFont="1" applyBorder="1" applyAlignment="1">
      <alignment horizontal="center" vertical="center" wrapText="1" shrinkToFit="1"/>
    </xf>
    <xf numFmtId="0" fontId="3" fillId="0" borderId="124" xfId="0" applyFont="1" applyBorder="1" applyAlignment="1">
      <alignment horizontal="center" vertical="center" wrapText="1" shrinkToFit="1"/>
    </xf>
    <xf numFmtId="0" fontId="3" fillId="0" borderId="126" xfId="0" applyFont="1" applyFill="1" applyBorder="1" applyAlignment="1">
      <alignment horizontal="left" wrapText="1"/>
    </xf>
    <xf numFmtId="0" fontId="3" fillId="0" borderId="127" xfId="0" applyFont="1" applyFill="1" applyBorder="1" applyAlignment="1">
      <alignment horizontal="left" wrapText="1"/>
    </xf>
    <xf numFmtId="0" fontId="28" fillId="10" borderId="24" xfId="0" applyFont="1" applyFill="1" applyBorder="1" applyAlignment="1">
      <alignment horizontal="left" wrapText="1"/>
    </xf>
    <xf numFmtId="0" fontId="28" fillId="10" borderId="53" xfId="0" applyFont="1" applyFill="1" applyBorder="1" applyAlignment="1">
      <alignment horizontal="left" wrapText="1"/>
    </xf>
    <xf numFmtId="0" fontId="28" fillId="10" borderId="22" xfId="0" applyFont="1" applyFill="1" applyBorder="1" applyAlignment="1">
      <alignment horizontal="left" wrapText="1" shrinkToFit="1"/>
    </xf>
    <xf numFmtId="0" fontId="28" fillId="10" borderId="79" xfId="0" applyFont="1" applyFill="1" applyBorder="1" applyAlignment="1">
      <alignment horizontal="left" wrapText="1" shrinkToFit="1"/>
    </xf>
    <xf numFmtId="0" fontId="28" fillId="10" borderId="23" xfId="0" applyFont="1" applyFill="1" applyBorder="1" applyAlignment="1">
      <alignment horizontal="center" vertical="center" wrapText="1" shrinkToFit="1"/>
    </xf>
    <xf numFmtId="0" fontId="28" fillId="10" borderId="15" xfId="0" applyFont="1" applyFill="1" applyBorder="1" applyAlignment="1">
      <alignment horizontal="center" vertical="center" wrapText="1" shrinkToFit="1"/>
    </xf>
    <xf numFmtId="0" fontId="28" fillId="10" borderId="23" xfId="0" applyFont="1" applyFill="1" applyBorder="1" applyAlignment="1">
      <alignment horizontal="center" wrapText="1" shrinkToFit="1"/>
    </xf>
    <xf numFmtId="0" fontId="28" fillId="10" borderId="15" xfId="0" applyFont="1" applyFill="1" applyBorder="1" applyAlignment="1">
      <alignment horizontal="center" wrapText="1" shrinkToFit="1"/>
    </xf>
    <xf numFmtId="0" fontId="28" fillId="10" borderId="19" xfId="0" applyFont="1" applyFill="1" applyBorder="1" applyAlignment="1">
      <alignment horizontal="center" vertical="center" wrapText="1" shrinkToFit="1"/>
    </xf>
    <xf numFmtId="0" fontId="28" fillId="10" borderId="76" xfId="0" applyFont="1" applyFill="1" applyBorder="1" applyAlignment="1">
      <alignment horizontal="center" vertical="center" wrapText="1" shrinkToFit="1"/>
    </xf>
    <xf numFmtId="0" fontId="27" fillId="10" borderId="23" xfId="0" applyFont="1" applyFill="1" applyBorder="1" applyAlignment="1">
      <alignment horizontal="center" vertical="center" wrapText="1" shrinkToFit="1"/>
    </xf>
    <xf numFmtId="0" fontId="27" fillId="10" borderId="15" xfId="0" applyFont="1" applyFill="1" applyBorder="1" applyAlignment="1">
      <alignment horizontal="center" vertical="center" wrapText="1" shrinkToFit="1"/>
    </xf>
    <xf numFmtId="0" fontId="28" fillId="10" borderId="37" xfId="0" applyFont="1" applyFill="1" applyBorder="1" applyAlignment="1">
      <alignment horizontal="center" vertical="center" wrapText="1"/>
    </xf>
    <xf numFmtId="0" fontId="28" fillId="10" borderId="8" xfId="0" applyFont="1" applyFill="1" applyBorder="1" applyAlignment="1">
      <alignment horizontal="center" vertical="center" wrapText="1"/>
    </xf>
    <xf numFmtId="0" fontId="28" fillId="10" borderId="7" xfId="0" applyFont="1" applyFill="1" applyBorder="1" applyAlignment="1">
      <alignment horizontal="center" vertical="center" wrapText="1"/>
    </xf>
    <xf numFmtId="0" fontId="28" fillId="10" borderId="41" xfId="0" applyFont="1" applyFill="1" applyBorder="1" applyAlignment="1">
      <alignment horizontal="center" vertical="center"/>
    </xf>
    <xf numFmtId="0" fontId="28" fillId="10" borderId="12" xfId="0" applyFont="1" applyFill="1" applyBorder="1" applyAlignment="1">
      <alignment horizontal="center" vertical="center"/>
    </xf>
    <xf numFmtId="0" fontId="28" fillId="10" borderId="4" xfId="0" applyFont="1" applyFill="1" applyBorder="1" applyAlignment="1">
      <alignment horizontal="center" vertical="center"/>
    </xf>
    <xf numFmtId="0" fontId="28" fillId="10" borderId="38" xfId="0" applyFont="1" applyFill="1" applyBorder="1" applyAlignment="1">
      <alignment horizontal="center" vertical="center" wrapText="1" shrinkToFit="1"/>
    </xf>
    <xf numFmtId="0" fontId="28" fillId="10" borderId="39" xfId="0" applyFont="1" applyFill="1" applyBorder="1" applyAlignment="1">
      <alignment horizontal="center" vertical="center" wrapText="1" shrinkToFit="1"/>
    </xf>
    <xf numFmtId="0" fontId="28" fillId="10" borderId="40" xfId="0" applyFont="1" applyFill="1" applyBorder="1" applyAlignment="1">
      <alignment horizontal="center" vertical="center" wrapText="1" shrinkToFit="1"/>
    </xf>
    <xf numFmtId="0" fontId="28" fillId="10" borderId="124" xfId="0" applyFont="1" applyFill="1" applyBorder="1" applyAlignment="1">
      <alignment horizontal="center" vertical="center" wrapText="1" shrinkToFit="1"/>
    </xf>
    <xf numFmtId="0" fontId="25" fillId="10" borderId="1" xfId="0" applyFont="1" applyFill="1" applyBorder="1" applyAlignment="1">
      <alignment horizontal="center" vertical="center" wrapText="1" shrinkToFit="1"/>
    </xf>
    <xf numFmtId="0" fontId="25" fillId="10" borderId="35" xfId="0" applyFont="1" applyFill="1" applyBorder="1" applyAlignment="1">
      <alignment horizontal="center" vertical="center" wrapText="1" shrinkToFit="1"/>
    </xf>
    <xf numFmtId="0" fontId="25" fillId="0" borderId="6" xfId="0" applyFont="1" applyBorder="1" applyAlignment="1">
      <alignment horizontal="center" vertical="center" wrapText="1" shrinkToFit="1"/>
    </xf>
    <xf numFmtId="0" fontId="25" fillId="0" borderId="1" xfId="0" applyFont="1" applyBorder="1" applyAlignment="1">
      <alignment horizontal="center" vertical="center" wrapText="1" shrinkToFit="1"/>
    </xf>
    <xf numFmtId="0" fontId="55" fillId="0" borderId="0" xfId="0" applyFont="1" applyAlignment="1">
      <alignment horizontal="left" vertical="center"/>
    </xf>
    <xf numFmtId="0" fontId="54" fillId="0" borderId="128" xfId="0" applyFont="1" applyBorder="1" applyAlignment="1">
      <alignment horizontal="left" vertical="center"/>
    </xf>
    <xf numFmtId="0" fontId="25" fillId="0" borderId="0" xfId="0" applyFont="1" applyAlignment="1">
      <alignment horizontal="right" vertical="center"/>
    </xf>
    <xf numFmtId="0" fontId="55" fillId="10" borderId="1" xfId="0" applyFont="1" applyFill="1" applyBorder="1" applyAlignment="1">
      <alignment horizontal="center" vertical="center" wrapText="1"/>
    </xf>
    <xf numFmtId="0" fontId="55" fillId="10" borderId="1" xfId="0" applyFont="1" applyFill="1" applyBorder="1" applyAlignment="1">
      <alignment horizontal="center" vertical="center"/>
    </xf>
    <xf numFmtId="0" fontId="25" fillId="10" borderId="1" xfId="0" applyFont="1" applyFill="1" applyBorder="1" applyAlignment="1">
      <alignment horizontal="center" vertical="center" wrapText="1"/>
    </xf>
    <xf numFmtId="0" fontId="46" fillId="0" borderId="58" xfId="0" applyFont="1" applyBorder="1" applyAlignment="1">
      <alignment horizontal="center" wrapText="1" shrinkToFit="1"/>
    </xf>
    <xf numFmtId="0" fontId="46" fillId="0" borderId="74" xfId="0" applyFont="1" applyBorder="1" applyAlignment="1">
      <alignment horizontal="center" wrapText="1" shrinkToFit="1"/>
    </xf>
    <xf numFmtId="0" fontId="46" fillId="0" borderId="22" xfId="0" applyFont="1" applyBorder="1" applyAlignment="1">
      <alignment horizontal="center" vertical="center" wrapText="1" shrinkToFit="1"/>
    </xf>
    <xf numFmtId="0" fontId="46" fillId="0" borderId="79" xfId="0" applyFont="1" applyBorder="1" applyAlignment="1">
      <alignment horizontal="center" vertical="center" wrapText="1" shrinkToFit="1"/>
    </xf>
    <xf numFmtId="0" fontId="46" fillId="0" borderId="38" xfId="0" applyFont="1" applyFill="1" applyBorder="1" applyAlignment="1">
      <alignment horizontal="center" vertical="center" wrapText="1" shrinkToFit="1"/>
    </xf>
    <xf numFmtId="0" fontId="46" fillId="0" borderId="39" xfId="0" applyFont="1" applyFill="1" applyBorder="1" applyAlignment="1">
      <alignment horizontal="center" vertical="center" wrapText="1" shrinkToFit="1"/>
    </xf>
    <xf numFmtId="0" fontId="49" fillId="0" borderId="24" xfId="0" applyFont="1" applyFill="1" applyBorder="1" applyAlignment="1">
      <alignment horizontal="center" vertical="center" wrapText="1"/>
    </xf>
    <xf numFmtId="0" fontId="49" fillId="0" borderId="53" xfId="0" applyFont="1" applyFill="1" applyBorder="1" applyAlignment="1">
      <alignment horizontal="center" vertical="center" wrapText="1"/>
    </xf>
    <xf numFmtId="0" fontId="49" fillId="0" borderId="22" xfId="0" applyFont="1" applyBorder="1" applyAlignment="1">
      <alignment horizontal="center" vertical="center" wrapText="1" shrinkToFit="1"/>
    </xf>
    <xf numFmtId="0" fontId="49" fillId="0" borderId="79" xfId="0" applyFont="1" applyBorder="1" applyAlignment="1">
      <alignment horizontal="center" vertical="center" wrapText="1" shrinkToFit="1"/>
    </xf>
    <xf numFmtId="0" fontId="49" fillId="0" borderId="112" xfId="0" applyFont="1" applyBorder="1" applyAlignment="1">
      <alignment horizontal="center" vertical="center" wrapText="1" shrinkToFit="1"/>
    </xf>
    <xf numFmtId="0" fontId="49" fillId="0" borderId="50" xfId="0" applyFont="1" applyBorder="1" applyAlignment="1">
      <alignment horizontal="center" vertical="center" wrapText="1" shrinkToFit="1"/>
    </xf>
    <xf numFmtId="0" fontId="49" fillId="0" borderId="19" xfId="0" applyFont="1" applyBorder="1" applyAlignment="1">
      <alignment horizontal="center" vertical="center" wrapText="1" shrinkToFit="1"/>
    </xf>
    <xf numFmtId="0" fontId="49" fillId="0" borderId="76" xfId="0" applyFont="1" applyBorder="1" applyAlignment="1">
      <alignment horizontal="center" vertical="center" wrapText="1" shrinkToFit="1"/>
    </xf>
    <xf numFmtId="0" fontId="50" fillId="0" borderId="23" xfId="0" applyFont="1" applyBorder="1" applyAlignment="1">
      <alignment horizontal="center" vertical="center" wrapText="1" shrinkToFit="1"/>
    </xf>
    <xf numFmtId="0" fontId="50" fillId="0" borderId="15" xfId="0" applyFont="1" applyBorder="1" applyAlignment="1">
      <alignment horizontal="center" vertical="center" wrapText="1" shrinkToFit="1"/>
    </xf>
    <xf numFmtId="0" fontId="49" fillId="0" borderId="37" xfId="0" applyFont="1" applyBorder="1" applyAlignment="1">
      <alignment horizontal="center" vertical="center" wrapText="1"/>
    </xf>
    <xf numFmtId="0" fontId="49" fillId="0" borderId="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41" xfId="0" applyFont="1" applyBorder="1" applyAlignment="1">
      <alignment horizontal="center" vertical="center"/>
    </xf>
    <xf numFmtId="0" fontId="49" fillId="0" borderId="12" xfId="0" applyFont="1" applyBorder="1" applyAlignment="1">
      <alignment horizontal="center" vertical="center"/>
    </xf>
    <xf numFmtId="0" fontId="49" fillId="0" borderId="4" xfId="0" applyFont="1" applyBorder="1" applyAlignment="1">
      <alignment horizontal="center" vertical="center"/>
    </xf>
    <xf numFmtId="0" fontId="49" fillId="0" borderId="38" xfId="0" applyFont="1" applyBorder="1" applyAlignment="1">
      <alignment horizontal="center" vertical="center" wrapText="1" shrinkToFit="1"/>
    </xf>
    <xf numFmtId="0" fontId="49" fillId="0" borderId="39" xfId="0" applyFont="1" applyBorder="1" applyAlignment="1">
      <alignment horizontal="center" vertical="center" wrapText="1" shrinkToFit="1"/>
    </xf>
    <xf numFmtId="0" fontId="49" fillId="0" borderId="40" xfId="0" applyFont="1" applyBorder="1" applyAlignment="1">
      <alignment horizontal="center" vertical="center" wrapText="1" shrinkToFit="1"/>
    </xf>
    <xf numFmtId="0" fontId="49" fillId="0" borderId="124" xfId="0" applyFont="1" applyBorder="1" applyAlignment="1">
      <alignment horizontal="center" vertical="center" wrapText="1" shrinkToFit="1"/>
    </xf>
    <xf numFmtId="0" fontId="32" fillId="0" borderId="24" xfId="0" applyFont="1" applyFill="1" applyBorder="1" applyAlignment="1">
      <alignment horizontal="left" wrapText="1"/>
    </xf>
    <xf numFmtId="0" fontId="32" fillId="0" borderId="53" xfId="0" applyFont="1" applyFill="1" applyBorder="1" applyAlignment="1">
      <alignment horizontal="left" wrapText="1"/>
    </xf>
    <xf numFmtId="0" fontId="32" fillId="0" borderId="22" xfId="0" applyFont="1" applyBorder="1" applyAlignment="1">
      <alignment horizontal="left" wrapText="1" shrinkToFit="1"/>
    </xf>
    <xf numFmtId="0" fontId="32" fillId="0" borderId="79" xfId="0" applyFont="1" applyBorder="1" applyAlignment="1">
      <alignment horizontal="left" wrapText="1" shrinkToFit="1"/>
    </xf>
    <xf numFmtId="0" fontId="32" fillId="0" borderId="23" xfId="0" applyFont="1" applyBorder="1" applyAlignment="1">
      <alignment horizontal="center" vertical="center" wrapText="1" shrinkToFit="1"/>
    </xf>
    <xf numFmtId="0" fontId="32" fillId="0" borderId="15" xfId="0" applyFont="1" applyBorder="1" applyAlignment="1">
      <alignment horizontal="center" vertical="center" wrapText="1" shrinkToFit="1"/>
    </xf>
    <xf numFmtId="0" fontId="32" fillId="0" borderId="23" xfId="0" applyFont="1" applyBorder="1" applyAlignment="1">
      <alignment horizontal="center" wrapText="1" shrinkToFit="1"/>
    </xf>
    <xf numFmtId="0" fontId="32" fillId="0" borderId="15" xfId="0" applyFont="1" applyBorder="1" applyAlignment="1">
      <alignment horizontal="center" wrapText="1" shrinkToFit="1"/>
    </xf>
    <xf numFmtId="0" fontId="32" fillId="0" borderId="19" xfId="0" applyFont="1" applyBorder="1" applyAlignment="1">
      <alignment horizontal="center" vertical="center" wrapText="1" shrinkToFit="1"/>
    </xf>
    <xf numFmtId="0" fontId="32" fillId="0" borderId="76" xfId="0" applyFont="1" applyBorder="1" applyAlignment="1">
      <alignment horizontal="center" vertical="center" wrapText="1" shrinkToFit="1"/>
    </xf>
    <xf numFmtId="0" fontId="31" fillId="0" borderId="23" xfId="0" applyFont="1" applyBorder="1" applyAlignment="1">
      <alignment horizontal="center" vertical="center" wrapText="1" shrinkToFit="1"/>
    </xf>
    <xf numFmtId="0" fontId="31" fillId="0" borderId="15" xfId="0" applyFont="1" applyBorder="1" applyAlignment="1">
      <alignment horizontal="center" vertical="center" wrapText="1" shrinkToFit="1"/>
    </xf>
    <xf numFmtId="0" fontId="61" fillId="0" borderId="37" xfId="0" applyFont="1" applyBorder="1" applyAlignment="1">
      <alignment horizontal="center" vertical="center" wrapText="1"/>
    </xf>
    <xf numFmtId="0" fontId="61" fillId="0" borderId="8" xfId="0" applyFont="1" applyBorder="1" applyAlignment="1">
      <alignment horizontal="center" vertical="center" wrapText="1"/>
    </xf>
    <xf numFmtId="0" fontId="61" fillId="0" borderId="7" xfId="0" applyFont="1" applyBorder="1" applyAlignment="1">
      <alignment horizontal="center" vertical="center" wrapText="1"/>
    </xf>
    <xf numFmtId="0" fontId="61" fillId="0" borderId="41" xfId="0" applyFont="1" applyBorder="1" applyAlignment="1">
      <alignment horizontal="center" vertical="center"/>
    </xf>
    <xf numFmtId="0" fontId="61" fillId="0" borderId="12" xfId="0" applyFont="1" applyBorder="1" applyAlignment="1">
      <alignment horizontal="center" vertical="center"/>
    </xf>
    <xf numFmtId="0" fontId="61" fillId="0" borderId="4" xfId="0" applyFont="1" applyBorder="1" applyAlignment="1">
      <alignment horizontal="center" vertical="center"/>
    </xf>
    <xf numFmtId="0" fontId="32" fillId="0" borderId="38" xfId="0" applyFont="1" applyBorder="1" applyAlignment="1">
      <alignment horizontal="center" vertical="center" wrapText="1" shrinkToFit="1"/>
    </xf>
    <xf numFmtId="0" fontId="32" fillId="0" borderId="39" xfId="0" applyFont="1" applyBorder="1" applyAlignment="1">
      <alignment horizontal="center" vertical="center" wrapText="1" shrinkToFit="1"/>
    </xf>
    <xf numFmtId="0" fontId="32" fillId="0" borderId="40" xfId="0" applyFont="1" applyBorder="1" applyAlignment="1">
      <alignment horizontal="center" vertical="center" wrapText="1" shrinkToFit="1"/>
    </xf>
    <xf numFmtId="0" fontId="32" fillId="0" borderId="124" xfId="0" applyFont="1" applyBorder="1" applyAlignment="1">
      <alignment horizontal="center" vertical="center" wrapText="1" shrinkToFit="1"/>
    </xf>
    <xf numFmtId="0" fontId="49" fillId="0" borderId="23" xfId="0" applyFont="1" applyFill="1" applyBorder="1" applyAlignment="1">
      <alignment horizontal="center" vertical="center" wrapText="1" shrinkToFit="1"/>
    </xf>
    <xf numFmtId="0" fontId="49" fillId="0" borderId="15" xfId="0" applyFont="1" applyFill="1" applyBorder="1" applyAlignment="1">
      <alignment horizontal="center" vertical="center" wrapText="1" shrinkToFit="1"/>
    </xf>
    <xf numFmtId="0" fontId="46" fillId="10" borderId="24" xfId="0" applyFont="1" applyFill="1" applyBorder="1" applyAlignment="1">
      <alignment horizontal="center" vertical="center" wrapText="1"/>
    </xf>
    <xf numFmtId="0" fontId="46" fillId="10" borderId="53" xfId="0" applyFont="1" applyFill="1" applyBorder="1" applyAlignment="1">
      <alignment horizontal="center" vertical="center" wrapText="1"/>
    </xf>
    <xf numFmtId="0" fontId="46" fillId="0" borderId="112" xfId="0" applyFont="1" applyBorder="1" applyAlignment="1">
      <alignment horizontal="center" wrapText="1" shrinkToFit="1"/>
    </xf>
    <xf numFmtId="0" fontId="46" fillId="0" borderId="50" xfId="0" applyFont="1" applyBorder="1" applyAlignment="1">
      <alignment horizontal="center" wrapText="1" shrinkToFit="1"/>
    </xf>
    <xf numFmtId="0" fontId="46" fillId="0" borderId="58" xfId="0" applyFont="1" applyBorder="1" applyAlignment="1">
      <alignment horizontal="center" vertical="center" wrapText="1" shrinkToFit="1"/>
    </xf>
    <xf numFmtId="0" fontId="46" fillId="0" borderId="74" xfId="0" applyFont="1" applyBorder="1" applyAlignment="1">
      <alignment horizontal="center" vertical="center" wrapText="1" shrinkToFit="1"/>
    </xf>
    <xf numFmtId="0" fontId="46" fillId="0" borderId="112" xfId="0" applyFont="1" applyBorder="1" applyAlignment="1">
      <alignment horizontal="center" vertical="center" wrapText="1" shrinkToFit="1"/>
    </xf>
    <xf numFmtId="0" fontId="46" fillId="0" borderId="49" xfId="0" applyFont="1" applyBorder="1" applyAlignment="1">
      <alignment horizontal="center" vertical="center" wrapText="1" shrinkToFit="1"/>
    </xf>
    <xf numFmtId="0" fontId="46" fillId="0" borderId="8" xfId="0" applyFont="1" applyBorder="1" applyAlignment="1">
      <alignment horizontal="center" vertical="center" wrapText="1" shrinkToFit="1"/>
    </xf>
    <xf numFmtId="0" fontId="68" fillId="0" borderId="41" xfId="0" applyFont="1" applyBorder="1" applyAlignment="1">
      <alignment horizontal="center" vertical="center" wrapText="1" shrinkToFit="1"/>
    </xf>
    <xf numFmtId="0" fontId="68" fillId="0" borderId="12" xfId="0" applyFont="1" applyBorder="1" applyAlignment="1">
      <alignment horizontal="center" vertical="center" wrapText="1" shrinkToFit="1"/>
    </xf>
    <xf numFmtId="0" fontId="45" fillId="0" borderId="0" xfId="0" applyFont="1" applyFill="1" applyAlignment="1">
      <alignment vertical="center"/>
    </xf>
  </cellXfs>
  <cellStyles count="3">
    <cellStyle name="Normální" xfId="0" builtinId="0"/>
    <cellStyle name="normální 2" xfId="1"/>
    <cellStyle name="normální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tabColor rgb="FF92D050"/>
    <pageSetUpPr fitToPage="1"/>
  </sheetPr>
  <dimension ref="A1:Y50"/>
  <sheetViews>
    <sheetView tabSelected="1" zoomScale="90" zoomScaleNormal="90" workbookViewId="0">
      <selection activeCell="S33" sqref="S33"/>
    </sheetView>
  </sheetViews>
  <sheetFormatPr defaultRowHeight="15"/>
  <cols>
    <col min="1" max="1" width="9.42578125" style="20" customWidth="1"/>
    <col min="2" max="2" width="45.85546875" style="20" customWidth="1"/>
    <col min="3" max="3" width="12.7109375" style="20" customWidth="1"/>
    <col min="4" max="4" width="11.5703125" style="20" customWidth="1"/>
    <col min="5" max="5" width="11.28515625" style="20" customWidth="1"/>
    <col min="6" max="6" width="11.5703125" style="20" customWidth="1"/>
    <col min="7" max="8" width="12.140625" style="20" bestFit="1" customWidth="1"/>
    <col min="9" max="9" width="10.42578125" style="20" customWidth="1"/>
    <col min="10" max="10" width="12.5703125" style="20" customWidth="1"/>
    <col min="11" max="11" width="10.5703125" style="20" customWidth="1"/>
    <col min="12" max="12" width="14" style="20" customWidth="1"/>
    <col min="13" max="13" width="12.42578125" style="20" customWidth="1"/>
    <col min="14" max="14" width="1.7109375" style="22" customWidth="1"/>
    <col min="15" max="15" width="11" style="20" customWidth="1"/>
    <col min="16" max="16" width="10.85546875" style="20" customWidth="1"/>
    <col min="17" max="243" width="9.140625" style="20"/>
    <col min="244" max="244" width="59.7109375" style="20" customWidth="1"/>
    <col min="245" max="251" width="10.5703125" style="20" customWidth="1"/>
    <col min="252" max="16384" width="9.140625" style="20"/>
  </cols>
  <sheetData>
    <row r="1" spans="1:25" ht="15.75">
      <c r="A1" s="102" t="s">
        <v>44</v>
      </c>
      <c r="B1" s="28"/>
    </row>
    <row r="2" spans="1:25" ht="15.75">
      <c r="A2" s="3"/>
      <c r="B2" s="2" t="s">
        <v>43</v>
      </c>
    </row>
    <row r="3" spans="1:25" ht="13.5" customHeight="1" thickBot="1">
      <c r="B3" s="19"/>
      <c r="P3" s="23" t="s">
        <v>2</v>
      </c>
    </row>
    <row r="4" spans="1:25" s="2" customFormat="1" ht="38.25" customHeight="1">
      <c r="A4" s="1357" t="s">
        <v>1</v>
      </c>
      <c r="B4" s="1354" t="s">
        <v>46</v>
      </c>
      <c r="C4" s="1360" t="s">
        <v>18</v>
      </c>
      <c r="D4" s="1361"/>
      <c r="E4" s="1361" t="s">
        <v>19</v>
      </c>
      <c r="F4" s="1361"/>
      <c r="G4" s="1364" t="s">
        <v>20</v>
      </c>
      <c r="H4" s="1365"/>
      <c r="I4" s="1349" t="s">
        <v>47</v>
      </c>
      <c r="J4" s="1349" t="s">
        <v>48</v>
      </c>
      <c r="K4" s="1351" t="s">
        <v>49</v>
      </c>
      <c r="L4" s="1362" t="s">
        <v>62</v>
      </c>
      <c r="M4" s="1370" t="s">
        <v>69</v>
      </c>
      <c r="N4" s="1037"/>
      <c r="O4" s="1366" t="s">
        <v>65</v>
      </c>
      <c r="P4" s="1368" t="s">
        <v>21</v>
      </c>
    </row>
    <row r="5" spans="1:25" s="2" customFormat="1" ht="13.5" customHeight="1">
      <c r="A5" s="1358"/>
      <c r="B5" s="1355"/>
      <c r="C5" s="1077" t="s">
        <v>26</v>
      </c>
      <c r="D5" s="11" t="s">
        <v>50</v>
      </c>
      <c r="E5" s="10" t="s">
        <v>12</v>
      </c>
      <c r="F5" s="11" t="s">
        <v>16</v>
      </c>
      <c r="G5" s="11" t="s">
        <v>12</v>
      </c>
      <c r="H5" s="33" t="s">
        <v>16</v>
      </c>
      <c r="I5" s="1350"/>
      <c r="J5" s="1350"/>
      <c r="K5" s="1352"/>
      <c r="L5" s="1363"/>
      <c r="M5" s="1371"/>
      <c r="N5" s="1037"/>
      <c r="O5" s="1367"/>
      <c r="P5" s="1369"/>
    </row>
    <row r="6" spans="1:25" s="2" customFormat="1" ht="15" customHeight="1" thickBot="1">
      <c r="A6" s="1359"/>
      <c r="B6" s="1356"/>
      <c r="C6" s="1078" t="s">
        <v>4</v>
      </c>
      <c r="D6" s="13" t="s">
        <v>5</v>
      </c>
      <c r="E6" s="13" t="s">
        <v>6</v>
      </c>
      <c r="F6" s="13" t="s">
        <v>7</v>
      </c>
      <c r="G6" s="13" t="s">
        <v>13</v>
      </c>
      <c r="H6" s="34" t="s">
        <v>14</v>
      </c>
      <c r="I6" s="45" t="s">
        <v>28</v>
      </c>
      <c r="J6" s="45" t="s">
        <v>31</v>
      </c>
      <c r="K6" s="32" t="s">
        <v>9</v>
      </c>
      <c r="L6" s="14" t="s">
        <v>22</v>
      </c>
      <c r="M6" s="14" t="s">
        <v>63</v>
      </c>
      <c r="N6" s="1037"/>
      <c r="O6" s="44" t="s">
        <v>10</v>
      </c>
      <c r="P6" s="14" t="s">
        <v>64</v>
      </c>
    </row>
    <row r="7" spans="1:25" s="4" customFormat="1" ht="15" customHeight="1">
      <c r="A7" s="24">
        <v>1</v>
      </c>
      <c r="B7" s="38" t="s">
        <v>15</v>
      </c>
      <c r="C7" s="54">
        <f>SUM(UK:VŠTE!T7)</f>
        <v>8540238.3859899994</v>
      </c>
      <c r="D7" s="55">
        <f>SUM(UK:VŠTE!U7)</f>
        <v>8523417.4445699994</v>
      </c>
      <c r="E7" s="55">
        <f>SUM(UK:VŠTE!V7)</f>
        <v>141520.39199999999</v>
      </c>
      <c r="F7" s="55">
        <f>SUM(UK:VŠTE!W7)</f>
        <v>141511.46739999999</v>
      </c>
      <c r="G7" s="55">
        <f>SUM(UK:VŠTE!X7)</f>
        <v>8681758.7779900022</v>
      </c>
      <c r="H7" s="56">
        <f>SUM(UK:VŠTE!Y7)</f>
        <v>8664929.3119699992</v>
      </c>
      <c r="I7" s="75">
        <f t="shared" ref="I7:P7" si="0">I8+I12</f>
        <v>0</v>
      </c>
      <c r="J7" s="75">
        <f t="shared" si="0"/>
        <v>247735.70805999998</v>
      </c>
      <c r="K7" s="57">
        <f t="shared" si="0"/>
        <v>173493.50983999998</v>
      </c>
      <c r="L7" s="58">
        <f t="shared" si="0"/>
        <v>16798.96602000012</v>
      </c>
      <c r="M7" s="58">
        <f t="shared" si="0"/>
        <v>2009.04504</v>
      </c>
      <c r="N7" s="1036"/>
      <c r="O7" s="54">
        <f t="shared" si="0"/>
        <v>67761.73655999999</v>
      </c>
      <c r="P7" s="58">
        <f t="shared" si="0"/>
        <v>8723668.648529999</v>
      </c>
      <c r="R7" s="1558"/>
      <c r="S7" s="1558"/>
      <c r="T7" s="1558"/>
      <c r="U7" s="1558"/>
      <c r="V7" s="1558"/>
      <c r="W7" s="1558"/>
      <c r="X7" s="1558"/>
      <c r="Y7" s="1558"/>
    </row>
    <row r="8" spans="1:25" s="4" customFormat="1" ht="13.5" customHeight="1">
      <c r="A8" s="48">
        <f>A7+1</f>
        <v>2</v>
      </c>
      <c r="B8" s="35" t="s">
        <v>35</v>
      </c>
      <c r="C8" s="59">
        <f>SUM(UK:VŠTE!T8)</f>
        <v>5758972.5569900004</v>
      </c>
      <c r="D8" s="60">
        <f>SUM(UK:VŠTE!U8)</f>
        <v>5745773.2346900003</v>
      </c>
      <c r="E8" s="60">
        <f>SUM(UK:VŠTE!V8)</f>
        <v>126858.39199999999</v>
      </c>
      <c r="F8" s="60">
        <f>SUM(UK:VŠTE!W8)</f>
        <v>126849.46739999999</v>
      </c>
      <c r="G8" s="60">
        <f>SUM(UK:VŠTE!X8)</f>
        <v>5885830.9489900004</v>
      </c>
      <c r="H8" s="61">
        <f>SUM(UK:VŠTE!Y8)</f>
        <v>5872623.1020900002</v>
      </c>
      <c r="I8" s="77">
        <f>SUM(UK:VŠTE!Z8)</f>
        <v>0</v>
      </c>
      <c r="J8" s="78">
        <f>SUM(UK:VŠTE!AA8)</f>
        <v>22347.70839</v>
      </c>
      <c r="K8" s="62">
        <f>SUM(UK:VŠTE!AB8)</f>
        <v>123918.22418999998</v>
      </c>
      <c r="L8" s="63">
        <f>SUM(UK:VŠTE!AC8)</f>
        <v>13177.346900000133</v>
      </c>
      <c r="M8" s="63">
        <f>SUM(UK:VŠTE!AD8)</f>
        <v>725.48505</v>
      </c>
      <c r="N8" s="1036"/>
      <c r="O8" s="59">
        <f>SUM(UK:VŠTE!AF8)</f>
        <v>19041.796999999999</v>
      </c>
      <c r="P8" s="63">
        <f>SUM(UK:VŠTE!AG8)</f>
        <v>5888452.4990900001</v>
      </c>
    </row>
    <row r="9" spans="1:25" s="2" customFormat="1" ht="12.75" customHeight="1">
      <c r="A9" s="25">
        <f t="shared" ref="A9:A34" si="1">A8+1</f>
        <v>3</v>
      </c>
      <c r="B9" s="36" t="s">
        <v>58</v>
      </c>
      <c r="C9" s="64">
        <f>SUM(UK:VŠTE!T9)</f>
        <v>5673727.8770000003</v>
      </c>
      <c r="D9" s="65">
        <f>SUM(UK:VŠTE!U9)</f>
        <v>5673727.8770000003</v>
      </c>
      <c r="E9" s="65">
        <f>SUM(UK:VŠTE!V9)</f>
        <v>126858.39199999999</v>
      </c>
      <c r="F9" s="65">
        <f>SUM(UK:VŠTE!W9)</f>
        <v>126849.46739999999</v>
      </c>
      <c r="G9" s="65">
        <f>SUM(UK:VŠTE!X9)</f>
        <v>5800586.2690000013</v>
      </c>
      <c r="H9" s="66">
        <f>SUM(UK:VŠTE!Y9)</f>
        <v>5800577.7444000002</v>
      </c>
      <c r="I9" s="80">
        <f>SUM(UK:VŠTE!Z9)</f>
        <v>0</v>
      </c>
      <c r="J9" s="80">
        <f>SUM(UK:VŠTE!AA9)</f>
        <v>0</v>
      </c>
      <c r="K9" s="67">
        <f>SUM(UK:VŠTE!AB9)</f>
        <v>123045.08230000001</v>
      </c>
      <c r="L9" s="68">
        <f>SUM(UK:VŠTE!AC9)</f>
        <v>8.5246000001206994</v>
      </c>
      <c r="M9" s="68">
        <f>SUM(UK:VŠTE!AD9)</f>
        <v>0</v>
      </c>
      <c r="N9" s="1036"/>
      <c r="O9" s="64">
        <f>SUM(UK:VŠTE!AF9)</f>
        <v>19036.796999999999</v>
      </c>
      <c r="P9" s="68">
        <f>SUM(UK:VŠTE!AG9)</f>
        <v>5816402.1414000001</v>
      </c>
    </row>
    <row r="10" spans="1:25" s="2" customFormat="1" ht="12.75" customHeight="1">
      <c r="A10" s="25">
        <f t="shared" si="1"/>
        <v>4</v>
      </c>
      <c r="B10" s="36" t="s">
        <v>36</v>
      </c>
      <c r="C10" s="64">
        <f>SUM(UK:VŠTE!T10)</f>
        <v>77898.679990000004</v>
      </c>
      <c r="D10" s="65">
        <f>SUM(UK:VŠTE!U10)</f>
        <v>67971.357690000004</v>
      </c>
      <c r="E10" s="65">
        <f>SUM(UK:VŠTE!V10)</f>
        <v>0</v>
      </c>
      <c r="F10" s="65">
        <f>SUM(UK:VŠTE!W10)</f>
        <v>0</v>
      </c>
      <c r="G10" s="65">
        <f>SUM(UK:VŠTE!X10)</f>
        <v>77898.679990000004</v>
      </c>
      <c r="H10" s="249">
        <f>SUM(UK:VŠTE!Y10)</f>
        <v>67971.357690000004</v>
      </c>
      <c r="I10" s="80">
        <f>SUM(UK:VŠTE!Z10)</f>
        <v>32</v>
      </c>
      <c r="J10" s="80">
        <f>SUM(UK:VŠTE!AA10)</f>
        <v>19026.70839</v>
      </c>
      <c r="K10" s="67">
        <f>SUM(UK:VŠTE!AB10)</f>
        <v>873.14188999999999</v>
      </c>
      <c r="L10" s="68">
        <f>SUM(UK:VŠTE!AC10)</f>
        <v>9896.8223000000016</v>
      </c>
      <c r="M10" s="68">
        <f>SUM(UK:VŠTE!AD10)</f>
        <v>642.18504999999993</v>
      </c>
      <c r="N10" s="1036"/>
      <c r="O10" s="64">
        <f>SUM(UK:VŠTE!AF10)</f>
        <v>5</v>
      </c>
      <c r="P10" s="68">
        <f>SUM(UK:VŠTE!AG10)</f>
        <v>67976.357690000004</v>
      </c>
    </row>
    <row r="11" spans="1:25" s="2" customFormat="1" ht="12.75" customHeight="1">
      <c r="A11" s="25">
        <f t="shared" si="1"/>
        <v>5</v>
      </c>
      <c r="B11" s="37" t="s">
        <v>30</v>
      </c>
      <c r="C11" s="64">
        <f>SUM(UK:VŠTE!T11)</f>
        <v>1256</v>
      </c>
      <c r="D11" s="65">
        <f>SUM(UK:VŠTE!U11)</f>
        <v>960</v>
      </c>
      <c r="E11" s="65">
        <f>SUM(UK:VŠTE!V11)</f>
        <v>0</v>
      </c>
      <c r="F11" s="65">
        <f>SUM(UK:VŠTE!W11)</f>
        <v>0</v>
      </c>
      <c r="G11" s="65">
        <f>SUM(UK:VŠTE!X11)</f>
        <v>1256</v>
      </c>
      <c r="H11" s="66">
        <f>SUM(UK:VŠTE!Y11)</f>
        <v>960</v>
      </c>
      <c r="I11" s="79">
        <f>SUM(UK:VŠTE!Z11)</f>
        <v>0</v>
      </c>
      <c r="J11" s="80">
        <f>SUM(UK:VŠTE!AA11)</f>
        <v>268</v>
      </c>
      <c r="K11" s="67">
        <f>SUM(UK:VŠTE!AB11)</f>
        <v>0</v>
      </c>
      <c r="L11" s="68">
        <f>SUM(UK:VŠTE!AC11)</f>
        <v>296</v>
      </c>
      <c r="M11" s="68">
        <f>SUM(UK:VŠTE!AD11)</f>
        <v>0</v>
      </c>
      <c r="N11" s="1036"/>
      <c r="O11" s="64">
        <f>SUM(UK:VŠTE!AF11)</f>
        <v>0</v>
      </c>
      <c r="P11" s="68">
        <f>SUM(UK:VŠTE!AG11)</f>
        <v>960</v>
      </c>
    </row>
    <row r="12" spans="1:25" s="4" customFormat="1" ht="13.5" customHeight="1">
      <c r="A12" s="48">
        <f t="shared" si="1"/>
        <v>6</v>
      </c>
      <c r="B12" s="35" t="s">
        <v>42</v>
      </c>
      <c r="C12" s="59">
        <f>SUM(UK:VŠTE!T12)</f>
        <v>2780445.8289999994</v>
      </c>
      <c r="D12" s="60">
        <f>SUM(UK:VŠTE!U12)</f>
        <v>2776824.2098799995</v>
      </c>
      <c r="E12" s="60">
        <f>SUM(UK:VŠTE!V12)</f>
        <v>14662</v>
      </c>
      <c r="F12" s="60">
        <f>SUM(UK:VŠTE!W12)</f>
        <v>14662</v>
      </c>
      <c r="G12" s="60">
        <f>SUM(UK:VŠTE!X12)</f>
        <v>2795107.8289999994</v>
      </c>
      <c r="H12" s="61">
        <f>SUM(UK:VŠTE!Y12)</f>
        <v>2791486.2098799995</v>
      </c>
      <c r="I12" s="78">
        <f>SUM(UK:VŠTE!Z12)</f>
        <v>0</v>
      </c>
      <c r="J12" s="78">
        <f>SUM(UK:VŠTE!AA12)</f>
        <v>225387.99966999999</v>
      </c>
      <c r="K12" s="62">
        <f>SUM(UK:VŠTE!AB12)</f>
        <v>49575.285649999998</v>
      </c>
      <c r="L12" s="63">
        <f>SUM(UK:VŠTE!AC12)</f>
        <v>3621.6191199999876</v>
      </c>
      <c r="M12" s="63">
        <f>SUM(UK:VŠTE!AD12)</f>
        <v>1283.55999</v>
      </c>
      <c r="N12" s="1036"/>
      <c r="O12" s="59">
        <f>SUM(UK:VŠTE!AF12)</f>
        <v>48719.939559999999</v>
      </c>
      <c r="P12" s="63">
        <f>SUM(UK:VŠTE!AG12)</f>
        <v>2835216.1494399994</v>
      </c>
    </row>
    <row r="13" spans="1:25" s="4" customFormat="1" ht="13.5" customHeight="1">
      <c r="A13" s="29">
        <f t="shared" si="1"/>
        <v>7</v>
      </c>
      <c r="B13" s="36" t="s">
        <v>51</v>
      </c>
      <c r="C13" s="89">
        <f>SUM(UK:VŠTE!T13)</f>
        <v>1215941.206</v>
      </c>
      <c r="D13" s="87">
        <f>SUM(UK:VŠTE!U13)</f>
        <v>1215324.1227299999</v>
      </c>
      <c r="E13" s="87">
        <f>SUM(UK:VŠTE!V13)</f>
        <v>13860</v>
      </c>
      <c r="F13" s="87">
        <f>SUM(UK:VŠTE!W13)</f>
        <v>13860</v>
      </c>
      <c r="G13" s="65">
        <f>SUM(UK:VŠTE!X13)</f>
        <v>1229801.206</v>
      </c>
      <c r="H13" s="66">
        <f>SUM(UK:VŠTE!Y13)</f>
        <v>1229184.1227299999</v>
      </c>
      <c r="I13" s="79">
        <f>SUM(UK:VŠTE!Z13)</f>
        <v>0</v>
      </c>
      <c r="J13" s="88">
        <f>SUM(UK:VŠTE!AA13)</f>
        <v>165851.99</v>
      </c>
      <c r="K13" s="86">
        <f>SUM(UK:VŠTE!AB13)</f>
        <v>26137.865700000002</v>
      </c>
      <c r="L13" s="68">
        <f>SUM(UK:VŠTE!AC13)</f>
        <v>617.08327000000497</v>
      </c>
      <c r="M13" s="68">
        <f>SUM(UK:VŠTE!AD13)</f>
        <v>587.80197999999996</v>
      </c>
      <c r="N13" s="1036"/>
      <c r="O13" s="89">
        <f>SUM(UK:VŠTE!AF13)</f>
        <v>44005.689559999999</v>
      </c>
      <c r="P13" s="68">
        <f>SUM(UK:VŠTE!AG13)</f>
        <v>1273189.8122899998</v>
      </c>
    </row>
    <row r="14" spans="1:25" s="4" customFormat="1" ht="13.5" customHeight="1">
      <c r="A14" s="29"/>
      <c r="B14" s="36" t="s">
        <v>61</v>
      </c>
      <c r="C14" s="89">
        <f>SUM(UK:VŠTE!T14)</f>
        <v>1025615</v>
      </c>
      <c r="D14" s="87">
        <f>SUM(UK:VŠTE!U14)</f>
        <v>1025104</v>
      </c>
      <c r="E14" s="87">
        <f>SUM(UK:VŠTE!V14)</f>
        <v>13860</v>
      </c>
      <c r="F14" s="87">
        <f>SUM(UK:VŠTE!W14)</f>
        <v>13860</v>
      </c>
      <c r="G14" s="65">
        <f>SUM(UK:VŠTE!X14)</f>
        <v>1039475</v>
      </c>
      <c r="H14" s="66">
        <f>SUM(UK:VŠTE!Y14)</f>
        <v>1038964</v>
      </c>
      <c r="I14" s="79">
        <f>SUM(UK:VŠTE!Z14)</f>
        <v>0</v>
      </c>
      <c r="J14" s="88">
        <f>SUM(UK:VŠTE!AA14)</f>
        <v>162430</v>
      </c>
      <c r="K14" s="86">
        <f>SUM(UK:VŠTE!AB14)</f>
        <v>24483.963220000001</v>
      </c>
      <c r="L14" s="68">
        <f>SUM(UK:VŠTE!AC14)</f>
        <v>511</v>
      </c>
      <c r="M14" s="68">
        <f>SUM(UK:VŠTE!AD14)</f>
        <v>511</v>
      </c>
      <c r="N14" s="1036"/>
      <c r="O14" s="89">
        <f>SUM(UK:VŠTE!AF14)</f>
        <v>35605.689559999999</v>
      </c>
      <c r="P14" s="68">
        <f>SUM(UK:VŠTE!AG14)</f>
        <v>1074569.6895599999</v>
      </c>
    </row>
    <row r="15" spans="1:25" s="4" customFormat="1" ht="13.5" customHeight="1">
      <c r="A15" s="25">
        <f>A13+1</f>
        <v>8</v>
      </c>
      <c r="B15" s="37" t="s">
        <v>66</v>
      </c>
      <c r="C15" s="89">
        <f>SUM(UK:VŠTE!T15)</f>
        <v>46116</v>
      </c>
      <c r="D15" s="87">
        <f>SUM(UK:VŠTE!U15)</f>
        <v>46116</v>
      </c>
      <c r="E15" s="87">
        <f>SUM(UK:VŠTE!V15)</f>
        <v>0</v>
      </c>
      <c r="F15" s="87">
        <f>SUM(UK:VŠTE!W15)</f>
        <v>0</v>
      </c>
      <c r="G15" s="65">
        <f>SUM(UK:VŠTE!X15)</f>
        <v>46116</v>
      </c>
      <c r="H15" s="66">
        <f>SUM(UK:VŠTE!Y15)</f>
        <v>46116</v>
      </c>
      <c r="I15" s="88">
        <f>SUM(UK:VŠTE!Z15)</f>
        <v>0</v>
      </c>
      <c r="J15" s="88">
        <f>SUM(UK:VŠTE!AA15)</f>
        <v>0</v>
      </c>
      <c r="K15" s="86">
        <f>SUM(UK:VŠTE!AB15)</f>
        <v>0</v>
      </c>
      <c r="L15" s="68">
        <f>SUM(UK:VŠTE!AC15)</f>
        <v>0</v>
      </c>
      <c r="M15" s="68">
        <f>SUM(UK:VŠTE!AD15)</f>
        <v>0</v>
      </c>
      <c r="N15" s="1036"/>
      <c r="O15" s="89">
        <f>SUM(UK:VŠTE!AF15)</f>
        <v>0</v>
      </c>
      <c r="P15" s="68">
        <f>SUM(UK:VŠTE!AG15)</f>
        <v>46116</v>
      </c>
    </row>
    <row r="16" spans="1:25" s="4" customFormat="1" ht="12.75" customHeight="1">
      <c r="A16" s="29">
        <f t="shared" si="1"/>
        <v>9</v>
      </c>
      <c r="B16" s="36" t="s">
        <v>52</v>
      </c>
      <c r="C16" s="89">
        <f>SUM(UK:VŠTE!T16)</f>
        <v>102256.348</v>
      </c>
      <c r="D16" s="87">
        <f>SUM(UK:VŠTE!U16)</f>
        <v>100873.31215000001</v>
      </c>
      <c r="E16" s="87">
        <f>SUM(UK:VŠTE!V16)</f>
        <v>0</v>
      </c>
      <c r="F16" s="87">
        <f>SUM(UK:VŠTE!W16)</f>
        <v>0</v>
      </c>
      <c r="G16" s="65">
        <f>SUM(UK:VŠTE!X16)</f>
        <v>102256.348</v>
      </c>
      <c r="H16" s="66">
        <f>SUM(UK:VŠTE!Y16)</f>
        <v>100873.31215000001</v>
      </c>
      <c r="I16" s="79">
        <f>SUM(UK:VŠTE!Z16)</f>
        <v>0</v>
      </c>
      <c r="J16" s="88">
        <f>SUM(UK:VŠTE!AA16)</f>
        <v>11351.009669999999</v>
      </c>
      <c r="K16" s="86">
        <f>SUM(UK:VŠTE!AB16)</f>
        <v>1138.7726</v>
      </c>
      <c r="L16" s="68">
        <f>SUM(UK:VŠTE!AC16)</f>
        <v>1383.0358499999998</v>
      </c>
      <c r="M16" s="68">
        <f>SUM(UK:VŠTE!AD16)</f>
        <v>630.7580099999999</v>
      </c>
      <c r="N16" s="1036"/>
      <c r="O16" s="89">
        <f>SUM(UK:VŠTE!AF16)</f>
        <v>146</v>
      </c>
      <c r="P16" s="68">
        <f>SUM(UK:VŠTE!AG16)</f>
        <v>96029.312150000012</v>
      </c>
    </row>
    <row r="17" spans="1:16" s="2" customFormat="1" ht="12.75" customHeight="1">
      <c r="A17" s="25">
        <f t="shared" si="1"/>
        <v>10</v>
      </c>
      <c r="B17" s="37" t="s">
        <v>30</v>
      </c>
      <c r="C17" s="89">
        <f>SUM(UK:VŠTE!T17)</f>
        <v>3882</v>
      </c>
      <c r="D17" s="87">
        <f>SUM(UK:VŠTE!U17)</f>
        <v>3749</v>
      </c>
      <c r="E17" s="87">
        <f>SUM(UK:VŠTE!V17)</f>
        <v>0</v>
      </c>
      <c r="F17" s="87">
        <f>SUM(UK:VŠTE!W17)</f>
        <v>0</v>
      </c>
      <c r="G17" s="65">
        <f>SUM(UK:VŠTE!X17)</f>
        <v>3882</v>
      </c>
      <c r="H17" s="66">
        <f>SUM(UK:VŠTE!Y17)</f>
        <v>3749</v>
      </c>
      <c r="I17" s="88">
        <f>SUM(UK:VŠTE!Z17)</f>
        <v>0</v>
      </c>
      <c r="J17" s="88">
        <f>SUM(UK:VŠTE!AA17)</f>
        <v>0</v>
      </c>
      <c r="K17" s="86">
        <f>SUM(UK:VŠTE!AB17)</f>
        <v>77</v>
      </c>
      <c r="L17" s="68">
        <f>SUM(UK:VŠTE!AC17)</f>
        <v>133</v>
      </c>
      <c r="M17" s="68">
        <f>SUM(UK:VŠTE!AD17)</f>
        <v>0</v>
      </c>
      <c r="N17" s="1036"/>
      <c r="O17" s="89">
        <f>SUM(UK:VŠTE!AF17)</f>
        <v>0</v>
      </c>
      <c r="P17" s="68">
        <f>SUM(UK:VŠTE!AG17)</f>
        <v>3749</v>
      </c>
    </row>
    <row r="18" spans="1:16" s="4" customFormat="1" ht="12.75" customHeight="1">
      <c r="A18" s="29">
        <f t="shared" si="1"/>
        <v>11</v>
      </c>
      <c r="B18" s="36" t="s">
        <v>37</v>
      </c>
      <c r="C18" s="89">
        <f>SUM(UK:VŠTE!T18)</f>
        <v>1146968.2750000001</v>
      </c>
      <c r="D18" s="87">
        <f>SUM(UK:VŠTE!U18)</f>
        <v>1146968.2750000001</v>
      </c>
      <c r="E18" s="87">
        <f>SUM(UK:VŠTE!V18)</f>
        <v>370</v>
      </c>
      <c r="F18" s="87">
        <f>SUM(UK:VŠTE!W18)</f>
        <v>370</v>
      </c>
      <c r="G18" s="65">
        <f>SUM(UK:VŠTE!X18)</f>
        <v>1147338.2750000001</v>
      </c>
      <c r="H18" s="66">
        <f>SUM(UK:VŠTE!Y18)</f>
        <v>1147338.2750000001</v>
      </c>
      <c r="I18" s="88">
        <f>SUM(UK:VŠTE!Z18)</f>
        <v>0</v>
      </c>
      <c r="J18" s="88">
        <f>SUM(UK:VŠTE!AA18)</f>
        <v>0</v>
      </c>
      <c r="K18" s="86">
        <f>SUM(UK:VŠTE!AB18)</f>
        <v>14042.302030000001</v>
      </c>
      <c r="L18" s="68">
        <f>SUM(UK:VŠTE!AC18)</f>
        <v>0</v>
      </c>
      <c r="M18" s="68">
        <f>SUM(UK:VŠTE!AD18)</f>
        <v>0</v>
      </c>
      <c r="N18" s="1036"/>
      <c r="O18" s="89">
        <f>SUM(UK:VŠTE!AF18)</f>
        <v>4568.25</v>
      </c>
      <c r="P18" s="68">
        <f>SUM(UK:VŠTE!AG18)</f>
        <v>1151906.5250000001</v>
      </c>
    </row>
    <row r="19" spans="1:16" s="4" customFormat="1" ht="12.75" customHeight="1">
      <c r="A19" s="29">
        <f t="shared" si="1"/>
        <v>12</v>
      </c>
      <c r="B19" s="50" t="s">
        <v>38</v>
      </c>
      <c r="C19" s="89">
        <f>SUM(UK:VŠTE!T19)</f>
        <v>313431</v>
      </c>
      <c r="D19" s="87">
        <f>SUM(UK:VŠTE!U19)</f>
        <v>313288.5</v>
      </c>
      <c r="E19" s="87">
        <f>SUM(UK:VŠTE!V19)</f>
        <v>432</v>
      </c>
      <c r="F19" s="87">
        <f>SUM(UK:VŠTE!W19)</f>
        <v>432</v>
      </c>
      <c r="G19" s="65">
        <f>SUM(UK:VŠTE!X19)</f>
        <v>313863</v>
      </c>
      <c r="H19" s="66">
        <f>SUM(UK:VŠTE!Y19)</f>
        <v>313720.5</v>
      </c>
      <c r="I19" s="88">
        <f>SUM(UK:VŠTE!Z19)</f>
        <v>0</v>
      </c>
      <c r="J19" s="88">
        <f>SUM(UK:VŠTE!AA19)</f>
        <v>48185</v>
      </c>
      <c r="K19" s="86">
        <f>SUM(UK:VŠTE!AB19)</f>
        <v>8251.3453200000004</v>
      </c>
      <c r="L19" s="68">
        <f>SUM(UK:VŠTE!AC19)</f>
        <v>142.5</v>
      </c>
      <c r="M19" s="68">
        <f>SUM(UK:VŠTE!AD19)</f>
        <v>65</v>
      </c>
      <c r="N19" s="1036"/>
      <c r="O19" s="89">
        <f>SUM(UK:VŠTE!AF19)</f>
        <v>0</v>
      </c>
      <c r="P19" s="68">
        <f>SUM(UK:VŠTE!AG19)</f>
        <v>313720.5</v>
      </c>
    </row>
    <row r="20" spans="1:16" s="2" customFormat="1" ht="12.75" customHeight="1">
      <c r="A20" s="25">
        <f t="shared" si="1"/>
        <v>13</v>
      </c>
      <c r="B20" s="37" t="s">
        <v>30</v>
      </c>
      <c r="C20" s="89">
        <f>SUM(UK:VŠTE!T20)</f>
        <v>50900</v>
      </c>
      <c r="D20" s="87">
        <f>SUM(UK:VŠTE!U20)</f>
        <v>50822.5</v>
      </c>
      <c r="E20" s="87">
        <f>SUM(UK:VŠTE!V20)</f>
        <v>0</v>
      </c>
      <c r="F20" s="87">
        <f>SUM(UK:VŠTE!W20)</f>
        <v>0</v>
      </c>
      <c r="G20" s="65">
        <f>SUM(UK:VŠTE!X20)</f>
        <v>50900</v>
      </c>
      <c r="H20" s="66">
        <f>SUM(UK:VŠTE!Y20)</f>
        <v>50822.5</v>
      </c>
      <c r="I20" s="88">
        <f>SUM(UK:VŠTE!Z20)</f>
        <v>0</v>
      </c>
      <c r="J20" s="88">
        <f>SUM(UK:VŠTE!AA20)</f>
        <v>15605</v>
      </c>
      <c r="K20" s="86">
        <f>SUM(UK:VŠTE!AB20)</f>
        <v>551.64423999999997</v>
      </c>
      <c r="L20" s="68">
        <f>SUM(UK:VŠTE!AC20)</f>
        <v>77.5</v>
      </c>
      <c r="M20" s="68">
        <f>SUM(UK:VŠTE!AD20)</f>
        <v>0</v>
      </c>
      <c r="N20" s="1036"/>
      <c r="O20" s="89">
        <f>SUM(UK:VŠTE!AF20)</f>
        <v>0</v>
      </c>
      <c r="P20" s="68">
        <f>SUM(UK:VŠTE!AG20)</f>
        <v>50822.5</v>
      </c>
    </row>
    <row r="21" spans="1:16" s="4" customFormat="1" ht="13.5" customHeight="1">
      <c r="A21" s="24">
        <f t="shared" si="1"/>
        <v>14</v>
      </c>
      <c r="B21" s="38" t="s">
        <v>29</v>
      </c>
      <c r="C21" s="70">
        <f>SUM(UK:VŠTE!T21)</f>
        <v>3986928.78584</v>
      </c>
      <c r="D21" s="71">
        <f>SUM(UK:VŠTE!U21)</f>
        <v>3954443.3594200001</v>
      </c>
      <c r="E21" s="71">
        <f>SUM(UK:VŠTE!V21)</f>
        <v>15880</v>
      </c>
      <c r="F21" s="71">
        <f>SUM(UK:VŠTE!W21)</f>
        <v>15522.146000000001</v>
      </c>
      <c r="G21" s="71">
        <f>SUM(UK:VŠTE!X21)</f>
        <v>4002808.78584</v>
      </c>
      <c r="H21" s="72">
        <f>SUM(UK:VŠTE!Y21)</f>
        <v>3969965.5054200003</v>
      </c>
      <c r="I21" s="90">
        <f>SUM(UK:VŠTE!Z21)</f>
        <v>0</v>
      </c>
      <c r="J21" s="1252">
        <f>SUM(UK:VŠTE!AA21)</f>
        <v>1158241.5879900001</v>
      </c>
      <c r="K21" s="73">
        <f>SUM(UK:VŠTE!AB21)</f>
        <v>44762.028050000001</v>
      </c>
      <c r="L21" s="74">
        <f>SUM(UK:VŠTE!AC21)</f>
        <v>33105.280419999908</v>
      </c>
      <c r="M21" s="74">
        <f>SUM(UK:VŠTE!AD21)</f>
        <v>6585.0486300000002</v>
      </c>
      <c r="N21" s="1036"/>
      <c r="O21" s="70">
        <f>SUM(UK:VŠTE!AF21)</f>
        <v>54723.015669999993</v>
      </c>
      <c r="P21" s="74">
        <f>SUM(UK:VŠTE!AG21)</f>
        <v>4024688.5210900004</v>
      </c>
    </row>
    <row r="22" spans="1:16" s="4" customFormat="1" ht="12.75" customHeight="1">
      <c r="A22" s="46">
        <f t="shared" si="1"/>
        <v>15</v>
      </c>
      <c r="B22" s="43" t="s">
        <v>53</v>
      </c>
      <c r="C22" s="59"/>
      <c r="D22" s="60"/>
      <c r="E22" s="60"/>
      <c r="F22" s="60"/>
      <c r="G22" s="60"/>
      <c r="H22" s="61"/>
      <c r="I22" s="78"/>
      <c r="J22" s="78"/>
      <c r="K22" s="62"/>
      <c r="L22" s="63"/>
      <c r="M22" s="63"/>
      <c r="N22" s="1036"/>
      <c r="O22" s="59"/>
      <c r="P22" s="63"/>
    </row>
    <row r="23" spans="1:16" s="2" customFormat="1" ht="12.75" customHeight="1">
      <c r="A23" s="25">
        <f t="shared" si="1"/>
        <v>16</v>
      </c>
      <c r="B23" s="37" t="s">
        <v>60</v>
      </c>
      <c r="C23" s="89"/>
      <c r="D23" s="87"/>
      <c r="E23" s="87"/>
      <c r="F23" s="87"/>
      <c r="G23" s="65"/>
      <c r="H23" s="66"/>
      <c r="I23" s="88"/>
      <c r="J23" s="88"/>
      <c r="K23" s="86"/>
      <c r="L23" s="68"/>
      <c r="M23" s="68"/>
      <c r="N23" s="1036"/>
      <c r="O23" s="89"/>
      <c r="P23" s="68"/>
    </row>
    <row r="24" spans="1:16" s="2" customFormat="1" ht="12.75" customHeight="1">
      <c r="A24" s="46">
        <f t="shared" si="1"/>
        <v>17</v>
      </c>
      <c r="B24" s="47" t="s">
        <v>59</v>
      </c>
      <c r="C24" s="59">
        <f>SUM(UK:VŠTE!T24)</f>
        <v>2041787.12274</v>
      </c>
      <c r="D24" s="60">
        <f>SUM(UK:VŠTE!U24)</f>
        <v>2027332.7441399998</v>
      </c>
      <c r="E24" s="60">
        <f>SUM(UK:VŠTE!V24)</f>
        <v>1279</v>
      </c>
      <c r="F24" s="60">
        <f>SUM(UK:VŠTE!W24)</f>
        <v>1248.1599999999999</v>
      </c>
      <c r="G24" s="60">
        <f>SUM(UK:VŠTE!X24)</f>
        <v>2043066.12274</v>
      </c>
      <c r="H24" s="61">
        <f>SUM(UK:VŠTE!Y24)</f>
        <v>2028580.9041399998</v>
      </c>
      <c r="I24" s="78">
        <f>SUM(UK:VŠTE!Z24)</f>
        <v>0</v>
      </c>
      <c r="J24" s="78">
        <f>SUM(UK:VŠTE!AA24)</f>
        <v>411113.13266</v>
      </c>
      <c r="K24" s="62">
        <f>SUM(UK:VŠTE!AB24)</f>
        <v>27240.311279999998</v>
      </c>
      <c r="L24" s="63">
        <f>SUM(UK:VŠTE!AC24)</f>
        <v>14427.21859999996</v>
      </c>
      <c r="M24" s="63">
        <f>SUM(UK:VŠTE!AD24)</f>
        <v>5568.2167399999998</v>
      </c>
      <c r="N24" s="1036"/>
      <c r="O24" s="59">
        <f>SUM(UK:VŠTE!AF24)</f>
        <v>2882.1035200000001</v>
      </c>
      <c r="P24" s="63">
        <f>SUM(UK:VŠTE!AG24)</f>
        <v>2031463.0076599999</v>
      </c>
    </row>
    <row r="25" spans="1:16" s="2" customFormat="1" ht="12.75" customHeight="1">
      <c r="A25" s="25">
        <f t="shared" si="1"/>
        <v>18</v>
      </c>
      <c r="B25" s="37" t="s">
        <v>60</v>
      </c>
      <c r="C25" s="89"/>
      <c r="D25" s="87"/>
      <c r="E25" s="87"/>
      <c r="F25" s="87"/>
      <c r="G25" s="65"/>
      <c r="H25" s="66"/>
      <c r="I25" s="88"/>
      <c r="J25" s="88"/>
      <c r="K25" s="86"/>
      <c r="L25" s="68"/>
      <c r="M25" s="68"/>
      <c r="N25" s="1036"/>
      <c r="O25" s="89"/>
      <c r="P25" s="68"/>
    </row>
    <row r="26" spans="1:16" s="2" customFormat="1" ht="12.75" customHeight="1">
      <c r="A26" s="46">
        <f t="shared" si="1"/>
        <v>19</v>
      </c>
      <c r="B26" s="47" t="s">
        <v>54</v>
      </c>
      <c r="C26" s="59">
        <f>SUM(UK:VŠTE!T26)</f>
        <v>1088628.3321</v>
      </c>
      <c r="D26" s="60">
        <f>SUM(UK:VŠTE!U26)</f>
        <v>1079800.2105999999</v>
      </c>
      <c r="E26" s="60">
        <f>SUM(UK:VŠTE!V26)</f>
        <v>0</v>
      </c>
      <c r="F26" s="60">
        <f>SUM(UK:VŠTE!W26)</f>
        <v>0</v>
      </c>
      <c r="G26" s="60">
        <f>SUM(UK:VŠTE!X26)</f>
        <v>1088628.3321</v>
      </c>
      <c r="H26" s="61">
        <f>SUM(UK:VŠTE!Y26)</f>
        <v>1079800.2105999999</v>
      </c>
      <c r="I26" s="78">
        <f>SUM(UK:VŠTE!Z26)</f>
        <v>0</v>
      </c>
      <c r="J26" s="78">
        <f>SUM(UK:VŠTE!AA26)</f>
        <v>605274.89355000004</v>
      </c>
      <c r="K26" s="62">
        <f>SUM(UK:VŠTE!AB26)</f>
        <v>6440.28964</v>
      </c>
      <c r="L26" s="63">
        <f>SUM(UK:VŠTE!AC26)</f>
        <v>9493.1214999999775</v>
      </c>
      <c r="M26" s="63">
        <f>SUM(UK:VŠTE!AD26)</f>
        <v>80.111059999999995</v>
      </c>
      <c r="N26" s="1036"/>
      <c r="O26" s="59">
        <f>SUM(UK:VŠTE!AF26)</f>
        <v>38860.693010000003</v>
      </c>
      <c r="P26" s="63">
        <f>SUM(UK:VŠTE!AG26)</f>
        <v>1118660.9036099999</v>
      </c>
    </row>
    <row r="27" spans="1:16" s="2" customFormat="1" ht="12.75" customHeight="1">
      <c r="A27" s="25">
        <f t="shared" si="1"/>
        <v>20</v>
      </c>
      <c r="B27" s="37" t="s">
        <v>60</v>
      </c>
      <c r="C27" s="94"/>
      <c r="D27" s="92"/>
      <c r="E27" s="92"/>
      <c r="F27" s="92"/>
      <c r="G27" s="65"/>
      <c r="H27" s="66"/>
      <c r="I27" s="93"/>
      <c r="J27" s="93"/>
      <c r="K27" s="91"/>
      <c r="L27" s="68"/>
      <c r="M27" s="68"/>
      <c r="N27" s="1036"/>
      <c r="O27" s="94"/>
      <c r="P27" s="68"/>
    </row>
    <row r="28" spans="1:16" s="4" customFormat="1" ht="12.75" customHeight="1">
      <c r="A28" s="24">
        <f t="shared" si="1"/>
        <v>21</v>
      </c>
      <c r="B28" s="38" t="s">
        <v>27</v>
      </c>
      <c r="C28" s="70">
        <f>SUM(UK:VŠTE!T28)</f>
        <v>42550.658100000001</v>
      </c>
      <c r="D28" s="71">
        <f>SUM(UK:VŠTE!U28)</f>
        <v>26471.658100000001</v>
      </c>
      <c r="E28" s="71">
        <f>SUM(UK:VŠTE!V28)</f>
        <v>4100</v>
      </c>
      <c r="F28" s="71">
        <f>SUM(UK:VŠTE!W28)</f>
        <v>4100</v>
      </c>
      <c r="G28" s="71">
        <f>SUM(UK:VŠTE!X28)</f>
        <v>46650.658100000001</v>
      </c>
      <c r="H28" s="72">
        <f>SUM(UK:VŠTE!Y28)</f>
        <v>30571.658100000001</v>
      </c>
      <c r="I28" s="90">
        <f>SUM(UK:VŠTE!Z28)</f>
        <v>0</v>
      </c>
      <c r="J28" s="90">
        <f>SUM(UK:VŠTE!AA28)</f>
        <v>0</v>
      </c>
      <c r="K28" s="73">
        <f>SUM(UK:VŠTE!AB28)</f>
        <v>0</v>
      </c>
      <c r="L28" s="74">
        <f>SUM(UK:VŠTE!AC28)</f>
        <v>16079</v>
      </c>
      <c r="M28" s="74">
        <f>SUM(UK:VŠTE!AD28)</f>
        <v>0</v>
      </c>
      <c r="N28" s="1036"/>
      <c r="O28" s="70">
        <f>SUM(UK:VŠTE!AF28)</f>
        <v>0</v>
      </c>
      <c r="P28" s="74">
        <f>SUM(UK:VŠTE!AG28)</f>
        <v>30571.658100000001</v>
      </c>
    </row>
    <row r="29" spans="1:16" s="2" customFormat="1" ht="12.75" customHeight="1">
      <c r="A29" s="29">
        <f t="shared" si="1"/>
        <v>22</v>
      </c>
      <c r="B29" s="43" t="s">
        <v>34</v>
      </c>
      <c r="C29" s="59"/>
      <c r="D29" s="60"/>
      <c r="E29" s="60"/>
      <c r="F29" s="60"/>
      <c r="G29" s="60"/>
      <c r="H29" s="61"/>
      <c r="I29" s="78"/>
      <c r="J29" s="78"/>
      <c r="K29" s="62"/>
      <c r="L29" s="63"/>
      <c r="M29" s="63"/>
      <c r="N29" s="1036"/>
      <c r="O29" s="59"/>
      <c r="P29" s="63"/>
    </row>
    <row r="30" spans="1:16" s="2" customFormat="1" ht="12.75" customHeight="1">
      <c r="A30" s="25">
        <f t="shared" si="1"/>
        <v>23</v>
      </c>
      <c r="B30" s="37" t="s">
        <v>60</v>
      </c>
      <c r="C30" s="94"/>
      <c r="D30" s="92"/>
      <c r="E30" s="92"/>
      <c r="F30" s="92"/>
      <c r="G30" s="65"/>
      <c r="H30" s="66"/>
      <c r="I30" s="93"/>
      <c r="J30" s="93"/>
      <c r="K30" s="91"/>
      <c r="L30" s="68"/>
      <c r="M30" s="68"/>
      <c r="N30" s="1036"/>
      <c r="O30" s="94"/>
      <c r="P30" s="68"/>
    </row>
    <row r="31" spans="1:16" s="4" customFormat="1" ht="13.5" customHeight="1">
      <c r="A31" s="24">
        <f t="shared" si="1"/>
        <v>24</v>
      </c>
      <c r="B31" s="38" t="s">
        <v>32</v>
      </c>
      <c r="C31" s="70">
        <f>SUM(UK:VŠTE!T31)</f>
        <v>462308.78411000001</v>
      </c>
      <c r="D31" s="71">
        <f>SUM(UK:VŠTE!U31)</f>
        <v>463208.02303000004</v>
      </c>
      <c r="E31" s="71">
        <f>SUM(UK:VŠTE!V31)</f>
        <v>18817.51312</v>
      </c>
      <c r="F31" s="71">
        <f>SUM(UK:VŠTE!W31)</f>
        <v>18817.51312</v>
      </c>
      <c r="G31" s="71">
        <f>SUM(UK:VŠTE!X31)</f>
        <v>481261.29723000003</v>
      </c>
      <c r="H31" s="72">
        <f>SUM(UK:VŠTE!Y31)</f>
        <v>482160.53615</v>
      </c>
      <c r="I31" s="90">
        <f>SUM(UK:VŠTE!Z31)</f>
        <v>300</v>
      </c>
      <c r="J31" s="90">
        <f>SUM(UK:VŠTE!AA31)</f>
        <v>62172.798690000003</v>
      </c>
      <c r="K31" s="73">
        <f>SUM(UK:VŠTE!AB31)</f>
        <v>62257</v>
      </c>
      <c r="L31" s="74">
        <f>SUM(UK:VŠTE!AC31)</f>
        <v>1949.7610800000002</v>
      </c>
      <c r="M31" s="74">
        <f>SUM(UK:VŠTE!AD31)</f>
        <v>0</v>
      </c>
      <c r="N31" s="1036"/>
      <c r="O31" s="70">
        <f>SUM(UK:VŠTE!AF31)</f>
        <v>7178.4688800000004</v>
      </c>
      <c r="P31" s="74">
        <f>SUM(UK:VŠTE!AG31)</f>
        <v>489339.00503</v>
      </c>
    </row>
    <row r="32" spans="1:16" s="2" customFormat="1" ht="12.75" customHeight="1">
      <c r="A32" s="46">
        <f t="shared" si="1"/>
        <v>25</v>
      </c>
      <c r="B32" s="47" t="s">
        <v>39</v>
      </c>
      <c r="C32" s="59"/>
      <c r="D32" s="60"/>
      <c r="E32" s="60"/>
      <c r="F32" s="60"/>
      <c r="G32" s="60"/>
      <c r="H32" s="61"/>
      <c r="I32" s="78"/>
      <c r="J32" s="78"/>
      <c r="K32" s="62"/>
      <c r="L32" s="63"/>
      <c r="M32" s="63"/>
      <c r="N32" s="1036"/>
      <c r="O32" s="59"/>
      <c r="P32" s="63"/>
    </row>
    <row r="33" spans="1:16" s="2" customFormat="1" ht="12.75" customHeight="1" thickBot="1">
      <c r="A33" s="25">
        <f t="shared" si="1"/>
        <v>26</v>
      </c>
      <c r="B33" s="37" t="s">
        <v>60</v>
      </c>
      <c r="C33" s="89"/>
      <c r="D33" s="87"/>
      <c r="E33" s="87"/>
      <c r="F33" s="87"/>
      <c r="G33" s="65"/>
      <c r="H33" s="66"/>
      <c r="I33" s="88"/>
      <c r="J33" s="88"/>
      <c r="K33" s="86"/>
      <c r="L33" s="68"/>
      <c r="M33" s="68"/>
      <c r="N33" s="1036"/>
      <c r="O33" s="89"/>
      <c r="P33" s="68"/>
    </row>
    <row r="34" spans="1:16" s="2" customFormat="1" ht="13.5" customHeight="1" thickBot="1">
      <c r="A34" s="31">
        <f t="shared" si="1"/>
        <v>27</v>
      </c>
      <c r="B34" s="39" t="s">
        <v>23</v>
      </c>
      <c r="C34" s="95">
        <f>SUM(C7,C21,C28,C31)</f>
        <v>13032026.614039999</v>
      </c>
      <c r="D34" s="96">
        <f t="shared" ref="D34:P34" si="2">SUM(D7,D21,D28,D31)</f>
        <v>12967540.485119998</v>
      </c>
      <c r="E34" s="96">
        <f t="shared" si="2"/>
        <v>180317.90511999998</v>
      </c>
      <c r="F34" s="96">
        <f t="shared" si="2"/>
        <v>179951.12651999999</v>
      </c>
      <c r="G34" s="96">
        <f t="shared" si="2"/>
        <v>13212479.519160002</v>
      </c>
      <c r="H34" s="97">
        <f t="shared" si="2"/>
        <v>13147627.011639997</v>
      </c>
      <c r="I34" s="98">
        <f t="shared" si="2"/>
        <v>300</v>
      </c>
      <c r="J34" s="98">
        <f t="shared" si="2"/>
        <v>1468150.0947400001</v>
      </c>
      <c r="K34" s="99">
        <f t="shared" si="2"/>
        <v>280512.53788999998</v>
      </c>
      <c r="L34" s="100">
        <f t="shared" si="2"/>
        <v>67933.007520000028</v>
      </c>
      <c r="M34" s="100">
        <f t="shared" si="2"/>
        <v>8594.0936700000002</v>
      </c>
      <c r="N34" s="101"/>
      <c r="O34" s="95">
        <f t="shared" si="2"/>
        <v>129663.22110999998</v>
      </c>
      <c r="P34" s="100">
        <f t="shared" si="2"/>
        <v>13268267.83275</v>
      </c>
    </row>
    <row r="35" spans="1:16" s="28" customFormat="1" ht="13.5" customHeight="1">
      <c r="A35" s="26"/>
      <c r="B35" s="27"/>
      <c r="C35" s="22"/>
      <c r="D35" s="22"/>
      <c r="E35" s="22"/>
      <c r="F35" s="22"/>
      <c r="G35" s="22"/>
      <c r="H35" s="22"/>
      <c r="I35" s="22"/>
      <c r="J35" s="22"/>
      <c r="K35" s="22"/>
      <c r="L35" s="22"/>
      <c r="M35" s="22"/>
      <c r="N35" s="22"/>
      <c r="O35" s="22"/>
      <c r="P35" s="22"/>
    </row>
    <row r="36" spans="1:16" ht="22.5" customHeight="1">
      <c r="A36" s="2" t="s">
        <v>11</v>
      </c>
      <c r="C36" s="1347"/>
      <c r="N36" s="20"/>
    </row>
    <row r="37" spans="1:16" ht="56.25" customHeight="1">
      <c r="A37" s="1348" t="s">
        <v>40</v>
      </c>
      <c r="B37" s="1353"/>
      <c r="C37" s="1353"/>
      <c r="D37" s="1353"/>
      <c r="E37" s="1353"/>
      <c r="F37" s="1353"/>
      <c r="G37" s="1353"/>
      <c r="H37" s="1353"/>
      <c r="I37" s="1353"/>
      <c r="J37" s="1353"/>
      <c r="K37" s="1353"/>
      <c r="L37" s="1353"/>
      <c r="M37" s="1353"/>
      <c r="N37" s="1353"/>
      <c r="O37" s="1353"/>
      <c r="P37" s="1353"/>
    </row>
    <row r="38" spans="1:16" ht="30" customHeight="1">
      <c r="A38" s="1348" t="s">
        <v>55</v>
      </c>
      <c r="B38" s="1353"/>
      <c r="C38" s="1353"/>
      <c r="D38" s="1353"/>
      <c r="E38" s="1353"/>
      <c r="F38" s="1353"/>
      <c r="G38" s="1353"/>
      <c r="H38" s="1353"/>
      <c r="I38" s="1353"/>
      <c r="J38" s="1353"/>
      <c r="K38" s="1353"/>
      <c r="L38" s="1353"/>
      <c r="M38" s="1353"/>
      <c r="N38" s="1353"/>
      <c r="O38" s="1353"/>
      <c r="P38" s="1353"/>
    </row>
    <row r="39" spans="1:16" ht="34.5" customHeight="1">
      <c r="A39" s="1348" t="s">
        <v>56</v>
      </c>
      <c r="B39" s="1353"/>
      <c r="C39" s="1353"/>
      <c r="D39" s="1353"/>
      <c r="E39" s="1353"/>
      <c r="F39" s="1353"/>
      <c r="G39" s="1353"/>
      <c r="H39" s="1353"/>
      <c r="I39" s="1353"/>
      <c r="J39" s="1353"/>
      <c r="K39" s="1353"/>
      <c r="L39" s="1353"/>
      <c r="M39" s="1353"/>
      <c r="N39" s="1353"/>
      <c r="O39" s="1353"/>
      <c r="P39" s="1353"/>
    </row>
    <row r="40" spans="1:16" ht="27.75" customHeight="1">
      <c r="A40" s="1348" t="s">
        <v>33</v>
      </c>
      <c r="B40" s="1353"/>
      <c r="C40" s="1353"/>
      <c r="D40" s="1353"/>
      <c r="E40" s="1353"/>
      <c r="F40" s="1353"/>
      <c r="G40" s="1353"/>
      <c r="H40" s="1353"/>
      <c r="I40" s="1353"/>
      <c r="J40" s="1353"/>
      <c r="K40" s="1353"/>
      <c r="L40" s="1353"/>
      <c r="M40" s="1353"/>
      <c r="N40" s="1353"/>
      <c r="O40" s="1353"/>
      <c r="P40" s="1353"/>
    </row>
    <row r="41" spans="1:16">
      <c r="A41" s="1348" t="s">
        <v>57</v>
      </c>
      <c r="B41" s="1353"/>
      <c r="C41" s="1353"/>
      <c r="D41" s="1353"/>
      <c r="E41" s="1353"/>
      <c r="F41" s="1353"/>
      <c r="G41" s="1353"/>
      <c r="H41" s="1353"/>
      <c r="I41" s="1353"/>
      <c r="J41" s="1353"/>
      <c r="K41" s="1353"/>
      <c r="L41" s="1353"/>
      <c r="M41" s="1353"/>
      <c r="N41" s="1353"/>
      <c r="O41" s="1353"/>
      <c r="P41" s="1353"/>
    </row>
    <row r="42" spans="1:16" ht="26.25" customHeight="1">
      <c r="A42" s="1348" t="s">
        <v>41</v>
      </c>
      <c r="B42" s="1353"/>
      <c r="C42" s="1353"/>
      <c r="D42" s="1353"/>
      <c r="E42" s="1353"/>
      <c r="F42" s="1353"/>
      <c r="G42" s="1353"/>
      <c r="H42" s="1353"/>
      <c r="I42" s="1353"/>
      <c r="J42" s="1353"/>
      <c r="K42" s="1353"/>
      <c r="L42" s="1353"/>
      <c r="M42" s="1353"/>
      <c r="N42" s="1353"/>
      <c r="O42" s="1353"/>
      <c r="P42" s="1353"/>
    </row>
    <row r="43" spans="1:16" ht="18.75" customHeight="1">
      <c r="A43" s="1348" t="s">
        <v>70</v>
      </c>
      <c r="B43" s="1348"/>
      <c r="C43" s="1348"/>
      <c r="D43" s="1348"/>
      <c r="E43" s="1348"/>
      <c r="F43" s="1348"/>
      <c r="G43" s="1348"/>
      <c r="H43" s="1348"/>
      <c r="I43" s="1348"/>
      <c r="J43" s="1348"/>
      <c r="K43" s="1348"/>
      <c r="L43" s="1348"/>
      <c r="M43" s="1348"/>
      <c r="N43" s="1348"/>
      <c r="O43" s="1348"/>
      <c r="P43" s="1348"/>
    </row>
    <row r="44" spans="1:16" ht="30.75" customHeight="1">
      <c r="A44" s="1348" t="s">
        <v>71</v>
      </c>
      <c r="B44" s="1348"/>
      <c r="C44" s="1348"/>
      <c r="D44" s="1348"/>
      <c r="E44" s="1348"/>
      <c r="F44" s="1348"/>
      <c r="G44" s="1348"/>
      <c r="H44" s="1348"/>
      <c r="I44" s="1348"/>
      <c r="J44" s="1348"/>
      <c r="K44" s="1348"/>
      <c r="L44" s="1348"/>
      <c r="M44" s="1348"/>
      <c r="N44" s="1348"/>
      <c r="O44" s="1348"/>
      <c r="P44" s="1348"/>
    </row>
    <row r="45" spans="1:16" ht="19.5" customHeight="1">
      <c r="A45" s="1348" t="s">
        <v>67</v>
      </c>
      <c r="B45" s="1353"/>
      <c r="C45" s="1353"/>
      <c r="D45" s="1353"/>
      <c r="E45" s="1353"/>
      <c r="F45" s="1353"/>
      <c r="G45" s="1353"/>
      <c r="H45" s="1353"/>
      <c r="I45" s="1353"/>
      <c r="J45" s="1353"/>
      <c r="K45" s="1353"/>
      <c r="L45" s="1353"/>
      <c r="M45" s="1353"/>
      <c r="N45" s="1353"/>
      <c r="O45" s="1353"/>
      <c r="P45" s="1353"/>
    </row>
    <row r="46" spans="1:16" s="2" customFormat="1" ht="12.75">
      <c r="A46" s="1348" t="s">
        <v>68</v>
      </c>
      <c r="B46" s="1348"/>
      <c r="C46" s="1348"/>
      <c r="D46" s="1348"/>
      <c r="E46" s="1348"/>
      <c r="F46" s="1348"/>
      <c r="G46" s="1348"/>
      <c r="H46" s="1348"/>
      <c r="I46" s="1348"/>
      <c r="J46" s="1348"/>
      <c r="K46" s="1348"/>
      <c r="L46" s="1348"/>
      <c r="M46" s="1348"/>
      <c r="N46" s="1348"/>
      <c r="O46" s="1348"/>
      <c r="P46" s="1348"/>
    </row>
    <row r="47" spans="1:16" s="2" customFormat="1" ht="12.75">
      <c r="N47" s="30"/>
    </row>
    <row r="48" spans="1:16" s="2" customFormat="1" ht="12.75">
      <c r="N48" s="30"/>
    </row>
    <row r="49" spans="1:16">
      <c r="A49" s="2"/>
      <c r="B49" s="2"/>
      <c r="C49" s="2"/>
      <c r="D49" s="2"/>
      <c r="E49" s="2"/>
      <c r="F49" s="2"/>
      <c r="G49" s="2"/>
      <c r="H49" s="2"/>
      <c r="I49" s="2"/>
      <c r="J49" s="2"/>
      <c r="K49" s="2"/>
      <c r="L49" s="2"/>
      <c r="M49" s="2"/>
      <c r="N49" s="30"/>
      <c r="O49" s="2"/>
      <c r="P49" s="2"/>
    </row>
    <row r="50" spans="1:16">
      <c r="A50" s="42"/>
    </row>
  </sheetData>
  <mergeCells count="22">
    <mergeCell ref="M4:M5"/>
    <mergeCell ref="I4:I5"/>
    <mergeCell ref="A42:P42"/>
    <mergeCell ref="A45:P45"/>
    <mergeCell ref="A37:P37"/>
    <mergeCell ref="A4:A6"/>
    <mergeCell ref="C4:D4"/>
    <mergeCell ref="L4:L5"/>
    <mergeCell ref="E4:F4"/>
    <mergeCell ref="G4:H4"/>
    <mergeCell ref="O4:O5"/>
    <mergeCell ref="P4:P5"/>
    <mergeCell ref="A43:P43"/>
    <mergeCell ref="A44:P44"/>
    <mergeCell ref="J4:J5"/>
    <mergeCell ref="K4:K5"/>
    <mergeCell ref="A46:P46"/>
    <mergeCell ref="A38:P38"/>
    <mergeCell ref="A39:P39"/>
    <mergeCell ref="A40:P40"/>
    <mergeCell ref="A41:P41"/>
    <mergeCell ref="B4:B6"/>
  </mergeCells>
  <pageMargins left="0.7" right="0.7" top="0.78740157499999996" bottom="0.78740157499999996" header="0.3" footer="0.3"/>
  <pageSetup paperSize="9" scale="6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dimension ref="A1:AG34"/>
  <sheetViews>
    <sheetView zoomScale="85" zoomScaleNormal="85" workbookViewId="0">
      <selection activeCell="R1" sqref="R1:AG65536"/>
    </sheetView>
  </sheetViews>
  <sheetFormatPr defaultRowHeight="15"/>
  <cols>
    <col min="1" max="1" width="5" customWidth="1"/>
    <col min="2" max="2" width="54.7109375" customWidth="1"/>
    <col min="3" max="11" width="12.7109375" customWidth="1"/>
    <col min="12" max="12" width="15.28515625" customWidth="1"/>
    <col min="13" max="13" width="2" style="1" customWidth="1"/>
    <col min="14" max="14" width="1.7109375" customWidth="1"/>
    <col min="15" max="16" width="12.7109375" customWidth="1"/>
    <col min="18" max="18" width="9.42578125" hidden="1" customWidth="1"/>
    <col min="19" max="19" width="45.85546875" hidden="1" customWidth="1"/>
    <col min="20" max="20" width="12.7109375" hidden="1" customWidth="1"/>
    <col min="21" max="21" width="11.5703125" hidden="1" customWidth="1"/>
    <col min="22" max="22" width="11.28515625" hidden="1" customWidth="1"/>
    <col min="23" max="23" width="11.5703125" hidden="1" customWidth="1"/>
    <col min="24" max="25" width="12.140625" hidden="1" customWidth="1"/>
    <col min="26" max="26" width="10.42578125" hidden="1" customWidth="1"/>
    <col min="27" max="27" width="12.5703125" hidden="1" customWidth="1"/>
    <col min="28" max="28" width="10.5703125" hidden="1" customWidth="1"/>
    <col min="29" max="29" width="14" hidden="1" customWidth="1"/>
    <col min="30" max="30" width="12.42578125" hidden="1" customWidth="1"/>
    <col min="31" max="31" width="1.7109375" hidden="1" customWidth="1"/>
    <col min="32" max="32" width="11" hidden="1" customWidth="1"/>
    <col min="33" max="33" width="10.85546875" hidden="1" customWidth="1"/>
  </cols>
  <sheetData>
    <row r="1" spans="1:33">
      <c r="A1" s="1491" t="s">
        <v>313</v>
      </c>
      <c r="B1" s="1491"/>
      <c r="C1" s="1491"/>
      <c r="D1" s="1491"/>
      <c r="E1" s="1491"/>
      <c r="F1" s="1491"/>
      <c r="G1" s="1491"/>
      <c r="H1" s="1491"/>
      <c r="I1" s="1491"/>
      <c r="J1" s="1491"/>
      <c r="K1" s="1491"/>
      <c r="L1" s="1491"/>
      <c r="M1" s="1491"/>
      <c r="N1" s="1491"/>
      <c r="O1" s="1491"/>
      <c r="P1" s="1491"/>
    </row>
    <row r="2" spans="1:33" s="1" customFormat="1">
      <c r="A2" s="668"/>
      <c r="B2" s="668"/>
      <c r="C2" s="668"/>
      <c r="D2" s="668"/>
      <c r="E2" s="668"/>
      <c r="F2" s="668"/>
      <c r="G2" s="668"/>
      <c r="H2" s="668"/>
      <c r="I2" s="668"/>
      <c r="J2" s="668"/>
      <c r="K2" s="668"/>
      <c r="L2" s="668"/>
      <c r="M2" s="668"/>
      <c r="N2" s="668"/>
      <c r="O2" s="668"/>
      <c r="P2" s="668"/>
    </row>
    <row r="3" spans="1:33" ht="15.75" thickBot="1">
      <c r="A3" s="1492"/>
      <c r="B3" s="1492"/>
      <c r="C3" s="1492"/>
      <c r="D3" s="1492"/>
      <c r="E3" s="1492"/>
      <c r="F3" s="1492"/>
      <c r="G3" s="1492"/>
      <c r="H3" s="1492"/>
      <c r="I3" s="1492"/>
      <c r="J3" s="1492"/>
      <c r="K3" s="1492"/>
      <c r="L3" s="1493" t="s">
        <v>314</v>
      </c>
      <c r="M3" s="1493"/>
      <c r="N3" s="1493"/>
      <c r="O3" s="1493"/>
      <c r="P3" s="1493"/>
    </row>
    <row r="4" spans="1:33" ht="15" customHeight="1">
      <c r="A4" s="1494" t="s">
        <v>315</v>
      </c>
      <c r="B4" s="1495" t="s">
        <v>316</v>
      </c>
      <c r="C4" s="1487" t="s">
        <v>317</v>
      </c>
      <c r="D4" s="1487"/>
      <c r="E4" s="1487" t="s">
        <v>318</v>
      </c>
      <c r="F4" s="1487"/>
      <c r="G4" s="1487" t="s">
        <v>319</v>
      </c>
      <c r="H4" s="1487"/>
      <c r="I4" s="1496" t="s">
        <v>320</v>
      </c>
      <c r="J4" s="1496" t="s">
        <v>321</v>
      </c>
      <c r="K4" s="1487" t="s">
        <v>322</v>
      </c>
      <c r="L4" s="1488" t="s">
        <v>304</v>
      </c>
      <c r="N4" s="1"/>
      <c r="O4" s="1489" t="s">
        <v>306</v>
      </c>
      <c r="P4" s="1490" t="s">
        <v>21</v>
      </c>
      <c r="R4" s="1357" t="s">
        <v>1</v>
      </c>
      <c r="S4" s="1354" t="s">
        <v>46</v>
      </c>
      <c r="T4" s="1360" t="s">
        <v>18</v>
      </c>
      <c r="U4" s="1361"/>
      <c r="V4" s="1361" t="s">
        <v>19</v>
      </c>
      <c r="W4" s="1361"/>
      <c r="X4" s="1364" t="s">
        <v>20</v>
      </c>
      <c r="Y4" s="1365"/>
      <c r="Z4" s="1349" t="s">
        <v>47</v>
      </c>
      <c r="AA4" s="1349" t="s">
        <v>48</v>
      </c>
      <c r="AB4" s="1351" t="s">
        <v>49</v>
      </c>
      <c r="AC4" s="1362" t="s">
        <v>62</v>
      </c>
      <c r="AD4" s="1370" t="s">
        <v>69</v>
      </c>
      <c r="AE4" s="1037"/>
      <c r="AF4" s="1366" t="s">
        <v>65</v>
      </c>
      <c r="AG4" s="1368" t="s">
        <v>21</v>
      </c>
    </row>
    <row r="5" spans="1:33">
      <c r="A5" s="1494"/>
      <c r="B5" s="1495"/>
      <c r="C5" s="639" t="s">
        <v>12</v>
      </c>
      <c r="D5" s="639" t="s">
        <v>16</v>
      </c>
      <c r="E5" s="639" t="s">
        <v>12</v>
      </c>
      <c r="F5" s="639" t="s">
        <v>16</v>
      </c>
      <c r="G5" s="639" t="s">
        <v>12</v>
      </c>
      <c r="H5" s="639" t="s">
        <v>16</v>
      </c>
      <c r="I5" s="1496"/>
      <c r="J5" s="1496"/>
      <c r="K5" s="1487"/>
      <c r="L5" s="1488"/>
      <c r="N5" s="1"/>
      <c r="O5" s="1489"/>
      <c r="P5" s="1490"/>
      <c r="R5" s="1358"/>
      <c r="S5" s="1355"/>
      <c r="T5" s="1077" t="s">
        <v>26</v>
      </c>
      <c r="U5" s="11" t="s">
        <v>50</v>
      </c>
      <c r="V5" s="10" t="s">
        <v>12</v>
      </c>
      <c r="W5" s="11" t="s">
        <v>16</v>
      </c>
      <c r="X5" s="11" t="s">
        <v>12</v>
      </c>
      <c r="Y5" s="33" t="s">
        <v>16</v>
      </c>
      <c r="Z5" s="1350"/>
      <c r="AA5" s="1350"/>
      <c r="AB5" s="1352"/>
      <c r="AC5" s="1363"/>
      <c r="AD5" s="1371"/>
      <c r="AE5" s="1037"/>
      <c r="AF5" s="1367"/>
      <c r="AG5" s="1369"/>
    </row>
    <row r="6" spans="1:33" ht="15.75" thickBot="1">
      <c r="A6" s="1494"/>
      <c r="B6" s="1495"/>
      <c r="C6" s="640" t="s">
        <v>4</v>
      </c>
      <c r="D6" s="640" t="s">
        <v>5</v>
      </c>
      <c r="E6" s="640" t="s">
        <v>6</v>
      </c>
      <c r="F6" s="640" t="s">
        <v>7</v>
      </c>
      <c r="G6" s="640" t="s">
        <v>13</v>
      </c>
      <c r="H6" s="640" t="s">
        <v>14</v>
      </c>
      <c r="I6" s="640" t="s">
        <v>8</v>
      </c>
      <c r="J6" s="640" t="s">
        <v>8</v>
      </c>
      <c r="K6" s="640" t="s">
        <v>9</v>
      </c>
      <c r="L6" s="641" t="s">
        <v>22</v>
      </c>
      <c r="N6" s="1"/>
      <c r="O6" s="642" t="s">
        <v>10</v>
      </c>
      <c r="P6" s="643" t="s">
        <v>64</v>
      </c>
      <c r="R6" s="1359"/>
      <c r="S6" s="1356"/>
      <c r="T6" s="1078" t="s">
        <v>4</v>
      </c>
      <c r="U6" s="13" t="s">
        <v>5</v>
      </c>
      <c r="V6" s="13" t="s">
        <v>6</v>
      </c>
      <c r="W6" s="13" t="s">
        <v>7</v>
      </c>
      <c r="X6" s="13" t="s">
        <v>13</v>
      </c>
      <c r="Y6" s="34" t="s">
        <v>14</v>
      </c>
      <c r="Z6" s="45" t="s">
        <v>28</v>
      </c>
      <c r="AA6" s="45" t="s">
        <v>31</v>
      </c>
      <c r="AB6" s="32" t="s">
        <v>9</v>
      </c>
      <c r="AC6" s="14" t="s">
        <v>22</v>
      </c>
      <c r="AD6" s="14" t="s">
        <v>63</v>
      </c>
      <c r="AE6" s="1037"/>
      <c r="AF6" s="44" t="s">
        <v>10</v>
      </c>
      <c r="AG6" s="14" t="s">
        <v>64</v>
      </c>
    </row>
    <row r="7" spans="1:33">
      <c r="A7" s="644">
        <v>1</v>
      </c>
      <c r="B7" s="645" t="s">
        <v>15</v>
      </c>
      <c r="C7" s="646">
        <f t="shared" ref="C7:H7" si="0">C8+C11</f>
        <v>71936</v>
      </c>
      <c r="D7" s="646">
        <f t="shared" si="0"/>
        <v>71936</v>
      </c>
      <c r="E7" s="646">
        <f t="shared" si="0"/>
        <v>0</v>
      </c>
      <c r="F7" s="646">
        <f t="shared" si="0"/>
        <v>0</v>
      </c>
      <c r="G7" s="646">
        <f t="shared" si="0"/>
        <v>71936</v>
      </c>
      <c r="H7" s="646">
        <f t="shared" si="0"/>
        <v>71936</v>
      </c>
      <c r="I7" s="646">
        <f>+I8+I11</f>
        <v>0</v>
      </c>
      <c r="J7" s="646">
        <f>+J8+J11</f>
        <v>515</v>
      </c>
      <c r="K7" s="646">
        <f>+K8+K11</f>
        <v>1254</v>
      </c>
      <c r="L7" s="647">
        <f>+L8+L11</f>
        <v>0</v>
      </c>
      <c r="N7" s="1"/>
      <c r="O7" s="648">
        <f>+O8+O11</f>
        <v>0</v>
      </c>
      <c r="P7" s="646">
        <f>+P8+P11</f>
        <v>71936</v>
      </c>
      <c r="R7" s="24">
        <v>1</v>
      </c>
      <c r="S7" s="38" t="s">
        <v>15</v>
      </c>
      <c r="T7" s="54">
        <v>71936</v>
      </c>
      <c r="U7" s="55">
        <v>71936</v>
      </c>
      <c r="V7" s="55">
        <v>0</v>
      </c>
      <c r="W7" s="55">
        <v>0</v>
      </c>
      <c r="X7" s="55">
        <v>71936</v>
      </c>
      <c r="Y7" s="56">
        <v>71936</v>
      </c>
      <c r="Z7" s="75">
        <v>0</v>
      </c>
      <c r="AA7" s="75">
        <v>515</v>
      </c>
      <c r="AB7" s="57">
        <v>1254</v>
      </c>
      <c r="AC7" s="58">
        <v>0</v>
      </c>
      <c r="AD7" s="58"/>
      <c r="AE7" s="1036"/>
      <c r="AF7" s="54">
        <v>0</v>
      </c>
      <c r="AG7" s="58">
        <v>71936</v>
      </c>
    </row>
    <row r="8" spans="1:33">
      <c r="A8" s="644">
        <f>A7+1</f>
        <v>2</v>
      </c>
      <c r="B8" s="649" t="s">
        <v>177</v>
      </c>
      <c r="C8" s="646">
        <f t="shared" ref="C8:L8" si="1">SUM(C9:C10)</f>
        <v>58375</v>
      </c>
      <c r="D8" s="646">
        <f t="shared" si="1"/>
        <v>58375</v>
      </c>
      <c r="E8" s="646">
        <f t="shared" si="1"/>
        <v>0</v>
      </c>
      <c r="F8" s="646">
        <f t="shared" si="1"/>
        <v>0</v>
      </c>
      <c r="G8" s="646">
        <f t="shared" si="1"/>
        <v>58375</v>
      </c>
      <c r="H8" s="646">
        <f t="shared" si="1"/>
        <v>58375</v>
      </c>
      <c r="I8" s="646">
        <f t="shared" si="1"/>
        <v>0</v>
      </c>
      <c r="J8" s="646">
        <f t="shared" si="1"/>
        <v>0</v>
      </c>
      <c r="K8" s="646">
        <f t="shared" si="1"/>
        <v>1005</v>
      </c>
      <c r="L8" s="647">
        <f t="shared" si="1"/>
        <v>0</v>
      </c>
      <c r="N8" s="1"/>
      <c r="O8" s="648">
        <f>SUM(O9:O10)</f>
        <v>0</v>
      </c>
      <c r="P8" s="646">
        <f>SUM(P9:P10)</f>
        <v>58375</v>
      </c>
      <c r="R8" s="48">
        <f>R7+1</f>
        <v>2</v>
      </c>
      <c r="S8" s="35" t="s">
        <v>35</v>
      </c>
      <c r="T8" s="59">
        <v>58375</v>
      </c>
      <c r="U8" s="60">
        <v>58375</v>
      </c>
      <c r="V8" s="60">
        <v>0</v>
      </c>
      <c r="W8" s="60">
        <v>0</v>
      </c>
      <c r="X8" s="60">
        <v>58375</v>
      </c>
      <c r="Y8" s="61">
        <v>58375</v>
      </c>
      <c r="Z8" s="77">
        <v>0</v>
      </c>
      <c r="AA8" s="78">
        <v>0</v>
      </c>
      <c r="AB8" s="62">
        <v>1005</v>
      </c>
      <c r="AC8" s="63">
        <v>0</v>
      </c>
      <c r="AD8" s="63"/>
      <c r="AE8" s="1036"/>
      <c r="AF8" s="59">
        <v>0</v>
      </c>
      <c r="AG8" s="63">
        <v>58375</v>
      </c>
    </row>
    <row r="9" spans="1:33">
      <c r="A9" s="650">
        <f t="shared" ref="A9:A17" si="2">+A8+1</f>
        <v>3</v>
      </c>
      <c r="B9" s="651" t="s">
        <v>323</v>
      </c>
      <c r="C9" s="652">
        <v>58375</v>
      </c>
      <c r="D9" s="652">
        <v>58375</v>
      </c>
      <c r="E9" s="652">
        <v>0</v>
      </c>
      <c r="F9" s="652">
        <v>0</v>
      </c>
      <c r="G9" s="652">
        <f>+C9+E9</f>
        <v>58375</v>
      </c>
      <c r="H9" s="652">
        <f>+D9+F9</f>
        <v>58375</v>
      </c>
      <c r="I9" s="652">
        <v>0</v>
      </c>
      <c r="J9" s="652">
        <v>0</v>
      </c>
      <c r="K9" s="652">
        <v>1005</v>
      </c>
      <c r="L9" s="653">
        <f>+G9-H9</f>
        <v>0</v>
      </c>
      <c r="N9" s="1"/>
      <c r="O9" s="654">
        <v>0</v>
      </c>
      <c r="P9" s="652">
        <f>H9+O9</f>
        <v>58375</v>
      </c>
      <c r="R9" s="25">
        <f t="shared" ref="R9:R34" si="3">R8+1</f>
        <v>3</v>
      </c>
      <c r="S9" s="36" t="s">
        <v>58</v>
      </c>
      <c r="T9" s="64">
        <v>58375</v>
      </c>
      <c r="U9" s="65">
        <v>58375</v>
      </c>
      <c r="V9" s="65">
        <v>0</v>
      </c>
      <c r="W9" s="65">
        <v>0</v>
      </c>
      <c r="X9" s="65">
        <v>58375</v>
      </c>
      <c r="Y9" s="66">
        <v>58375</v>
      </c>
      <c r="Z9" s="80">
        <v>0</v>
      </c>
      <c r="AA9" s="80">
        <v>0</v>
      </c>
      <c r="AB9" s="67">
        <v>1005</v>
      </c>
      <c r="AC9" s="68">
        <v>0</v>
      </c>
      <c r="AD9" s="68"/>
      <c r="AE9" s="1036"/>
      <c r="AF9" s="64">
        <v>0</v>
      </c>
      <c r="AG9" s="68">
        <v>58375</v>
      </c>
    </row>
    <row r="10" spans="1:33">
      <c r="A10" s="650">
        <f t="shared" si="2"/>
        <v>4</v>
      </c>
      <c r="B10" s="651" t="s">
        <v>179</v>
      </c>
      <c r="C10" s="652">
        <v>0</v>
      </c>
      <c r="D10" s="652">
        <v>0</v>
      </c>
      <c r="E10" s="652">
        <v>0</v>
      </c>
      <c r="F10" s="652">
        <v>0</v>
      </c>
      <c r="G10" s="652">
        <f>+C10+E10</f>
        <v>0</v>
      </c>
      <c r="H10" s="652">
        <f>+D10+F10</f>
        <v>0</v>
      </c>
      <c r="I10" s="652">
        <v>0</v>
      </c>
      <c r="J10" s="652">
        <v>0</v>
      </c>
      <c r="K10" s="652">
        <v>0</v>
      </c>
      <c r="L10" s="653">
        <f>+G10-H10</f>
        <v>0</v>
      </c>
      <c r="N10" s="1"/>
      <c r="O10" s="654">
        <v>0</v>
      </c>
      <c r="P10" s="652">
        <f>H10+O10</f>
        <v>0</v>
      </c>
      <c r="R10" s="25">
        <f t="shared" si="3"/>
        <v>4</v>
      </c>
      <c r="S10" s="36" t="s">
        <v>36</v>
      </c>
      <c r="T10" s="64"/>
      <c r="U10" s="65"/>
      <c r="V10" s="65"/>
      <c r="W10" s="65"/>
      <c r="X10" s="65"/>
      <c r="Y10" s="249"/>
      <c r="Z10" s="80"/>
      <c r="AA10" s="80"/>
      <c r="AB10" s="67"/>
      <c r="AC10" s="68"/>
      <c r="AD10" s="68"/>
      <c r="AE10" s="1036"/>
      <c r="AF10" s="64"/>
      <c r="AG10" s="68"/>
    </row>
    <row r="11" spans="1:33">
      <c r="A11" s="644">
        <f t="shared" si="2"/>
        <v>5</v>
      </c>
      <c r="B11" s="649" t="s">
        <v>184</v>
      </c>
      <c r="C11" s="646">
        <f>+C12+C14+C15+C16</f>
        <v>13561</v>
      </c>
      <c r="D11" s="646">
        <f t="shared" ref="D11:L11" si="4">+D12+D14+D15+D16</f>
        <v>13561</v>
      </c>
      <c r="E11" s="646">
        <f t="shared" si="4"/>
        <v>0</v>
      </c>
      <c r="F11" s="646">
        <f t="shared" si="4"/>
        <v>0</v>
      </c>
      <c r="G11" s="646">
        <f t="shared" si="4"/>
        <v>13561</v>
      </c>
      <c r="H11" s="646">
        <f t="shared" si="4"/>
        <v>13561</v>
      </c>
      <c r="I11" s="646">
        <f t="shared" si="4"/>
        <v>0</v>
      </c>
      <c r="J11" s="646">
        <f t="shared" si="4"/>
        <v>515</v>
      </c>
      <c r="K11" s="646">
        <f t="shared" si="4"/>
        <v>249</v>
      </c>
      <c r="L11" s="646">
        <f t="shared" si="4"/>
        <v>0</v>
      </c>
      <c r="N11" s="1"/>
      <c r="O11" s="646">
        <f>+O12+O14+O15+O16</f>
        <v>0</v>
      </c>
      <c r="P11" s="646">
        <f>+P12+P14+P15+P16</f>
        <v>13561</v>
      </c>
      <c r="R11" s="25">
        <f t="shared" si="3"/>
        <v>5</v>
      </c>
      <c r="S11" s="37" t="s">
        <v>30</v>
      </c>
      <c r="T11" s="64"/>
      <c r="U11" s="65"/>
      <c r="V11" s="65"/>
      <c r="W11" s="65"/>
      <c r="X11" s="65"/>
      <c r="Y11" s="66"/>
      <c r="Z11" s="79"/>
      <c r="AA11" s="80"/>
      <c r="AB11" s="67"/>
      <c r="AC11" s="68"/>
      <c r="AD11" s="68"/>
      <c r="AE11" s="1036"/>
      <c r="AF11" s="64"/>
      <c r="AG11" s="68"/>
    </row>
    <row r="12" spans="1:33">
      <c r="A12" s="650">
        <f t="shared" si="2"/>
        <v>6</v>
      </c>
      <c r="B12" s="651" t="s">
        <v>185</v>
      </c>
      <c r="C12" s="655">
        <f>+C13</f>
        <v>950</v>
      </c>
      <c r="D12" s="655">
        <f>+D13</f>
        <v>950</v>
      </c>
      <c r="E12" s="655">
        <f>+E13</f>
        <v>0</v>
      </c>
      <c r="F12" s="655">
        <f>+F13</f>
        <v>0</v>
      </c>
      <c r="G12" s="652">
        <f>+C12+E12</f>
        <v>950</v>
      </c>
      <c r="H12" s="652">
        <f>+D12+F12</f>
        <v>950</v>
      </c>
      <c r="I12" s="652">
        <v>0</v>
      </c>
      <c r="J12" s="655">
        <v>0</v>
      </c>
      <c r="K12" s="655">
        <f>+K13</f>
        <v>12</v>
      </c>
      <c r="L12" s="653">
        <f>+G12-H12</f>
        <v>0</v>
      </c>
      <c r="N12" s="1"/>
      <c r="O12" s="656">
        <v>0</v>
      </c>
      <c r="P12" s="652">
        <f>H12+O12</f>
        <v>950</v>
      </c>
      <c r="R12" s="48">
        <f t="shared" si="3"/>
        <v>6</v>
      </c>
      <c r="S12" s="35" t="s">
        <v>42</v>
      </c>
      <c r="T12" s="59">
        <v>13561</v>
      </c>
      <c r="U12" s="60">
        <v>13561</v>
      </c>
      <c r="V12" s="60">
        <v>0</v>
      </c>
      <c r="W12" s="60">
        <v>0</v>
      </c>
      <c r="X12" s="60">
        <v>13561</v>
      </c>
      <c r="Y12" s="61">
        <v>13561</v>
      </c>
      <c r="Z12" s="78">
        <v>0</v>
      </c>
      <c r="AA12" s="78">
        <v>515</v>
      </c>
      <c r="AB12" s="62">
        <v>249</v>
      </c>
      <c r="AC12" s="63">
        <v>0</v>
      </c>
      <c r="AD12" s="63"/>
      <c r="AE12" s="1036"/>
      <c r="AF12" s="59">
        <v>0</v>
      </c>
      <c r="AG12" s="63">
        <v>13561</v>
      </c>
    </row>
    <row r="13" spans="1:33">
      <c r="A13" s="650">
        <f t="shared" si="2"/>
        <v>7</v>
      </c>
      <c r="B13" s="657" t="s">
        <v>324</v>
      </c>
      <c r="C13" s="655">
        <v>950</v>
      </c>
      <c r="D13" s="655">
        <v>950</v>
      </c>
      <c r="E13" s="655">
        <v>0</v>
      </c>
      <c r="F13" s="655">
        <v>0</v>
      </c>
      <c r="G13" s="652">
        <f t="shared" ref="G13:H16" si="5">+C13+E13</f>
        <v>950</v>
      </c>
      <c r="H13" s="652">
        <f t="shared" si="5"/>
        <v>950</v>
      </c>
      <c r="I13" s="652">
        <v>0</v>
      </c>
      <c r="J13" s="655">
        <v>0</v>
      </c>
      <c r="K13" s="655">
        <v>12</v>
      </c>
      <c r="L13" s="653">
        <f>+G13-H13</f>
        <v>0</v>
      </c>
      <c r="N13" s="1"/>
      <c r="O13" s="656">
        <v>0</v>
      </c>
      <c r="P13" s="652">
        <f t="shared" ref="P13:P26" si="6">H13+O13</f>
        <v>950</v>
      </c>
      <c r="R13" s="29">
        <f t="shared" si="3"/>
        <v>7</v>
      </c>
      <c r="S13" s="36" t="s">
        <v>51</v>
      </c>
      <c r="T13" s="85">
        <v>950</v>
      </c>
      <c r="U13" s="82">
        <v>950</v>
      </c>
      <c r="V13" s="82">
        <v>0</v>
      </c>
      <c r="W13" s="82">
        <v>0</v>
      </c>
      <c r="X13" s="65">
        <v>950</v>
      </c>
      <c r="Y13" s="66">
        <v>950</v>
      </c>
      <c r="Z13" s="79">
        <v>0</v>
      </c>
      <c r="AA13" s="83">
        <v>0</v>
      </c>
      <c r="AB13" s="81">
        <v>12</v>
      </c>
      <c r="AC13" s="68">
        <v>0</v>
      </c>
      <c r="AD13" s="68"/>
      <c r="AE13" s="706"/>
      <c r="AF13" s="85">
        <v>0</v>
      </c>
      <c r="AG13" s="68">
        <v>950</v>
      </c>
    </row>
    <row r="14" spans="1:33">
      <c r="A14" s="650">
        <f t="shared" si="2"/>
        <v>8</v>
      </c>
      <c r="B14" s="651" t="s">
        <v>190</v>
      </c>
      <c r="C14" s="655">
        <v>1991</v>
      </c>
      <c r="D14" s="655">
        <v>1991</v>
      </c>
      <c r="E14" s="655">
        <v>0</v>
      </c>
      <c r="F14" s="655">
        <v>0</v>
      </c>
      <c r="G14" s="652">
        <f t="shared" si="5"/>
        <v>1991</v>
      </c>
      <c r="H14" s="652">
        <f t="shared" si="5"/>
        <v>1991</v>
      </c>
      <c r="I14" s="655">
        <v>0</v>
      </c>
      <c r="J14" s="655">
        <v>515</v>
      </c>
      <c r="K14" s="655">
        <v>10</v>
      </c>
      <c r="L14" s="653">
        <f>+G14-H14</f>
        <v>0</v>
      </c>
      <c r="N14" s="1"/>
      <c r="O14" s="656">
        <v>0</v>
      </c>
      <c r="P14" s="652">
        <f t="shared" si="6"/>
        <v>1991</v>
      </c>
      <c r="R14" s="29"/>
      <c r="S14" s="36" t="s">
        <v>61</v>
      </c>
      <c r="T14" s="85">
        <v>950</v>
      </c>
      <c r="U14" s="82">
        <v>950</v>
      </c>
      <c r="V14" s="82">
        <v>0</v>
      </c>
      <c r="W14" s="82">
        <v>0</v>
      </c>
      <c r="X14" s="65">
        <v>950</v>
      </c>
      <c r="Y14" s="66">
        <v>950</v>
      </c>
      <c r="Z14" s="79">
        <v>0</v>
      </c>
      <c r="AA14" s="83">
        <v>0</v>
      </c>
      <c r="AB14" s="81">
        <v>12</v>
      </c>
      <c r="AC14" s="68">
        <v>0</v>
      </c>
      <c r="AD14" s="68"/>
      <c r="AE14" s="706"/>
      <c r="AF14" s="85">
        <v>0</v>
      </c>
      <c r="AG14" s="68">
        <v>950</v>
      </c>
    </row>
    <row r="15" spans="1:33">
      <c r="A15" s="650">
        <f t="shared" si="2"/>
        <v>9</v>
      </c>
      <c r="B15" s="651" t="s">
        <v>195</v>
      </c>
      <c r="C15" s="655">
        <v>10620</v>
      </c>
      <c r="D15" s="655">
        <v>10620</v>
      </c>
      <c r="E15" s="655">
        <v>0</v>
      </c>
      <c r="F15" s="655">
        <v>0</v>
      </c>
      <c r="G15" s="652">
        <f t="shared" si="5"/>
        <v>10620</v>
      </c>
      <c r="H15" s="652">
        <f t="shared" si="5"/>
        <v>10620</v>
      </c>
      <c r="I15" s="655">
        <v>0</v>
      </c>
      <c r="J15" s="655">
        <v>0</v>
      </c>
      <c r="K15" s="655">
        <v>227</v>
      </c>
      <c r="L15" s="653">
        <f>+G15-H15</f>
        <v>0</v>
      </c>
      <c r="N15" s="1"/>
      <c r="O15" s="656">
        <v>0</v>
      </c>
      <c r="P15" s="652">
        <f t="shared" si="6"/>
        <v>10620</v>
      </c>
      <c r="R15" s="25">
        <f>R13+1</f>
        <v>8</v>
      </c>
      <c r="S15" s="37" t="s">
        <v>66</v>
      </c>
      <c r="T15" s="89"/>
      <c r="U15" s="87"/>
      <c r="V15" s="87"/>
      <c r="W15" s="87"/>
      <c r="X15" s="65"/>
      <c r="Y15" s="66"/>
      <c r="Z15" s="88"/>
      <c r="AA15" s="88"/>
      <c r="AB15" s="86"/>
      <c r="AC15" s="68"/>
      <c r="AD15" s="68"/>
      <c r="AE15" s="1036"/>
      <c r="AF15" s="89"/>
      <c r="AG15" s="68"/>
    </row>
    <row r="16" spans="1:33">
      <c r="A16" s="650">
        <f t="shared" si="2"/>
        <v>10</v>
      </c>
      <c r="B16" s="651" t="s">
        <v>196</v>
      </c>
      <c r="C16" s="655">
        <v>0</v>
      </c>
      <c r="D16" s="655">
        <v>0</v>
      </c>
      <c r="E16" s="655">
        <v>0</v>
      </c>
      <c r="F16" s="655">
        <v>0</v>
      </c>
      <c r="G16" s="652">
        <f t="shared" si="5"/>
        <v>0</v>
      </c>
      <c r="H16" s="652">
        <f t="shared" si="5"/>
        <v>0</v>
      </c>
      <c r="I16" s="655">
        <v>0</v>
      </c>
      <c r="J16" s="655">
        <v>0</v>
      </c>
      <c r="K16" s="655">
        <v>0</v>
      </c>
      <c r="L16" s="653">
        <f>+G16-H16</f>
        <v>0</v>
      </c>
      <c r="N16" s="1"/>
      <c r="O16" s="656">
        <v>0</v>
      </c>
      <c r="P16" s="652">
        <f t="shared" si="6"/>
        <v>0</v>
      </c>
      <c r="R16" s="29">
        <f t="shared" si="3"/>
        <v>9</v>
      </c>
      <c r="S16" s="36" t="s">
        <v>52</v>
      </c>
      <c r="T16" s="85">
        <v>1991</v>
      </c>
      <c r="U16" s="82">
        <v>1991</v>
      </c>
      <c r="V16" s="82">
        <v>0</v>
      </c>
      <c r="W16" s="82">
        <v>0</v>
      </c>
      <c r="X16" s="65">
        <v>1991</v>
      </c>
      <c r="Y16" s="66">
        <v>1991</v>
      </c>
      <c r="Z16" s="79">
        <v>0</v>
      </c>
      <c r="AA16" s="83">
        <v>515</v>
      </c>
      <c r="AB16" s="81">
        <v>10</v>
      </c>
      <c r="AC16" s="68">
        <v>0</v>
      </c>
      <c r="AD16" s="68"/>
      <c r="AE16" s="706"/>
      <c r="AF16" s="85">
        <v>0</v>
      </c>
      <c r="AG16" s="68">
        <v>1991</v>
      </c>
    </row>
    <row r="17" spans="1:33">
      <c r="A17" s="644">
        <f t="shared" si="2"/>
        <v>11</v>
      </c>
      <c r="B17" s="645" t="s">
        <v>29</v>
      </c>
      <c r="C17" s="646">
        <f>SUM(C19:C20)</f>
        <v>8001</v>
      </c>
      <c r="D17" s="646">
        <f t="shared" ref="D17:O17" si="7">SUM(D19:D20)</f>
        <v>7941</v>
      </c>
      <c r="E17" s="646">
        <f t="shared" si="7"/>
        <v>0</v>
      </c>
      <c r="F17" s="646">
        <f t="shared" si="7"/>
        <v>0</v>
      </c>
      <c r="G17" s="646">
        <f t="shared" si="7"/>
        <v>8001</v>
      </c>
      <c r="H17" s="646">
        <f t="shared" si="7"/>
        <v>7941</v>
      </c>
      <c r="I17" s="646">
        <f t="shared" si="7"/>
        <v>0</v>
      </c>
      <c r="J17" s="646">
        <f t="shared" si="7"/>
        <v>1112</v>
      </c>
      <c r="K17" s="646">
        <f t="shared" si="7"/>
        <v>195</v>
      </c>
      <c r="L17" s="647">
        <f t="shared" si="7"/>
        <v>60</v>
      </c>
      <c r="N17" s="1"/>
      <c r="O17" s="648">
        <f t="shared" si="7"/>
        <v>0</v>
      </c>
      <c r="P17" s="646">
        <f>SUM(P19:P20)</f>
        <v>7941</v>
      </c>
      <c r="R17" s="25">
        <f t="shared" si="3"/>
        <v>10</v>
      </c>
      <c r="S17" s="37" t="s">
        <v>30</v>
      </c>
      <c r="T17" s="89"/>
      <c r="U17" s="87"/>
      <c r="V17" s="87"/>
      <c r="W17" s="87"/>
      <c r="X17" s="65"/>
      <c r="Y17" s="66"/>
      <c r="Z17" s="88"/>
      <c r="AA17" s="88"/>
      <c r="AB17" s="86"/>
      <c r="AC17" s="68"/>
      <c r="AD17" s="68"/>
      <c r="AE17" s="1036"/>
      <c r="AF17" s="89"/>
      <c r="AG17" s="68"/>
    </row>
    <row r="18" spans="1:33">
      <c r="A18" s="658"/>
      <c r="B18" s="659" t="s">
        <v>205</v>
      </c>
      <c r="C18" s="660">
        <f t="shared" ref="C18:O18" si="8">C19+C20</f>
        <v>8001</v>
      </c>
      <c r="D18" s="660">
        <f t="shared" si="8"/>
        <v>7941</v>
      </c>
      <c r="E18" s="660">
        <f t="shared" si="8"/>
        <v>0</v>
      </c>
      <c r="F18" s="660">
        <f t="shared" si="8"/>
        <v>0</v>
      </c>
      <c r="G18" s="660">
        <f t="shared" si="8"/>
        <v>8001</v>
      </c>
      <c r="H18" s="660">
        <f t="shared" si="8"/>
        <v>7941</v>
      </c>
      <c r="I18" s="660">
        <f t="shared" si="8"/>
        <v>0</v>
      </c>
      <c r="J18" s="660">
        <f t="shared" si="8"/>
        <v>1112</v>
      </c>
      <c r="K18" s="660">
        <f t="shared" si="8"/>
        <v>195</v>
      </c>
      <c r="L18" s="661">
        <f t="shared" si="8"/>
        <v>60</v>
      </c>
      <c r="N18" s="1"/>
      <c r="O18" s="662">
        <f t="shared" si="8"/>
        <v>0</v>
      </c>
      <c r="P18" s="660">
        <f t="shared" si="6"/>
        <v>7941</v>
      </c>
      <c r="R18" s="29">
        <f t="shared" si="3"/>
        <v>11</v>
      </c>
      <c r="S18" s="36" t="s">
        <v>37</v>
      </c>
      <c r="T18" s="85">
        <v>10620</v>
      </c>
      <c r="U18" s="82">
        <v>10620</v>
      </c>
      <c r="V18" s="82">
        <v>0</v>
      </c>
      <c r="W18" s="82">
        <v>0</v>
      </c>
      <c r="X18" s="65">
        <v>10620</v>
      </c>
      <c r="Y18" s="66">
        <v>10620</v>
      </c>
      <c r="Z18" s="83">
        <v>0</v>
      </c>
      <c r="AA18" s="83">
        <v>0</v>
      </c>
      <c r="AB18" s="81">
        <v>227</v>
      </c>
      <c r="AC18" s="68">
        <v>0</v>
      </c>
      <c r="AD18" s="68"/>
      <c r="AE18" s="706"/>
      <c r="AF18" s="85">
        <v>0</v>
      </c>
      <c r="AG18" s="68">
        <v>10620</v>
      </c>
    </row>
    <row r="19" spans="1:33">
      <c r="A19" s="650">
        <v>12</v>
      </c>
      <c r="B19" s="663" t="s">
        <v>325</v>
      </c>
      <c r="C19" s="652">
        <v>8001</v>
      </c>
      <c r="D19" s="652">
        <f>8001-60</f>
        <v>7941</v>
      </c>
      <c r="E19" s="652">
        <v>0</v>
      </c>
      <c r="F19" s="652">
        <v>0</v>
      </c>
      <c r="G19" s="652">
        <f>+C19+E19</f>
        <v>8001</v>
      </c>
      <c r="H19" s="652">
        <f>+D19+F19</f>
        <v>7941</v>
      </c>
      <c r="I19" s="652">
        <v>0</v>
      </c>
      <c r="J19" s="652">
        <v>1112</v>
      </c>
      <c r="K19" s="652">
        <v>195</v>
      </c>
      <c r="L19" s="653">
        <f>+G19-H19</f>
        <v>60</v>
      </c>
      <c r="N19" s="1"/>
      <c r="O19" s="654">
        <v>0</v>
      </c>
      <c r="P19" s="652">
        <f t="shared" si="6"/>
        <v>7941</v>
      </c>
      <c r="R19" s="29">
        <f t="shared" si="3"/>
        <v>12</v>
      </c>
      <c r="S19" s="50" t="s">
        <v>38</v>
      </c>
      <c r="T19" s="85">
        <v>0</v>
      </c>
      <c r="U19" s="82">
        <v>0</v>
      </c>
      <c r="V19" s="82">
        <v>0</v>
      </c>
      <c r="W19" s="82">
        <v>0</v>
      </c>
      <c r="X19" s="65">
        <v>0</v>
      </c>
      <c r="Y19" s="66">
        <v>0</v>
      </c>
      <c r="Z19" s="83">
        <v>0</v>
      </c>
      <c r="AA19" s="83">
        <v>0</v>
      </c>
      <c r="AB19" s="81">
        <v>0</v>
      </c>
      <c r="AC19" s="68">
        <v>0</v>
      </c>
      <c r="AD19" s="68"/>
      <c r="AE19" s="706"/>
      <c r="AF19" s="85">
        <v>0</v>
      </c>
      <c r="AG19" s="68">
        <v>0</v>
      </c>
    </row>
    <row r="20" spans="1:33">
      <c r="A20" s="650">
        <v>13</v>
      </c>
      <c r="B20" s="663" t="s">
        <v>326</v>
      </c>
      <c r="C20" s="652">
        <v>0</v>
      </c>
      <c r="D20" s="652">
        <v>0</v>
      </c>
      <c r="E20" s="652">
        <v>0</v>
      </c>
      <c r="F20" s="652">
        <v>0</v>
      </c>
      <c r="G20" s="652">
        <f>+C20+E20</f>
        <v>0</v>
      </c>
      <c r="H20" s="652">
        <f>+D20+F20</f>
        <v>0</v>
      </c>
      <c r="I20" s="652">
        <v>0</v>
      </c>
      <c r="J20" s="652">
        <v>0</v>
      </c>
      <c r="K20" s="652">
        <v>0</v>
      </c>
      <c r="L20" s="653">
        <f>+G20-H20</f>
        <v>0</v>
      </c>
      <c r="N20" s="1"/>
      <c r="O20" s="654">
        <v>0</v>
      </c>
      <c r="P20" s="652">
        <f t="shared" si="6"/>
        <v>0</v>
      </c>
      <c r="R20" s="25">
        <f t="shared" si="3"/>
        <v>13</v>
      </c>
      <c r="S20" s="37" t="s">
        <v>30</v>
      </c>
      <c r="T20" s="89"/>
      <c r="U20" s="87"/>
      <c r="V20" s="87"/>
      <c r="W20" s="87"/>
      <c r="X20" s="65"/>
      <c r="Y20" s="66"/>
      <c r="Z20" s="88"/>
      <c r="AA20" s="88"/>
      <c r="AB20" s="86"/>
      <c r="AC20" s="68"/>
      <c r="AD20" s="68"/>
      <c r="AE20" s="1036"/>
      <c r="AF20" s="89"/>
      <c r="AG20" s="68"/>
    </row>
    <row r="21" spans="1:33">
      <c r="A21" s="644">
        <v>14</v>
      </c>
      <c r="B21" s="645" t="s">
        <v>27</v>
      </c>
      <c r="C21" s="646">
        <f t="shared" ref="C21:L21" si="9">C23</f>
        <v>3237</v>
      </c>
      <c r="D21" s="646">
        <f t="shared" si="9"/>
        <v>3237</v>
      </c>
      <c r="E21" s="646">
        <f t="shared" si="9"/>
        <v>3620</v>
      </c>
      <c r="F21" s="646">
        <f t="shared" si="9"/>
        <v>3620</v>
      </c>
      <c r="G21" s="646">
        <f t="shared" si="9"/>
        <v>6857</v>
      </c>
      <c r="H21" s="646">
        <f t="shared" si="9"/>
        <v>6857</v>
      </c>
      <c r="I21" s="646">
        <f t="shared" si="9"/>
        <v>0</v>
      </c>
      <c r="J21" s="646">
        <f t="shared" si="9"/>
        <v>0</v>
      </c>
      <c r="K21" s="646">
        <f t="shared" si="9"/>
        <v>0</v>
      </c>
      <c r="L21" s="647">
        <f t="shared" si="9"/>
        <v>0</v>
      </c>
      <c r="N21" s="1"/>
      <c r="O21" s="648">
        <f>O23</f>
        <v>0</v>
      </c>
      <c r="P21" s="652">
        <f t="shared" si="6"/>
        <v>6857</v>
      </c>
      <c r="R21" s="24">
        <f t="shared" si="3"/>
        <v>14</v>
      </c>
      <c r="S21" s="38" t="s">
        <v>29</v>
      </c>
      <c r="T21" s="70">
        <v>8001</v>
      </c>
      <c r="U21" s="71">
        <v>7941</v>
      </c>
      <c r="V21" s="71">
        <v>0</v>
      </c>
      <c r="W21" s="71">
        <v>0</v>
      </c>
      <c r="X21" s="71">
        <v>8001</v>
      </c>
      <c r="Y21" s="72">
        <v>7941</v>
      </c>
      <c r="Z21" s="90">
        <v>0</v>
      </c>
      <c r="AA21" s="1252">
        <v>1112</v>
      </c>
      <c r="AB21" s="73">
        <v>195</v>
      </c>
      <c r="AC21" s="74">
        <v>60</v>
      </c>
      <c r="AD21" s="74"/>
      <c r="AE21" s="1036"/>
      <c r="AF21" s="70">
        <v>0</v>
      </c>
      <c r="AG21" s="74">
        <v>7941</v>
      </c>
    </row>
    <row r="22" spans="1:33">
      <c r="A22" s="658"/>
      <c r="B22" s="664" t="s">
        <v>205</v>
      </c>
      <c r="C22" s="660">
        <f>+C23</f>
        <v>3237</v>
      </c>
      <c r="D22" s="660">
        <f>+D23</f>
        <v>3237</v>
      </c>
      <c r="E22" s="660">
        <f>+E23</f>
        <v>3620</v>
      </c>
      <c r="F22" s="660">
        <f>+F23</f>
        <v>3620</v>
      </c>
      <c r="G22" s="660">
        <f t="shared" ref="G22:O22" si="10">+G23</f>
        <v>6857</v>
      </c>
      <c r="H22" s="660">
        <f t="shared" si="10"/>
        <v>6857</v>
      </c>
      <c r="I22" s="660">
        <f t="shared" si="10"/>
        <v>0</v>
      </c>
      <c r="J22" s="660">
        <f t="shared" si="10"/>
        <v>0</v>
      </c>
      <c r="K22" s="660">
        <f t="shared" si="10"/>
        <v>0</v>
      </c>
      <c r="L22" s="661">
        <f t="shared" si="10"/>
        <v>0</v>
      </c>
      <c r="N22" s="1"/>
      <c r="O22" s="662">
        <f t="shared" si="10"/>
        <v>0</v>
      </c>
      <c r="P22" s="660">
        <f t="shared" si="6"/>
        <v>6857</v>
      </c>
      <c r="R22" s="46">
        <f t="shared" si="3"/>
        <v>15</v>
      </c>
      <c r="S22" s="43" t="s">
        <v>53</v>
      </c>
      <c r="T22" s="59"/>
      <c r="U22" s="60"/>
      <c r="V22" s="60"/>
      <c r="W22" s="60"/>
      <c r="X22" s="60"/>
      <c r="Y22" s="61"/>
      <c r="Z22" s="78"/>
      <c r="AA22" s="78"/>
      <c r="AB22" s="62"/>
      <c r="AC22" s="63"/>
      <c r="AD22" s="63"/>
      <c r="AE22" s="1036"/>
      <c r="AF22" s="59"/>
      <c r="AG22" s="63"/>
    </row>
    <row r="23" spans="1:33">
      <c r="A23" s="650">
        <v>15</v>
      </c>
      <c r="B23" s="663" t="s">
        <v>327</v>
      </c>
      <c r="C23" s="655">
        <v>3237</v>
      </c>
      <c r="D23" s="655">
        <v>3237</v>
      </c>
      <c r="E23" s="655">
        <v>3620</v>
      </c>
      <c r="F23" s="655">
        <v>3620</v>
      </c>
      <c r="G23" s="652">
        <f>+C23+E23</f>
        <v>6857</v>
      </c>
      <c r="H23" s="652">
        <f>+D23+F23</f>
        <v>6857</v>
      </c>
      <c r="I23" s="655">
        <v>0</v>
      </c>
      <c r="J23" s="655">
        <v>0</v>
      </c>
      <c r="K23" s="655">
        <v>0</v>
      </c>
      <c r="L23" s="653">
        <f>+G23-H23</f>
        <v>0</v>
      </c>
      <c r="N23" s="1"/>
      <c r="O23" s="656">
        <v>0</v>
      </c>
      <c r="P23" s="652">
        <f t="shared" si="6"/>
        <v>6857</v>
      </c>
      <c r="R23" s="25">
        <f t="shared" si="3"/>
        <v>16</v>
      </c>
      <c r="S23" s="37" t="s">
        <v>60</v>
      </c>
      <c r="T23" s="89"/>
      <c r="U23" s="87"/>
      <c r="V23" s="87"/>
      <c r="W23" s="87"/>
      <c r="X23" s="65"/>
      <c r="Y23" s="66"/>
      <c r="Z23" s="88"/>
      <c r="AA23" s="88"/>
      <c r="AB23" s="86"/>
      <c r="AC23" s="68"/>
      <c r="AD23" s="68"/>
      <c r="AE23" s="1036"/>
      <c r="AF23" s="89"/>
      <c r="AG23" s="68"/>
    </row>
    <row r="24" spans="1:33">
      <c r="A24" s="644">
        <v>16</v>
      </c>
      <c r="B24" s="645" t="s">
        <v>328</v>
      </c>
      <c r="C24" s="646">
        <f>C26</f>
        <v>0</v>
      </c>
      <c r="D24" s="646">
        <f t="shared" ref="D24:O24" si="11">D26</f>
        <v>0</v>
      </c>
      <c r="E24" s="646">
        <f t="shared" si="11"/>
        <v>0</v>
      </c>
      <c r="F24" s="646">
        <f t="shared" si="11"/>
        <v>0</v>
      </c>
      <c r="G24" s="646">
        <f t="shared" si="11"/>
        <v>0</v>
      </c>
      <c r="H24" s="646">
        <f t="shared" si="11"/>
        <v>0</v>
      </c>
      <c r="I24" s="646">
        <f t="shared" si="11"/>
        <v>0</v>
      </c>
      <c r="J24" s="646">
        <f t="shared" si="11"/>
        <v>0</v>
      </c>
      <c r="K24" s="646">
        <f t="shared" si="11"/>
        <v>0</v>
      </c>
      <c r="L24" s="647">
        <f t="shared" si="11"/>
        <v>0</v>
      </c>
      <c r="N24" s="1"/>
      <c r="O24" s="648">
        <f t="shared" si="11"/>
        <v>0</v>
      </c>
      <c r="P24" s="652">
        <f t="shared" si="6"/>
        <v>0</v>
      </c>
      <c r="R24" s="46">
        <f t="shared" si="3"/>
        <v>17</v>
      </c>
      <c r="S24" s="47" t="s">
        <v>59</v>
      </c>
      <c r="T24" s="59">
        <v>8001</v>
      </c>
      <c r="U24" s="60">
        <v>7941</v>
      </c>
      <c r="V24" s="60">
        <v>0</v>
      </c>
      <c r="W24" s="60">
        <v>0</v>
      </c>
      <c r="X24" s="60">
        <v>8001</v>
      </c>
      <c r="Y24" s="61">
        <v>7941</v>
      </c>
      <c r="Z24" s="78">
        <v>0</v>
      </c>
      <c r="AA24" s="78">
        <v>1112</v>
      </c>
      <c r="AB24" s="62">
        <v>195</v>
      </c>
      <c r="AC24" s="63">
        <v>60</v>
      </c>
      <c r="AD24" s="63"/>
      <c r="AE24" s="1036"/>
      <c r="AF24" s="59">
        <v>0</v>
      </c>
      <c r="AG24" s="63">
        <v>7941</v>
      </c>
    </row>
    <row r="25" spans="1:33">
      <c r="A25" s="658"/>
      <c r="B25" s="664" t="s">
        <v>205</v>
      </c>
      <c r="C25" s="660">
        <f>+C26</f>
        <v>0</v>
      </c>
      <c r="D25" s="660">
        <f>+D26</f>
        <v>0</v>
      </c>
      <c r="E25" s="660">
        <f>+E26</f>
        <v>0</v>
      </c>
      <c r="F25" s="660">
        <f>+F26</f>
        <v>0</v>
      </c>
      <c r="G25" s="660">
        <f t="shared" ref="G25:O25" si="12">+G26</f>
        <v>0</v>
      </c>
      <c r="H25" s="660">
        <f t="shared" si="12"/>
        <v>0</v>
      </c>
      <c r="I25" s="660">
        <f t="shared" si="12"/>
        <v>0</v>
      </c>
      <c r="J25" s="660">
        <f t="shared" si="12"/>
        <v>0</v>
      </c>
      <c r="K25" s="660">
        <f t="shared" si="12"/>
        <v>0</v>
      </c>
      <c r="L25" s="661">
        <f t="shared" si="12"/>
        <v>0</v>
      </c>
      <c r="N25" s="1"/>
      <c r="O25" s="662">
        <f t="shared" si="12"/>
        <v>0</v>
      </c>
      <c r="P25" s="660">
        <f t="shared" si="6"/>
        <v>0</v>
      </c>
      <c r="R25" s="25">
        <f t="shared" si="3"/>
        <v>18</v>
      </c>
      <c r="S25" s="37" t="s">
        <v>60</v>
      </c>
      <c r="T25" s="89"/>
      <c r="U25" s="87"/>
      <c r="V25" s="87"/>
      <c r="W25" s="87"/>
      <c r="X25" s="65"/>
      <c r="Y25" s="66"/>
      <c r="Z25" s="88"/>
      <c r="AA25" s="88"/>
      <c r="AB25" s="86"/>
      <c r="AC25" s="68"/>
      <c r="AD25" s="68"/>
      <c r="AE25" s="1036"/>
      <c r="AF25" s="89"/>
      <c r="AG25" s="68"/>
    </row>
    <row r="26" spans="1:33">
      <c r="A26" s="650">
        <v>17</v>
      </c>
      <c r="B26" s="665" t="s">
        <v>329</v>
      </c>
      <c r="C26" s="655">
        <v>0</v>
      </c>
      <c r="D26" s="655">
        <v>0</v>
      </c>
      <c r="E26" s="655">
        <v>0</v>
      </c>
      <c r="F26" s="655">
        <v>0</v>
      </c>
      <c r="G26" s="652">
        <f>+C26+E26</f>
        <v>0</v>
      </c>
      <c r="H26" s="652">
        <f>+D26+F26</f>
        <v>0</v>
      </c>
      <c r="I26" s="655">
        <v>0</v>
      </c>
      <c r="J26" s="655">
        <v>0</v>
      </c>
      <c r="K26" s="655">
        <v>0</v>
      </c>
      <c r="L26" s="653">
        <f>+G26-H26</f>
        <v>0</v>
      </c>
      <c r="N26" s="1"/>
      <c r="O26" s="656">
        <v>0</v>
      </c>
      <c r="P26" s="652">
        <f t="shared" si="6"/>
        <v>0</v>
      </c>
      <c r="R26" s="46">
        <f t="shared" si="3"/>
        <v>19</v>
      </c>
      <c r="S26" s="47" t="s">
        <v>54</v>
      </c>
      <c r="T26" s="59"/>
      <c r="U26" s="60"/>
      <c r="V26" s="60"/>
      <c r="W26" s="60"/>
      <c r="X26" s="60"/>
      <c r="Y26" s="61"/>
      <c r="Z26" s="78"/>
      <c r="AA26" s="78"/>
      <c r="AB26" s="62"/>
      <c r="AC26" s="63"/>
      <c r="AD26" s="63"/>
      <c r="AE26" s="1036"/>
      <c r="AF26" s="59"/>
      <c r="AG26" s="63"/>
    </row>
    <row r="27" spans="1:33">
      <c r="A27" s="644">
        <v>18</v>
      </c>
      <c r="B27" s="666" t="s">
        <v>3</v>
      </c>
      <c r="C27" s="667">
        <f>+C7+C17+C21+C24</f>
        <v>83174</v>
      </c>
      <c r="D27" s="667">
        <f t="shared" ref="D27:L27" si="13">+D7+D17+D21+D24</f>
        <v>83114</v>
      </c>
      <c r="E27" s="646">
        <f t="shared" si="13"/>
        <v>3620</v>
      </c>
      <c r="F27" s="646">
        <f t="shared" si="13"/>
        <v>3620</v>
      </c>
      <c r="G27" s="646">
        <f t="shared" si="13"/>
        <v>86794</v>
      </c>
      <c r="H27" s="646">
        <f t="shared" si="13"/>
        <v>86734</v>
      </c>
      <c r="I27" s="646">
        <f t="shared" si="13"/>
        <v>0</v>
      </c>
      <c r="J27" s="646">
        <f t="shared" si="13"/>
        <v>1627</v>
      </c>
      <c r="K27" s="646">
        <f t="shared" si="13"/>
        <v>1449</v>
      </c>
      <c r="L27" s="646">
        <f t="shared" si="13"/>
        <v>60</v>
      </c>
      <c r="N27" s="1"/>
      <c r="O27" s="646">
        <f>+O7+O17+O21+O24</f>
        <v>0</v>
      </c>
      <c r="P27" s="646">
        <f>+P7+P17+P21+P24</f>
        <v>86734</v>
      </c>
      <c r="R27" s="25">
        <f t="shared" si="3"/>
        <v>20</v>
      </c>
      <c r="S27" s="37" t="s">
        <v>60</v>
      </c>
      <c r="T27" s="94"/>
      <c r="U27" s="92"/>
      <c r="V27" s="92"/>
      <c r="W27" s="92"/>
      <c r="X27" s="65"/>
      <c r="Y27" s="66"/>
      <c r="Z27" s="93"/>
      <c r="AA27" s="93"/>
      <c r="AB27" s="91"/>
      <c r="AC27" s="68"/>
      <c r="AD27" s="68"/>
      <c r="AE27" s="1036"/>
      <c r="AF27" s="94"/>
      <c r="AG27" s="68"/>
    </row>
    <row r="28" spans="1:33">
      <c r="R28" s="24">
        <f t="shared" si="3"/>
        <v>21</v>
      </c>
      <c r="S28" s="38" t="s">
        <v>27</v>
      </c>
      <c r="T28" s="70">
        <v>3237</v>
      </c>
      <c r="U28" s="71">
        <v>3237</v>
      </c>
      <c r="V28" s="71">
        <v>3620</v>
      </c>
      <c r="W28" s="71">
        <v>3620</v>
      </c>
      <c r="X28" s="71">
        <v>6857</v>
      </c>
      <c r="Y28" s="72">
        <v>6857</v>
      </c>
      <c r="Z28" s="90">
        <v>0</v>
      </c>
      <c r="AA28" s="90">
        <v>0</v>
      </c>
      <c r="AB28" s="73">
        <v>0</v>
      </c>
      <c r="AC28" s="74">
        <v>0</v>
      </c>
      <c r="AD28" s="74"/>
      <c r="AE28" s="1036"/>
      <c r="AF28" s="70">
        <v>0</v>
      </c>
      <c r="AG28" s="74">
        <v>6857</v>
      </c>
    </row>
    <row r="29" spans="1:33">
      <c r="R29" s="29">
        <f t="shared" si="3"/>
        <v>22</v>
      </c>
      <c r="S29" s="43" t="s">
        <v>34</v>
      </c>
      <c r="T29" s="59"/>
      <c r="U29" s="60"/>
      <c r="V29" s="60"/>
      <c r="W29" s="60"/>
      <c r="X29" s="60"/>
      <c r="Y29" s="61"/>
      <c r="Z29" s="78"/>
      <c r="AA29" s="78"/>
      <c r="AB29" s="62"/>
      <c r="AC29" s="63"/>
      <c r="AD29" s="63"/>
      <c r="AE29" s="1036"/>
      <c r="AF29" s="59"/>
      <c r="AG29" s="63"/>
    </row>
    <row r="30" spans="1:33">
      <c r="R30" s="25">
        <f t="shared" si="3"/>
        <v>23</v>
      </c>
      <c r="S30" s="37" t="s">
        <v>60</v>
      </c>
      <c r="T30" s="94"/>
      <c r="U30" s="92"/>
      <c r="V30" s="92"/>
      <c r="W30" s="92"/>
      <c r="X30" s="65"/>
      <c r="Y30" s="66"/>
      <c r="Z30" s="93"/>
      <c r="AA30" s="93"/>
      <c r="AB30" s="91"/>
      <c r="AC30" s="68"/>
      <c r="AD30" s="68"/>
      <c r="AE30" s="1036"/>
      <c r="AF30" s="94"/>
      <c r="AG30" s="68"/>
    </row>
    <row r="31" spans="1:33">
      <c r="R31" s="24">
        <f t="shared" si="3"/>
        <v>24</v>
      </c>
      <c r="S31" s="38" t="s">
        <v>32</v>
      </c>
      <c r="T31" s="70"/>
      <c r="U31" s="71"/>
      <c r="V31" s="71"/>
      <c r="W31" s="71"/>
      <c r="X31" s="71"/>
      <c r="Y31" s="72"/>
      <c r="Z31" s="90"/>
      <c r="AA31" s="90"/>
      <c r="AB31" s="73"/>
      <c r="AC31" s="74"/>
      <c r="AD31" s="74"/>
      <c r="AE31" s="1036"/>
      <c r="AF31" s="70"/>
      <c r="AG31" s="74"/>
    </row>
    <row r="32" spans="1:33">
      <c r="R32" s="46">
        <f t="shared" si="3"/>
        <v>25</v>
      </c>
      <c r="S32" s="47" t="s">
        <v>39</v>
      </c>
      <c r="T32" s="59"/>
      <c r="U32" s="60"/>
      <c r="V32" s="60"/>
      <c r="W32" s="60"/>
      <c r="X32" s="60"/>
      <c r="Y32" s="61"/>
      <c r="Z32" s="78"/>
      <c r="AA32" s="78"/>
      <c r="AB32" s="62"/>
      <c r="AC32" s="63"/>
      <c r="AD32" s="63"/>
      <c r="AE32" s="1036"/>
      <c r="AF32" s="59"/>
      <c r="AG32" s="63"/>
    </row>
    <row r="33" spans="18:33" ht="15.75" thickBot="1">
      <c r="R33" s="25">
        <f t="shared" si="3"/>
        <v>26</v>
      </c>
      <c r="S33" s="37" t="s">
        <v>60</v>
      </c>
      <c r="T33" s="89"/>
      <c r="U33" s="87"/>
      <c r="V33" s="87"/>
      <c r="W33" s="87"/>
      <c r="X33" s="65"/>
      <c r="Y33" s="66"/>
      <c r="Z33" s="88"/>
      <c r="AA33" s="88"/>
      <c r="AB33" s="86"/>
      <c r="AC33" s="68"/>
      <c r="AD33" s="68"/>
      <c r="AE33" s="1036"/>
      <c r="AF33" s="89"/>
      <c r="AG33" s="68"/>
    </row>
    <row r="34" spans="18:33" ht="15.75" thickBot="1">
      <c r="R34" s="31">
        <f t="shared" si="3"/>
        <v>27</v>
      </c>
      <c r="S34" s="39" t="s">
        <v>23</v>
      </c>
      <c r="T34" s="95">
        <v>83174</v>
      </c>
      <c r="U34" s="96">
        <v>83114</v>
      </c>
      <c r="V34" s="96">
        <v>3620</v>
      </c>
      <c r="W34" s="96">
        <v>3620</v>
      </c>
      <c r="X34" s="96">
        <v>86794</v>
      </c>
      <c r="Y34" s="97">
        <v>86734</v>
      </c>
      <c r="Z34" s="98">
        <v>0</v>
      </c>
      <c r="AA34" s="98">
        <v>1627</v>
      </c>
      <c r="AB34" s="99">
        <v>1449</v>
      </c>
      <c r="AC34" s="100">
        <v>60</v>
      </c>
      <c r="AD34" s="100"/>
      <c r="AE34" s="101"/>
      <c r="AF34" s="95">
        <v>0</v>
      </c>
      <c r="AG34" s="100">
        <v>86734</v>
      </c>
    </row>
  </sheetData>
  <mergeCells count="26">
    <mergeCell ref="A1:P1"/>
    <mergeCell ref="A3:K3"/>
    <mergeCell ref="L3:P3"/>
    <mergeCell ref="A4:A6"/>
    <mergeCell ref="B4:B6"/>
    <mergeCell ref="C4:D4"/>
    <mergeCell ref="E4:F4"/>
    <mergeCell ref="G4:H4"/>
    <mergeCell ref="I4:I5"/>
    <mergeCell ref="J4:J5"/>
    <mergeCell ref="K4:K5"/>
    <mergeCell ref="L4:L5"/>
    <mergeCell ref="O4:O5"/>
    <mergeCell ref="P4:P5"/>
    <mergeCell ref="R4:R6"/>
    <mergeCell ref="S4:S6"/>
    <mergeCell ref="AC4:AC5"/>
    <mergeCell ref="AD4:AD5"/>
    <mergeCell ref="AF4:AF5"/>
    <mergeCell ref="AG4:AG5"/>
    <mergeCell ref="T4:U4"/>
    <mergeCell ref="V4:W4"/>
    <mergeCell ref="X4:Y4"/>
    <mergeCell ref="Z4:Z5"/>
    <mergeCell ref="AA4:AA5"/>
    <mergeCell ref="AB4:AB5"/>
  </mergeCell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dimension ref="A1:AG74"/>
  <sheetViews>
    <sheetView zoomScale="85" zoomScaleNormal="85" workbookViewId="0">
      <selection activeCell="R1" sqref="R1:AG65536"/>
    </sheetView>
  </sheetViews>
  <sheetFormatPr defaultRowHeight="15"/>
  <cols>
    <col min="1" max="1" width="9.42578125" customWidth="1"/>
    <col min="2" max="2" width="45.85546875" customWidth="1"/>
    <col min="3" max="3" width="12.7109375" customWidth="1"/>
    <col min="4" max="4" width="11.5703125" customWidth="1"/>
    <col min="5" max="5" width="11.28515625" customWidth="1"/>
    <col min="6" max="6" width="11.5703125" customWidth="1"/>
    <col min="7" max="7" width="10.85546875" customWidth="1"/>
    <col min="8" max="9" width="10.42578125" customWidth="1"/>
    <col min="10" max="10" width="12.5703125" customWidth="1"/>
    <col min="11" max="11" width="10.5703125" customWidth="1"/>
    <col min="12" max="13" width="11.42578125" customWidth="1"/>
    <col min="14" max="14" width="1.7109375" customWidth="1"/>
    <col min="15" max="15" width="11" customWidth="1"/>
    <col min="16" max="16" width="10.85546875" customWidth="1"/>
    <col min="18" max="18" width="9.42578125" hidden="1" customWidth="1"/>
    <col min="19" max="19" width="45.85546875" hidden="1" customWidth="1"/>
    <col min="20" max="20" width="12.7109375" hidden="1" customWidth="1"/>
    <col min="21" max="21" width="11.5703125" hidden="1" customWidth="1"/>
    <col min="22" max="22" width="11.28515625" hidden="1" customWidth="1"/>
    <col min="23" max="23" width="11.5703125" hidden="1" customWidth="1"/>
    <col min="24" max="25" width="12.140625" hidden="1" customWidth="1"/>
    <col min="26" max="26" width="10.42578125" hidden="1" customWidth="1"/>
    <col min="27" max="27" width="12.5703125" hidden="1" customWidth="1"/>
    <col min="28" max="28" width="10.5703125" hidden="1" customWidth="1"/>
    <col min="29" max="29" width="14" hidden="1" customWidth="1"/>
    <col min="30" max="30" width="12.42578125" hidden="1" customWidth="1"/>
    <col min="31" max="31" width="1.7109375" hidden="1" customWidth="1"/>
    <col min="32" max="32" width="11" hidden="1" customWidth="1"/>
    <col min="33" max="33" width="10.85546875" hidden="1" customWidth="1"/>
  </cols>
  <sheetData>
    <row r="1" spans="1:33" ht="15.75">
      <c r="A1" s="3" t="s">
        <v>116</v>
      </c>
      <c r="B1" s="20"/>
      <c r="C1" s="669"/>
      <c r="D1" s="669"/>
      <c r="E1" s="20"/>
      <c r="F1" s="20"/>
      <c r="G1" s="20"/>
      <c r="H1" s="20"/>
      <c r="I1" s="20"/>
      <c r="J1" s="20"/>
      <c r="K1" s="20"/>
      <c r="L1" s="20"/>
      <c r="M1" s="20"/>
      <c r="N1" s="22"/>
      <c r="O1" s="20"/>
      <c r="P1" s="20"/>
    </row>
    <row r="2" spans="1:33" ht="15.75">
      <c r="A2" s="3"/>
      <c r="B2" s="2" t="s">
        <v>43</v>
      </c>
      <c r="C2" s="20"/>
      <c r="D2" s="669"/>
      <c r="E2" s="20"/>
      <c r="F2" s="20"/>
      <c r="G2" s="20"/>
      <c r="H2" s="20"/>
      <c r="I2" s="20"/>
      <c r="J2" s="20"/>
      <c r="K2" s="20"/>
      <c r="L2" s="20"/>
      <c r="M2" s="20"/>
      <c r="N2" s="22"/>
      <c r="O2" s="20"/>
      <c r="P2" s="20"/>
    </row>
    <row r="3" spans="1:33" ht="16.5" thickBot="1">
      <c r="A3" s="28"/>
      <c r="B3" s="670"/>
      <c r="C3" s="671"/>
      <c r="D3" s="672"/>
      <c r="E3" s="671"/>
      <c r="F3" s="672"/>
      <c r="G3" s="671"/>
      <c r="H3" s="671"/>
      <c r="I3" s="671"/>
      <c r="J3" s="672"/>
      <c r="K3" s="671"/>
      <c r="L3" s="671"/>
      <c r="M3" s="671"/>
      <c r="N3" s="26"/>
      <c r="O3" s="671"/>
      <c r="P3" s="673" t="s">
        <v>2</v>
      </c>
    </row>
    <row r="4" spans="1:33">
      <c r="A4" s="1357" t="s">
        <v>1</v>
      </c>
      <c r="B4" s="1354" t="s">
        <v>46</v>
      </c>
      <c r="C4" s="1501" t="s">
        <v>18</v>
      </c>
      <c r="D4" s="1502"/>
      <c r="E4" s="1361" t="s">
        <v>19</v>
      </c>
      <c r="F4" s="1361"/>
      <c r="G4" s="1364" t="s">
        <v>20</v>
      </c>
      <c r="H4" s="1365"/>
      <c r="I4" s="1349" t="s">
        <v>47</v>
      </c>
      <c r="J4" s="1349" t="s">
        <v>48</v>
      </c>
      <c r="K4" s="1351" t="s">
        <v>49</v>
      </c>
      <c r="L4" s="1362" t="s">
        <v>77</v>
      </c>
      <c r="M4" s="1497" t="s">
        <v>118</v>
      </c>
      <c r="N4" s="674"/>
      <c r="O4" s="1499" t="s">
        <v>330</v>
      </c>
      <c r="P4" s="1368" t="s">
        <v>21</v>
      </c>
      <c r="R4" s="1357" t="s">
        <v>1</v>
      </c>
      <c r="S4" s="1354" t="s">
        <v>46</v>
      </c>
      <c r="T4" s="1360" t="s">
        <v>18</v>
      </c>
      <c r="U4" s="1361"/>
      <c r="V4" s="1361" t="s">
        <v>19</v>
      </c>
      <c r="W4" s="1361"/>
      <c r="X4" s="1364" t="s">
        <v>20</v>
      </c>
      <c r="Y4" s="1365"/>
      <c r="Z4" s="1349" t="s">
        <v>47</v>
      </c>
      <c r="AA4" s="1349" t="s">
        <v>48</v>
      </c>
      <c r="AB4" s="1351" t="s">
        <v>49</v>
      </c>
      <c r="AC4" s="1362" t="s">
        <v>62</v>
      </c>
      <c r="AD4" s="1370" t="s">
        <v>69</v>
      </c>
      <c r="AE4" s="1037"/>
      <c r="AF4" s="1366" t="s">
        <v>65</v>
      </c>
      <c r="AG4" s="1368" t="s">
        <v>21</v>
      </c>
    </row>
    <row r="5" spans="1:33">
      <c r="A5" s="1358"/>
      <c r="B5" s="1355"/>
      <c r="C5" s="10" t="s">
        <v>26</v>
      </c>
      <c r="D5" s="675" t="s">
        <v>274</v>
      </c>
      <c r="E5" s="10" t="s">
        <v>12</v>
      </c>
      <c r="F5" s="11" t="s">
        <v>16</v>
      </c>
      <c r="G5" s="11" t="s">
        <v>12</v>
      </c>
      <c r="H5" s="33" t="s">
        <v>16</v>
      </c>
      <c r="I5" s="1350"/>
      <c r="J5" s="1350"/>
      <c r="K5" s="1352"/>
      <c r="L5" s="1363"/>
      <c r="M5" s="1498"/>
      <c r="N5" s="674"/>
      <c r="O5" s="1500"/>
      <c r="P5" s="1369"/>
      <c r="R5" s="1358"/>
      <c r="S5" s="1355"/>
      <c r="T5" s="1077" t="s">
        <v>26</v>
      </c>
      <c r="U5" s="11" t="s">
        <v>50</v>
      </c>
      <c r="V5" s="10" t="s">
        <v>12</v>
      </c>
      <c r="W5" s="11" t="s">
        <v>16</v>
      </c>
      <c r="X5" s="11" t="s">
        <v>12</v>
      </c>
      <c r="Y5" s="33" t="s">
        <v>16</v>
      </c>
      <c r="Z5" s="1350"/>
      <c r="AA5" s="1350"/>
      <c r="AB5" s="1352"/>
      <c r="AC5" s="1363"/>
      <c r="AD5" s="1371"/>
      <c r="AE5" s="1037"/>
      <c r="AF5" s="1367"/>
      <c r="AG5" s="1369"/>
    </row>
    <row r="6" spans="1:33" ht="15.75" thickBot="1">
      <c r="A6" s="1359"/>
      <c r="B6" s="1356"/>
      <c r="C6" s="12" t="s">
        <v>4</v>
      </c>
      <c r="D6" s="676" t="s">
        <v>5</v>
      </c>
      <c r="E6" s="13" t="s">
        <v>6</v>
      </c>
      <c r="F6" s="13" t="s">
        <v>7</v>
      </c>
      <c r="G6" s="13" t="s">
        <v>13</v>
      </c>
      <c r="H6" s="34" t="s">
        <v>14</v>
      </c>
      <c r="I6" s="45" t="s">
        <v>28</v>
      </c>
      <c r="J6" s="45" t="s">
        <v>31</v>
      </c>
      <c r="K6" s="32" t="s">
        <v>9</v>
      </c>
      <c r="L6" s="14" t="s">
        <v>22</v>
      </c>
      <c r="M6" s="677" t="s">
        <v>63</v>
      </c>
      <c r="N6" s="678"/>
      <c r="O6" s="32" t="s">
        <v>10</v>
      </c>
      <c r="P6" s="14" t="s">
        <v>64</v>
      </c>
      <c r="R6" s="1359"/>
      <c r="S6" s="1356"/>
      <c r="T6" s="1078" t="s">
        <v>4</v>
      </c>
      <c r="U6" s="13" t="s">
        <v>5</v>
      </c>
      <c r="V6" s="13" t="s">
        <v>6</v>
      </c>
      <c r="W6" s="13" t="s">
        <v>7</v>
      </c>
      <c r="X6" s="13" t="s">
        <v>13</v>
      </c>
      <c r="Y6" s="34" t="s">
        <v>14</v>
      </c>
      <c r="Z6" s="45" t="s">
        <v>28</v>
      </c>
      <c r="AA6" s="45" t="s">
        <v>31</v>
      </c>
      <c r="AB6" s="32" t="s">
        <v>9</v>
      </c>
      <c r="AC6" s="14" t="s">
        <v>22</v>
      </c>
      <c r="AD6" s="14" t="s">
        <v>63</v>
      </c>
      <c r="AE6" s="1037"/>
      <c r="AF6" s="44" t="s">
        <v>10</v>
      </c>
      <c r="AG6" s="14" t="s">
        <v>64</v>
      </c>
    </row>
    <row r="7" spans="1:33">
      <c r="A7" s="24">
        <v>1</v>
      </c>
      <c r="B7" s="38" t="s">
        <v>15</v>
      </c>
      <c r="C7" s="1253">
        <v>881604.67699000007</v>
      </c>
      <c r="D7" s="1253">
        <v>881346.00826000003</v>
      </c>
      <c r="E7" s="1253">
        <v>45</v>
      </c>
      <c r="F7" s="1253">
        <v>45</v>
      </c>
      <c r="G7" s="1253">
        <v>881649.67699000007</v>
      </c>
      <c r="H7" s="1254">
        <v>881391.00826000003</v>
      </c>
      <c r="I7" s="1255">
        <v>0</v>
      </c>
      <c r="J7" s="1255">
        <v>12330.99</v>
      </c>
      <c r="K7" s="1256">
        <v>8871.3486200000007</v>
      </c>
      <c r="L7" s="1257">
        <v>258.66873000001908</v>
      </c>
      <c r="M7" s="1257">
        <v>224.03172999999998</v>
      </c>
      <c r="N7" s="1258"/>
      <c r="O7" s="1256">
        <v>28155.736560000001</v>
      </c>
      <c r="P7" s="1253">
        <v>909546.74481999991</v>
      </c>
      <c r="R7" s="24">
        <v>1</v>
      </c>
      <c r="S7" s="38" t="s">
        <v>15</v>
      </c>
      <c r="T7" s="54">
        <v>881604.67699000007</v>
      </c>
      <c r="U7" s="55">
        <v>881346.00826000003</v>
      </c>
      <c r="V7" s="55">
        <v>45</v>
      </c>
      <c r="W7" s="55">
        <v>45</v>
      </c>
      <c r="X7" s="55">
        <v>881649.67699000007</v>
      </c>
      <c r="Y7" s="56">
        <v>881391.00826000003</v>
      </c>
      <c r="Z7" s="75">
        <v>0</v>
      </c>
      <c r="AA7" s="75">
        <v>12330.99</v>
      </c>
      <c r="AB7" s="57">
        <v>8871.3486200000007</v>
      </c>
      <c r="AC7" s="58">
        <v>258.66873000001908</v>
      </c>
      <c r="AD7" s="58">
        <v>224.03172999999998</v>
      </c>
      <c r="AE7" s="1036"/>
      <c r="AF7" s="54">
        <v>28155.736560000001</v>
      </c>
      <c r="AG7" s="58">
        <v>909546.74481999991</v>
      </c>
    </row>
    <row r="8" spans="1:33">
      <c r="A8" s="48">
        <f>A7+1</f>
        <v>2</v>
      </c>
      <c r="B8" s="35" t="s">
        <v>35</v>
      </c>
      <c r="C8" s="1011">
        <v>660356.82198999997</v>
      </c>
      <c r="D8" s="1011">
        <v>660174.95524000004</v>
      </c>
      <c r="E8" s="1011">
        <v>0</v>
      </c>
      <c r="F8" s="1011">
        <v>0</v>
      </c>
      <c r="G8" s="1011">
        <v>660356.82198999997</v>
      </c>
      <c r="H8" s="1012">
        <v>660174.95524000004</v>
      </c>
      <c r="I8" s="1013">
        <v>0</v>
      </c>
      <c r="J8" s="1013">
        <v>5523</v>
      </c>
      <c r="K8" s="1014">
        <v>3688.7731699999999</v>
      </c>
      <c r="L8" s="1015">
        <v>181.86675</v>
      </c>
      <c r="M8" s="1259">
        <v>147.22975</v>
      </c>
      <c r="N8" s="1258"/>
      <c r="O8" s="1014">
        <v>19036.796999999999</v>
      </c>
      <c r="P8" s="1015">
        <v>679211.75224000006</v>
      </c>
      <c r="R8" s="48">
        <f>R7+1</f>
        <v>2</v>
      </c>
      <c r="S8" s="35" t="s">
        <v>35</v>
      </c>
      <c r="T8" s="59">
        <v>660356.82198999997</v>
      </c>
      <c r="U8" s="60">
        <v>660174.95524000004</v>
      </c>
      <c r="V8" s="60">
        <v>0</v>
      </c>
      <c r="W8" s="60">
        <v>0</v>
      </c>
      <c r="X8" s="60">
        <v>660356.82198999997</v>
      </c>
      <c r="Y8" s="61">
        <v>660174.95524000004</v>
      </c>
      <c r="Z8" s="77">
        <v>0</v>
      </c>
      <c r="AA8" s="78">
        <v>5523</v>
      </c>
      <c r="AB8" s="62">
        <v>3688.7731699999999</v>
      </c>
      <c r="AC8" s="63">
        <v>181.86675</v>
      </c>
      <c r="AD8" s="63">
        <v>147.22975</v>
      </c>
      <c r="AE8" s="1036"/>
      <c r="AF8" s="59">
        <v>19036.796999999999</v>
      </c>
      <c r="AG8" s="63">
        <v>679211.75224000006</v>
      </c>
    </row>
    <row r="9" spans="1:33">
      <c r="A9" s="25">
        <f>A8+1</f>
        <v>3</v>
      </c>
      <c r="B9" s="36" t="s">
        <v>552</v>
      </c>
      <c r="C9" s="552">
        <v>0</v>
      </c>
      <c r="D9" s="552">
        <v>0</v>
      </c>
      <c r="E9" s="552">
        <v>0</v>
      </c>
      <c r="F9" s="552">
        <v>0</v>
      </c>
      <c r="G9" s="552">
        <v>0</v>
      </c>
      <c r="H9" s="553">
        <v>0</v>
      </c>
      <c r="I9" s="978">
        <v>0</v>
      </c>
      <c r="J9" s="978">
        <v>0</v>
      </c>
      <c r="K9" s="1260">
        <v>0</v>
      </c>
      <c r="L9" s="555">
        <v>0</v>
      </c>
      <c r="M9" s="1261">
        <v>0</v>
      </c>
      <c r="N9" s="1258"/>
      <c r="O9" s="978">
        <v>0</v>
      </c>
      <c r="P9" s="555">
        <v>0</v>
      </c>
      <c r="R9" s="25">
        <f t="shared" ref="R9:R34" si="0">R8+1</f>
        <v>3</v>
      </c>
      <c r="S9" s="36" t="s">
        <v>58</v>
      </c>
      <c r="T9" s="64">
        <v>651223.88199999998</v>
      </c>
      <c r="U9" s="65">
        <v>651223.88199999998</v>
      </c>
      <c r="V9" s="65">
        <v>0</v>
      </c>
      <c r="W9" s="65">
        <v>0</v>
      </c>
      <c r="X9" s="65">
        <v>651223.88199999998</v>
      </c>
      <c r="Y9" s="66">
        <v>651223.88199999998</v>
      </c>
      <c r="Z9" s="80">
        <v>0</v>
      </c>
      <c r="AA9" s="80">
        <v>0</v>
      </c>
      <c r="AB9" s="67">
        <v>3572.9437900000003</v>
      </c>
      <c r="AC9" s="68">
        <v>0</v>
      </c>
      <c r="AD9" s="68">
        <v>0</v>
      </c>
      <c r="AE9" s="1036"/>
      <c r="AF9" s="64">
        <v>19036.796999999999</v>
      </c>
      <c r="AG9" s="68">
        <v>670260.679</v>
      </c>
    </row>
    <row r="10" spans="1:33">
      <c r="A10" s="25">
        <f t="shared" ref="A10:A70" si="1">A9+1</f>
        <v>4</v>
      </c>
      <c r="B10" s="36" t="s">
        <v>82</v>
      </c>
      <c r="C10" s="1260">
        <v>651223.88199999998</v>
      </c>
      <c r="D10" s="552">
        <v>651223.88199999998</v>
      </c>
      <c r="E10" s="552">
        <v>0</v>
      </c>
      <c r="F10" s="552">
        <v>0</v>
      </c>
      <c r="G10" s="552">
        <v>651223.88199999998</v>
      </c>
      <c r="H10" s="553">
        <v>651223.88199999998</v>
      </c>
      <c r="I10" s="978">
        <v>0</v>
      </c>
      <c r="J10" s="978">
        <v>0</v>
      </c>
      <c r="K10" s="979">
        <v>3572.9437900000003</v>
      </c>
      <c r="L10" s="555">
        <v>0</v>
      </c>
      <c r="M10" s="1261">
        <v>0</v>
      </c>
      <c r="N10" s="1258"/>
      <c r="O10" s="978">
        <v>19036.796999999999</v>
      </c>
      <c r="P10" s="555">
        <v>670260.679</v>
      </c>
      <c r="R10" s="25">
        <f t="shared" si="0"/>
        <v>4</v>
      </c>
      <c r="S10" s="36" t="s">
        <v>36</v>
      </c>
      <c r="T10" s="64">
        <v>9132.9399900000008</v>
      </c>
      <c r="U10" s="65">
        <v>8951.0732399999997</v>
      </c>
      <c r="V10" s="65">
        <v>0</v>
      </c>
      <c r="W10" s="65">
        <v>0</v>
      </c>
      <c r="X10" s="65">
        <v>9132.9399900000008</v>
      </c>
      <c r="Y10" s="249">
        <v>8951.0732399999997</v>
      </c>
      <c r="Z10" s="80">
        <v>0</v>
      </c>
      <c r="AA10" s="80">
        <v>5523</v>
      </c>
      <c r="AB10" s="67">
        <v>115.82938</v>
      </c>
      <c r="AC10" s="68">
        <v>181.86675</v>
      </c>
      <c r="AD10" s="68">
        <v>147.22975</v>
      </c>
      <c r="AE10" s="1036"/>
      <c r="AF10" s="64">
        <v>0</v>
      </c>
      <c r="AG10" s="68">
        <v>8951.0732399999997</v>
      </c>
    </row>
    <row r="11" spans="1:33">
      <c r="A11" s="25">
        <f t="shared" si="1"/>
        <v>5</v>
      </c>
      <c r="B11" s="36" t="s">
        <v>36</v>
      </c>
      <c r="C11" s="552">
        <v>9132.9399900000008</v>
      </c>
      <c r="D11" s="552">
        <v>8951.0732399999997</v>
      </c>
      <c r="E11" s="552">
        <v>0</v>
      </c>
      <c r="F11" s="552">
        <v>0</v>
      </c>
      <c r="G11" s="552">
        <v>9132.9399900000008</v>
      </c>
      <c r="H11" s="553">
        <v>8951.0732399999997</v>
      </c>
      <c r="I11" s="977">
        <v>0</v>
      </c>
      <c r="J11" s="977">
        <v>5523</v>
      </c>
      <c r="K11" s="977">
        <v>115.82938</v>
      </c>
      <c r="L11" s="555">
        <v>181.86675</v>
      </c>
      <c r="M11" s="1261">
        <v>147.22975</v>
      </c>
      <c r="N11" s="1258"/>
      <c r="O11" s="979">
        <v>0</v>
      </c>
      <c r="P11" s="555">
        <v>8951.0732399999997</v>
      </c>
      <c r="R11" s="25">
        <f t="shared" si="0"/>
        <v>5</v>
      </c>
      <c r="S11" s="37" t="s">
        <v>30</v>
      </c>
      <c r="T11" s="64"/>
      <c r="U11" s="65"/>
      <c r="V11" s="65"/>
      <c r="W11" s="65"/>
      <c r="X11" s="65"/>
      <c r="Y11" s="66"/>
      <c r="Z11" s="79"/>
      <c r="AA11" s="80"/>
      <c r="AB11" s="67"/>
      <c r="AC11" s="68"/>
      <c r="AD11" s="68"/>
      <c r="AE11" s="1036"/>
      <c r="AF11" s="64"/>
      <c r="AG11" s="68"/>
    </row>
    <row r="12" spans="1:33">
      <c r="A12" s="25">
        <f t="shared" si="1"/>
        <v>6</v>
      </c>
      <c r="B12" s="679" t="s">
        <v>331</v>
      </c>
      <c r="C12" s="552">
        <v>4269</v>
      </c>
      <c r="D12" s="552">
        <v>4269</v>
      </c>
      <c r="E12" s="552">
        <v>0</v>
      </c>
      <c r="F12" s="552">
        <v>0</v>
      </c>
      <c r="G12" s="552">
        <v>4269</v>
      </c>
      <c r="H12" s="553">
        <v>4269</v>
      </c>
      <c r="I12" s="978">
        <v>0</v>
      </c>
      <c r="J12" s="978">
        <v>0</v>
      </c>
      <c r="K12" s="979">
        <v>68.953220000000002</v>
      </c>
      <c r="L12" s="555">
        <v>0</v>
      </c>
      <c r="M12" s="1261">
        <v>0</v>
      </c>
      <c r="N12" s="1258"/>
      <c r="O12" s="978">
        <v>0</v>
      </c>
      <c r="P12" s="555">
        <v>4269</v>
      </c>
      <c r="R12" s="48">
        <f t="shared" si="0"/>
        <v>6</v>
      </c>
      <c r="S12" s="35" t="s">
        <v>42</v>
      </c>
      <c r="T12" s="59">
        <v>221247.85500000001</v>
      </c>
      <c r="U12" s="60">
        <v>221171.05301999999</v>
      </c>
      <c r="V12" s="60">
        <v>45</v>
      </c>
      <c r="W12" s="60">
        <v>45</v>
      </c>
      <c r="X12" s="60">
        <v>221292.85500000001</v>
      </c>
      <c r="Y12" s="61">
        <v>221216.05301999999</v>
      </c>
      <c r="Z12" s="78">
        <v>0</v>
      </c>
      <c r="AA12" s="78">
        <v>6807.99</v>
      </c>
      <c r="AB12" s="62">
        <v>5182.5754500000003</v>
      </c>
      <c r="AC12" s="63">
        <v>76.801980000019071</v>
      </c>
      <c r="AD12" s="63">
        <v>76.80198</v>
      </c>
      <c r="AE12" s="1036"/>
      <c r="AF12" s="59">
        <v>9118.9395600000007</v>
      </c>
      <c r="AG12" s="63">
        <v>230334.99257999999</v>
      </c>
    </row>
    <row r="13" spans="1:33">
      <c r="A13" s="25">
        <f t="shared" si="1"/>
        <v>7</v>
      </c>
      <c r="B13" s="679" t="s">
        <v>332</v>
      </c>
      <c r="C13" s="552">
        <v>991.59188000000006</v>
      </c>
      <c r="D13" s="552">
        <v>809.72513000000004</v>
      </c>
      <c r="E13" s="552">
        <v>0</v>
      </c>
      <c r="F13" s="552">
        <v>0</v>
      </c>
      <c r="G13" s="552">
        <v>991.59188000000006</v>
      </c>
      <c r="H13" s="553">
        <v>809.72513000000004</v>
      </c>
      <c r="I13" s="978">
        <v>0</v>
      </c>
      <c r="J13" s="978">
        <v>0</v>
      </c>
      <c r="K13" s="979">
        <v>46.876160000000006</v>
      </c>
      <c r="L13" s="555">
        <v>181.86675</v>
      </c>
      <c r="M13" s="1261">
        <v>147.22975</v>
      </c>
      <c r="N13" s="1258"/>
      <c r="O13" s="978">
        <v>0</v>
      </c>
      <c r="P13" s="555">
        <v>809.72513000000004</v>
      </c>
      <c r="R13" s="29">
        <f t="shared" si="0"/>
        <v>7</v>
      </c>
      <c r="S13" s="36" t="s">
        <v>51</v>
      </c>
      <c r="T13" s="85">
        <v>86560.206000000006</v>
      </c>
      <c r="U13" s="82">
        <v>86483.404020000002</v>
      </c>
      <c r="V13" s="82">
        <v>45</v>
      </c>
      <c r="W13" s="82">
        <v>45</v>
      </c>
      <c r="X13" s="65">
        <v>86605.206000000006</v>
      </c>
      <c r="Y13" s="66">
        <v>86528.404020000002</v>
      </c>
      <c r="Z13" s="79">
        <v>0</v>
      </c>
      <c r="AA13" s="83">
        <v>3421.99</v>
      </c>
      <c r="AB13" s="81">
        <v>1025.0992800000001</v>
      </c>
      <c r="AC13" s="68">
        <v>76.801980000004178</v>
      </c>
      <c r="AD13" s="68">
        <v>76.80198</v>
      </c>
      <c r="AE13" s="706"/>
      <c r="AF13" s="85">
        <v>4550.6895600000007</v>
      </c>
      <c r="AG13" s="68">
        <v>91079.093580000001</v>
      </c>
    </row>
    <row r="14" spans="1:33">
      <c r="A14" s="25">
        <f t="shared" si="1"/>
        <v>8</v>
      </c>
      <c r="B14" s="679" t="s">
        <v>333</v>
      </c>
      <c r="C14" s="552">
        <v>3872.3481100000004</v>
      </c>
      <c r="D14" s="552">
        <v>3872.3481100000004</v>
      </c>
      <c r="E14" s="552">
        <v>0</v>
      </c>
      <c r="F14" s="552">
        <v>0</v>
      </c>
      <c r="G14" s="552">
        <v>3872.3481100000004</v>
      </c>
      <c r="H14" s="553">
        <v>3872.3481100000004</v>
      </c>
      <c r="I14" s="978">
        <v>0</v>
      </c>
      <c r="J14" s="978">
        <v>5523</v>
      </c>
      <c r="K14" s="979">
        <v>0</v>
      </c>
      <c r="L14" s="555">
        <v>0</v>
      </c>
      <c r="M14" s="1261">
        <v>0</v>
      </c>
      <c r="N14" s="1258"/>
      <c r="O14" s="978">
        <v>0</v>
      </c>
      <c r="P14" s="555">
        <v>3872.3481100000004</v>
      </c>
      <c r="R14" s="29"/>
      <c r="S14" s="36" t="s">
        <v>61</v>
      </c>
      <c r="T14" s="85">
        <v>48901</v>
      </c>
      <c r="U14" s="82">
        <v>48901</v>
      </c>
      <c r="V14" s="82">
        <v>45</v>
      </c>
      <c r="W14" s="82">
        <v>45</v>
      </c>
      <c r="X14" s="65">
        <v>48946</v>
      </c>
      <c r="Y14" s="66">
        <v>48946</v>
      </c>
      <c r="Z14" s="79">
        <v>0</v>
      </c>
      <c r="AA14" s="83">
        <v>0</v>
      </c>
      <c r="AB14" s="81">
        <v>305.19680000000005</v>
      </c>
      <c r="AC14" s="68">
        <v>0</v>
      </c>
      <c r="AD14" s="68">
        <v>0</v>
      </c>
      <c r="AE14" s="706"/>
      <c r="AF14" s="85">
        <v>4510.6895600000007</v>
      </c>
      <c r="AG14" s="68">
        <v>53456.689559999999</v>
      </c>
    </row>
    <row r="15" spans="1:33">
      <c r="A15" s="25">
        <f t="shared" si="1"/>
        <v>9</v>
      </c>
      <c r="B15" s="680" t="s">
        <v>42</v>
      </c>
      <c r="C15" s="1262">
        <v>221247.85500000001</v>
      </c>
      <c r="D15" s="1263">
        <v>221171.05301999999</v>
      </c>
      <c r="E15" s="1262">
        <v>45</v>
      </c>
      <c r="F15" s="1262">
        <v>45</v>
      </c>
      <c r="G15" s="1262">
        <v>221292.85500000001</v>
      </c>
      <c r="H15" s="1262">
        <v>221216.05301999999</v>
      </c>
      <c r="I15" s="1262">
        <v>0</v>
      </c>
      <c r="J15" s="1262">
        <v>6807.99</v>
      </c>
      <c r="K15" s="1262">
        <v>5182.5754500000003</v>
      </c>
      <c r="L15" s="1262">
        <v>76.801980000019071</v>
      </c>
      <c r="M15" s="1264">
        <v>76.80198</v>
      </c>
      <c r="N15" s="1258"/>
      <c r="O15" s="1014">
        <v>9118.9395600000007</v>
      </c>
      <c r="P15" s="1015">
        <v>230334.99257999999</v>
      </c>
      <c r="R15" s="25">
        <f>R13+1</f>
        <v>8</v>
      </c>
      <c r="S15" s="37" t="s">
        <v>66</v>
      </c>
      <c r="T15" s="89"/>
      <c r="U15" s="87"/>
      <c r="V15" s="87"/>
      <c r="W15" s="87"/>
      <c r="X15" s="65"/>
      <c r="Y15" s="66"/>
      <c r="Z15" s="88"/>
      <c r="AA15" s="88"/>
      <c r="AB15" s="86"/>
      <c r="AC15" s="68"/>
      <c r="AD15" s="68"/>
      <c r="AE15" s="1036"/>
      <c r="AF15" s="89"/>
      <c r="AG15" s="68"/>
    </row>
    <row r="16" spans="1:33">
      <c r="A16" s="25">
        <f t="shared" si="1"/>
        <v>10</v>
      </c>
      <c r="B16" s="681" t="s">
        <v>334</v>
      </c>
      <c r="C16" s="981">
        <v>0</v>
      </c>
      <c r="D16" s="1265">
        <v>0</v>
      </c>
      <c r="E16" s="982">
        <v>0</v>
      </c>
      <c r="F16" s="982">
        <v>0</v>
      </c>
      <c r="G16" s="552">
        <v>0</v>
      </c>
      <c r="H16" s="553">
        <v>0</v>
      </c>
      <c r="I16" s="977">
        <v>0</v>
      </c>
      <c r="J16" s="986">
        <v>0</v>
      </c>
      <c r="K16" s="981">
        <v>0</v>
      </c>
      <c r="L16" s="555">
        <v>0</v>
      </c>
      <c r="M16" s="1266">
        <v>0</v>
      </c>
      <c r="N16" s="1267"/>
      <c r="O16" s="981">
        <v>0</v>
      </c>
      <c r="P16" s="555">
        <v>0</v>
      </c>
      <c r="R16" s="29">
        <f t="shared" si="0"/>
        <v>9</v>
      </c>
      <c r="S16" s="36" t="s">
        <v>52</v>
      </c>
      <c r="T16" s="85"/>
      <c r="U16" s="82"/>
      <c r="V16" s="82"/>
      <c r="W16" s="82"/>
      <c r="X16" s="65"/>
      <c r="Y16" s="66"/>
      <c r="Z16" s="79"/>
      <c r="AA16" s="83"/>
      <c r="AB16" s="81"/>
      <c r="AC16" s="68"/>
      <c r="AD16" s="68"/>
      <c r="AE16" s="706"/>
      <c r="AF16" s="85"/>
      <c r="AG16" s="68"/>
    </row>
    <row r="17" spans="1:33">
      <c r="A17" s="25">
        <f t="shared" si="1"/>
        <v>11</v>
      </c>
      <c r="B17" s="37" t="s">
        <v>30</v>
      </c>
      <c r="C17" s="990">
        <v>0</v>
      </c>
      <c r="D17" s="1268">
        <v>0</v>
      </c>
      <c r="E17" s="991">
        <v>0</v>
      </c>
      <c r="F17" s="991">
        <v>0</v>
      </c>
      <c r="G17" s="552">
        <v>0</v>
      </c>
      <c r="H17" s="553">
        <v>0</v>
      </c>
      <c r="I17" s="992">
        <v>0</v>
      </c>
      <c r="J17" s="992">
        <v>0</v>
      </c>
      <c r="K17" s="990">
        <v>0</v>
      </c>
      <c r="L17" s="555">
        <v>0</v>
      </c>
      <c r="M17" s="1269">
        <v>0</v>
      </c>
      <c r="N17" s="1270"/>
      <c r="O17" s="990">
        <v>0</v>
      </c>
      <c r="P17" s="555">
        <v>0</v>
      </c>
      <c r="R17" s="25">
        <f t="shared" si="0"/>
        <v>10</v>
      </c>
      <c r="S17" s="37" t="s">
        <v>30</v>
      </c>
      <c r="T17" s="89"/>
      <c r="U17" s="87"/>
      <c r="V17" s="87"/>
      <c r="W17" s="87"/>
      <c r="X17" s="65"/>
      <c r="Y17" s="66"/>
      <c r="Z17" s="88"/>
      <c r="AA17" s="88"/>
      <c r="AB17" s="86"/>
      <c r="AC17" s="68"/>
      <c r="AD17" s="68"/>
      <c r="AE17" s="1036"/>
      <c r="AF17" s="89"/>
      <c r="AG17" s="68"/>
    </row>
    <row r="18" spans="1:33">
      <c r="A18" s="25">
        <f t="shared" si="1"/>
        <v>12</v>
      </c>
      <c r="B18" s="681" t="s">
        <v>335</v>
      </c>
      <c r="C18" s="981">
        <v>86560.206000000006</v>
      </c>
      <c r="D18" s="1271">
        <v>86483.404020000002</v>
      </c>
      <c r="E18" s="981">
        <v>45</v>
      </c>
      <c r="F18" s="981">
        <v>45</v>
      </c>
      <c r="G18" s="552">
        <v>86605.206000000006</v>
      </c>
      <c r="H18" s="553">
        <v>86528.404020000002</v>
      </c>
      <c r="I18" s="985">
        <v>0</v>
      </c>
      <c r="J18" s="985">
        <v>3421.99</v>
      </c>
      <c r="K18" s="985">
        <v>1025.0992800000001</v>
      </c>
      <c r="L18" s="555">
        <v>76.801980000004178</v>
      </c>
      <c r="M18" s="1272">
        <v>76.80198</v>
      </c>
      <c r="N18" s="1273"/>
      <c r="O18" s="981">
        <v>4550.6895600000007</v>
      </c>
      <c r="P18" s="555">
        <v>91079.093580000001</v>
      </c>
      <c r="R18" s="29">
        <f t="shared" si="0"/>
        <v>11</v>
      </c>
      <c r="S18" s="36" t="s">
        <v>37</v>
      </c>
      <c r="T18" s="85">
        <v>116704.649</v>
      </c>
      <c r="U18" s="82">
        <v>116704.649</v>
      </c>
      <c r="V18" s="82">
        <v>0</v>
      </c>
      <c r="W18" s="82">
        <v>0</v>
      </c>
      <c r="X18" s="65">
        <v>116704.649</v>
      </c>
      <c r="Y18" s="66">
        <v>116704.649</v>
      </c>
      <c r="Z18" s="83">
        <v>0</v>
      </c>
      <c r="AA18" s="83">
        <v>0</v>
      </c>
      <c r="AB18" s="81">
        <v>3851.8319300000003</v>
      </c>
      <c r="AC18" s="68">
        <v>0</v>
      </c>
      <c r="AD18" s="68">
        <v>0</v>
      </c>
      <c r="AE18" s="706"/>
      <c r="AF18" s="85">
        <v>4568.25</v>
      </c>
      <c r="AG18" s="68">
        <v>121272.899</v>
      </c>
    </row>
    <row r="19" spans="1:33">
      <c r="A19" s="25">
        <f t="shared" si="1"/>
        <v>13</v>
      </c>
      <c r="B19" s="679" t="s">
        <v>336</v>
      </c>
      <c r="C19" s="990">
        <v>48901</v>
      </c>
      <c r="D19" s="552">
        <v>48901</v>
      </c>
      <c r="E19" s="991">
        <v>45</v>
      </c>
      <c r="F19" s="991">
        <v>45</v>
      </c>
      <c r="G19" s="552">
        <v>48946</v>
      </c>
      <c r="H19" s="553">
        <v>48946</v>
      </c>
      <c r="I19" s="978">
        <v>0</v>
      </c>
      <c r="J19" s="978">
        <v>0</v>
      </c>
      <c r="K19" s="978">
        <v>305.19680000000005</v>
      </c>
      <c r="L19" s="555">
        <v>0</v>
      </c>
      <c r="M19" s="1269">
        <v>0</v>
      </c>
      <c r="N19" s="1270"/>
      <c r="O19" s="978">
        <v>4510.6895600000007</v>
      </c>
      <c r="P19" s="555">
        <v>53456.689559999999</v>
      </c>
      <c r="R19" s="29">
        <f t="shared" si="0"/>
        <v>12</v>
      </c>
      <c r="S19" s="50" t="s">
        <v>38</v>
      </c>
      <c r="T19" s="85">
        <v>17983</v>
      </c>
      <c r="U19" s="82">
        <v>17983</v>
      </c>
      <c r="V19" s="82">
        <v>0</v>
      </c>
      <c r="W19" s="82">
        <v>0</v>
      </c>
      <c r="X19" s="65">
        <v>17983</v>
      </c>
      <c r="Y19" s="66">
        <v>17983</v>
      </c>
      <c r="Z19" s="83">
        <v>0</v>
      </c>
      <c r="AA19" s="83">
        <v>3386</v>
      </c>
      <c r="AB19" s="81">
        <v>305.64423999999997</v>
      </c>
      <c r="AC19" s="68">
        <v>0</v>
      </c>
      <c r="AD19" s="68">
        <v>0</v>
      </c>
      <c r="AE19" s="706"/>
      <c r="AF19" s="85">
        <v>0</v>
      </c>
      <c r="AG19" s="68">
        <v>17983</v>
      </c>
    </row>
    <row r="20" spans="1:33">
      <c r="A20" s="25">
        <f t="shared" si="1"/>
        <v>14</v>
      </c>
      <c r="B20" s="679" t="s">
        <v>337</v>
      </c>
      <c r="C20" s="990">
        <v>5500</v>
      </c>
      <c r="D20" s="552">
        <v>5423.1980199999998</v>
      </c>
      <c r="E20" s="991">
        <v>0</v>
      </c>
      <c r="F20" s="991">
        <v>0</v>
      </c>
      <c r="G20" s="552">
        <v>5500</v>
      </c>
      <c r="H20" s="553">
        <v>5423.1980199999998</v>
      </c>
      <c r="I20" s="978">
        <v>0</v>
      </c>
      <c r="J20" s="978">
        <v>0</v>
      </c>
      <c r="K20" s="978">
        <v>0</v>
      </c>
      <c r="L20" s="555">
        <v>76.801980000000441</v>
      </c>
      <c r="M20" s="1269">
        <v>76.80198</v>
      </c>
      <c r="N20" s="1270"/>
      <c r="O20" s="978">
        <v>0</v>
      </c>
      <c r="P20" s="555">
        <v>5423.1980199999998</v>
      </c>
      <c r="R20" s="25">
        <f t="shared" si="0"/>
        <v>13</v>
      </c>
      <c r="S20" s="37" t="s">
        <v>30</v>
      </c>
      <c r="T20" s="89">
        <v>17983</v>
      </c>
      <c r="U20" s="87">
        <v>17983</v>
      </c>
      <c r="V20" s="87">
        <v>0</v>
      </c>
      <c r="W20" s="87">
        <v>0</v>
      </c>
      <c r="X20" s="65">
        <v>17983</v>
      </c>
      <c r="Y20" s="66">
        <v>17983</v>
      </c>
      <c r="Z20" s="88">
        <v>0</v>
      </c>
      <c r="AA20" s="88">
        <v>3386</v>
      </c>
      <c r="AB20" s="86">
        <v>305.64423999999997</v>
      </c>
      <c r="AC20" s="68">
        <v>0</v>
      </c>
      <c r="AD20" s="68">
        <v>0</v>
      </c>
      <c r="AE20" s="1036"/>
      <c r="AF20" s="89">
        <v>0</v>
      </c>
      <c r="AG20" s="68">
        <v>17983</v>
      </c>
    </row>
    <row r="21" spans="1:33">
      <c r="A21" s="25">
        <f t="shared" si="1"/>
        <v>15</v>
      </c>
      <c r="B21" s="679" t="s">
        <v>338</v>
      </c>
      <c r="C21" s="990">
        <v>7317</v>
      </c>
      <c r="D21" s="552">
        <v>7317</v>
      </c>
      <c r="E21" s="991">
        <v>0</v>
      </c>
      <c r="F21" s="991">
        <v>0</v>
      </c>
      <c r="G21" s="552">
        <v>7317</v>
      </c>
      <c r="H21" s="553">
        <v>7317</v>
      </c>
      <c r="I21" s="978">
        <v>0</v>
      </c>
      <c r="J21" s="978">
        <v>3136.99</v>
      </c>
      <c r="K21" s="978">
        <v>0</v>
      </c>
      <c r="L21" s="555">
        <v>0</v>
      </c>
      <c r="M21" s="1269">
        <v>0</v>
      </c>
      <c r="N21" s="1270"/>
      <c r="O21" s="978">
        <v>0</v>
      </c>
      <c r="P21" s="555">
        <v>7317</v>
      </c>
      <c r="R21" s="24">
        <f t="shared" si="0"/>
        <v>14</v>
      </c>
      <c r="S21" s="38" t="s">
        <v>29</v>
      </c>
      <c r="T21" s="70">
        <v>559015.65284</v>
      </c>
      <c r="U21" s="71">
        <v>557478.82559000002</v>
      </c>
      <c r="V21" s="71">
        <v>580</v>
      </c>
      <c r="W21" s="71">
        <v>580</v>
      </c>
      <c r="X21" s="71">
        <v>559595.65284</v>
      </c>
      <c r="Y21" s="72">
        <v>558058.82559000002</v>
      </c>
      <c r="Z21" s="90">
        <v>0</v>
      </c>
      <c r="AA21" s="1252">
        <v>203951.95793999999</v>
      </c>
      <c r="AB21" s="73">
        <v>6537.811670000001</v>
      </c>
      <c r="AC21" s="74">
        <v>1536.8272499999925</v>
      </c>
      <c r="AD21" s="74">
        <v>884.62960999999996</v>
      </c>
      <c r="AE21" s="1036"/>
      <c r="AF21" s="70">
        <v>21748.873259999997</v>
      </c>
      <c r="AG21" s="74">
        <v>579807.69885000004</v>
      </c>
    </row>
    <row r="22" spans="1:33">
      <c r="A22" s="25">
        <f t="shared" si="1"/>
        <v>16</v>
      </c>
      <c r="B22" s="679" t="s">
        <v>339</v>
      </c>
      <c r="C22" s="1274">
        <v>4096</v>
      </c>
      <c r="D22" s="552">
        <v>4096</v>
      </c>
      <c r="E22" s="991">
        <v>0</v>
      </c>
      <c r="F22" s="991">
        <v>0</v>
      </c>
      <c r="G22" s="552">
        <v>4096</v>
      </c>
      <c r="H22" s="553">
        <v>4096</v>
      </c>
      <c r="I22" s="978">
        <v>0</v>
      </c>
      <c r="J22" s="978">
        <v>285</v>
      </c>
      <c r="K22" s="978">
        <v>0</v>
      </c>
      <c r="L22" s="555">
        <v>0</v>
      </c>
      <c r="M22" s="1269">
        <v>0</v>
      </c>
      <c r="N22" s="1270"/>
      <c r="O22" s="978">
        <v>40</v>
      </c>
      <c r="P22" s="555">
        <v>4136</v>
      </c>
      <c r="R22" s="46">
        <f t="shared" si="0"/>
        <v>15</v>
      </c>
      <c r="S22" s="43" t="s">
        <v>53</v>
      </c>
      <c r="T22" s="59"/>
      <c r="U22" s="60"/>
      <c r="V22" s="60"/>
      <c r="W22" s="60"/>
      <c r="X22" s="60"/>
      <c r="Y22" s="61"/>
      <c r="Z22" s="78"/>
      <c r="AA22" s="78"/>
      <c r="AB22" s="62"/>
      <c r="AC22" s="63"/>
      <c r="AD22" s="63"/>
      <c r="AE22" s="1036"/>
      <c r="AF22" s="59"/>
      <c r="AG22" s="63"/>
    </row>
    <row r="23" spans="1:33">
      <c r="A23" s="25">
        <f t="shared" si="1"/>
        <v>17</v>
      </c>
      <c r="B23" s="679" t="s">
        <v>340</v>
      </c>
      <c r="C23" s="1274">
        <v>2430.1999999999998</v>
      </c>
      <c r="D23" s="552">
        <v>2430.1999999999998</v>
      </c>
      <c r="E23" s="991">
        <v>0</v>
      </c>
      <c r="F23" s="991">
        <v>0</v>
      </c>
      <c r="G23" s="552">
        <v>2430.1999999999998</v>
      </c>
      <c r="H23" s="553">
        <v>2430.1999999999998</v>
      </c>
      <c r="I23" s="978">
        <v>0</v>
      </c>
      <c r="J23" s="978">
        <v>0</v>
      </c>
      <c r="K23" s="978">
        <v>304.69471000000004</v>
      </c>
      <c r="L23" s="555">
        <v>0</v>
      </c>
      <c r="M23" s="1269">
        <v>0</v>
      </c>
      <c r="N23" s="1270"/>
      <c r="O23" s="978">
        <v>0</v>
      </c>
      <c r="P23" s="555">
        <v>2430.1999999999998</v>
      </c>
      <c r="R23" s="25">
        <f t="shared" si="0"/>
        <v>16</v>
      </c>
      <c r="S23" s="37" t="s">
        <v>60</v>
      </c>
      <c r="T23" s="89"/>
      <c r="U23" s="87"/>
      <c r="V23" s="87"/>
      <c r="W23" s="87"/>
      <c r="X23" s="65"/>
      <c r="Y23" s="66"/>
      <c r="Z23" s="88"/>
      <c r="AA23" s="88"/>
      <c r="AB23" s="86"/>
      <c r="AC23" s="68"/>
      <c r="AD23" s="68"/>
      <c r="AE23" s="1036"/>
      <c r="AF23" s="89"/>
      <c r="AG23" s="68"/>
    </row>
    <row r="24" spans="1:33">
      <c r="A24" s="25">
        <f t="shared" si="1"/>
        <v>18</v>
      </c>
      <c r="B24" s="679" t="s">
        <v>341</v>
      </c>
      <c r="C24" s="1274">
        <v>5598</v>
      </c>
      <c r="D24" s="552">
        <v>5598</v>
      </c>
      <c r="E24" s="1274">
        <v>0</v>
      </c>
      <c r="F24" s="1274">
        <v>0</v>
      </c>
      <c r="G24" s="552">
        <v>5598</v>
      </c>
      <c r="H24" s="553">
        <v>5598</v>
      </c>
      <c r="I24" s="978">
        <v>0</v>
      </c>
      <c r="J24" s="978">
        <v>0</v>
      </c>
      <c r="K24" s="978">
        <v>0</v>
      </c>
      <c r="L24" s="555">
        <v>0</v>
      </c>
      <c r="M24" s="1269">
        <v>0</v>
      </c>
      <c r="N24" s="1270"/>
      <c r="O24" s="978">
        <v>0</v>
      </c>
      <c r="P24" s="555">
        <v>5598</v>
      </c>
      <c r="R24" s="46">
        <f t="shared" si="0"/>
        <v>17</v>
      </c>
      <c r="S24" s="47" t="s">
        <v>59</v>
      </c>
      <c r="T24" s="59">
        <v>185844.12274000002</v>
      </c>
      <c r="U24" s="60">
        <v>185441.45355000001</v>
      </c>
      <c r="V24" s="60">
        <v>0</v>
      </c>
      <c r="W24" s="60">
        <v>0</v>
      </c>
      <c r="X24" s="60">
        <v>185844.12274000002</v>
      </c>
      <c r="Y24" s="61">
        <v>185441.45355000001</v>
      </c>
      <c r="Z24" s="78">
        <v>0</v>
      </c>
      <c r="AA24" s="78">
        <v>34285</v>
      </c>
      <c r="AB24" s="62">
        <v>2752.5378800000003</v>
      </c>
      <c r="AC24" s="63">
        <v>402.66918999999763</v>
      </c>
      <c r="AD24" s="63">
        <v>402.66919000000001</v>
      </c>
      <c r="AE24" s="1036"/>
      <c r="AF24" s="59">
        <v>2462.2310000000002</v>
      </c>
      <c r="AG24" s="63">
        <v>187903.68455000001</v>
      </c>
    </row>
    <row r="25" spans="1:33">
      <c r="A25" s="25">
        <f t="shared" si="1"/>
        <v>19</v>
      </c>
      <c r="B25" s="679" t="s">
        <v>342</v>
      </c>
      <c r="C25" s="993">
        <v>6290</v>
      </c>
      <c r="D25" s="552">
        <v>6290</v>
      </c>
      <c r="E25" s="990">
        <v>0</v>
      </c>
      <c r="F25" s="990">
        <v>0</v>
      </c>
      <c r="G25" s="552">
        <v>6290</v>
      </c>
      <c r="H25" s="553">
        <v>6290</v>
      </c>
      <c r="I25" s="978">
        <v>0</v>
      </c>
      <c r="J25" s="978">
        <v>0</v>
      </c>
      <c r="K25" s="978">
        <v>232.51449</v>
      </c>
      <c r="L25" s="555">
        <v>0</v>
      </c>
      <c r="M25" s="1269">
        <v>0</v>
      </c>
      <c r="N25" s="1270"/>
      <c r="O25" s="978">
        <v>0</v>
      </c>
      <c r="P25" s="555">
        <v>6290</v>
      </c>
      <c r="R25" s="25">
        <f t="shared" si="0"/>
        <v>18</v>
      </c>
      <c r="S25" s="37" t="s">
        <v>60</v>
      </c>
      <c r="T25" s="89"/>
      <c r="U25" s="87"/>
      <c r="V25" s="87"/>
      <c r="W25" s="87"/>
      <c r="X25" s="65"/>
      <c r="Y25" s="66"/>
      <c r="Z25" s="88"/>
      <c r="AA25" s="88"/>
      <c r="AB25" s="86"/>
      <c r="AC25" s="68"/>
      <c r="AD25" s="68"/>
      <c r="AE25" s="1036"/>
      <c r="AF25" s="89"/>
      <c r="AG25" s="68"/>
    </row>
    <row r="26" spans="1:33">
      <c r="A26" s="25">
        <f t="shared" si="1"/>
        <v>20</v>
      </c>
      <c r="B26" s="239" t="s">
        <v>343</v>
      </c>
      <c r="C26" s="993">
        <v>1287</v>
      </c>
      <c r="D26" s="552">
        <v>1287</v>
      </c>
      <c r="E26" s="990">
        <v>0</v>
      </c>
      <c r="F26" s="990">
        <v>0</v>
      </c>
      <c r="G26" s="552">
        <v>1287</v>
      </c>
      <c r="H26" s="553">
        <v>1287</v>
      </c>
      <c r="I26" s="978">
        <v>0</v>
      </c>
      <c r="J26" s="978">
        <v>0</v>
      </c>
      <c r="K26" s="978">
        <v>50.54383</v>
      </c>
      <c r="L26" s="555">
        <v>0</v>
      </c>
      <c r="M26" s="1269">
        <v>0</v>
      </c>
      <c r="N26" s="1270"/>
      <c r="O26" s="978">
        <v>107.2418</v>
      </c>
      <c r="P26" s="555">
        <v>1394.2418</v>
      </c>
      <c r="R26" s="46">
        <f t="shared" si="0"/>
        <v>19</v>
      </c>
      <c r="S26" s="47" t="s">
        <v>54</v>
      </c>
      <c r="T26" s="59">
        <v>296028.51210000005</v>
      </c>
      <c r="U26" s="60">
        <v>295337.2034</v>
      </c>
      <c r="V26" s="60">
        <v>0</v>
      </c>
      <c r="W26" s="60">
        <v>0</v>
      </c>
      <c r="X26" s="60">
        <v>296028.51210000005</v>
      </c>
      <c r="Y26" s="61">
        <v>295337.2034</v>
      </c>
      <c r="Z26" s="78">
        <v>0</v>
      </c>
      <c r="AA26" s="78">
        <v>158632.71856000001</v>
      </c>
      <c r="AB26" s="62">
        <v>1969.4760200000001</v>
      </c>
      <c r="AC26" s="63">
        <v>691.3086999999955</v>
      </c>
      <c r="AD26" s="63">
        <v>39.111059999999995</v>
      </c>
      <c r="AE26" s="1036"/>
      <c r="AF26" s="59">
        <v>15504.693009999999</v>
      </c>
      <c r="AG26" s="63">
        <v>310841.89640999999</v>
      </c>
    </row>
    <row r="27" spans="1:33">
      <c r="A27" s="25">
        <f t="shared" si="1"/>
        <v>21</v>
      </c>
      <c r="B27" s="239" t="s">
        <v>344</v>
      </c>
      <c r="C27" s="993">
        <v>5141.0060000000003</v>
      </c>
      <c r="D27" s="552">
        <v>5141.0060000000003</v>
      </c>
      <c r="E27" s="990">
        <v>0</v>
      </c>
      <c r="F27" s="990">
        <v>0</v>
      </c>
      <c r="G27" s="552">
        <v>5141.0060000000003</v>
      </c>
      <c r="H27" s="553">
        <v>5141.0060000000003</v>
      </c>
      <c r="I27" s="978">
        <v>0</v>
      </c>
      <c r="J27" s="978">
        <v>0</v>
      </c>
      <c r="K27" s="978">
        <v>132.14945</v>
      </c>
      <c r="L27" s="555">
        <v>0</v>
      </c>
      <c r="M27" s="1269">
        <v>0</v>
      </c>
      <c r="N27" s="1270"/>
      <c r="O27" s="978">
        <v>0</v>
      </c>
      <c r="P27" s="555">
        <v>5141.0060000000003</v>
      </c>
      <c r="R27" s="25">
        <f t="shared" si="0"/>
        <v>20</v>
      </c>
      <c r="S27" s="37" t="s">
        <v>60</v>
      </c>
      <c r="T27" s="94"/>
      <c r="U27" s="92"/>
      <c r="V27" s="92"/>
      <c r="W27" s="92"/>
      <c r="X27" s="65"/>
      <c r="Y27" s="66"/>
      <c r="Z27" s="93"/>
      <c r="AA27" s="93"/>
      <c r="AB27" s="91"/>
      <c r="AC27" s="68"/>
      <c r="AD27" s="68"/>
      <c r="AE27" s="1036"/>
      <c r="AF27" s="94"/>
      <c r="AG27" s="68"/>
    </row>
    <row r="28" spans="1:33">
      <c r="A28" s="25">
        <f t="shared" si="1"/>
        <v>22</v>
      </c>
      <c r="B28" s="681" t="s">
        <v>345</v>
      </c>
      <c r="C28" s="989">
        <v>0</v>
      </c>
      <c r="D28" s="1271">
        <v>0</v>
      </c>
      <c r="E28" s="981">
        <v>0</v>
      </c>
      <c r="F28" s="981">
        <v>0</v>
      </c>
      <c r="G28" s="552">
        <v>0</v>
      </c>
      <c r="H28" s="553">
        <v>0</v>
      </c>
      <c r="I28" s="986">
        <v>0</v>
      </c>
      <c r="J28" s="986">
        <v>0</v>
      </c>
      <c r="K28" s="1274">
        <v>0</v>
      </c>
      <c r="L28" s="555">
        <v>0</v>
      </c>
      <c r="M28" s="1269">
        <v>0</v>
      </c>
      <c r="N28" s="1270"/>
      <c r="O28" s="981">
        <v>0</v>
      </c>
      <c r="P28" s="555">
        <v>0</v>
      </c>
      <c r="R28" s="24">
        <f t="shared" si="0"/>
        <v>21</v>
      </c>
      <c r="S28" s="38" t="s">
        <v>27</v>
      </c>
      <c r="T28" s="70">
        <v>68.658100000000005</v>
      </c>
      <c r="U28" s="71">
        <v>68.658100000000005</v>
      </c>
      <c r="V28" s="71">
        <v>0</v>
      </c>
      <c r="W28" s="71">
        <v>0</v>
      </c>
      <c r="X28" s="71">
        <v>68.658100000000005</v>
      </c>
      <c r="Y28" s="72">
        <v>68.658100000000005</v>
      </c>
      <c r="Z28" s="90">
        <v>0</v>
      </c>
      <c r="AA28" s="90">
        <v>0</v>
      </c>
      <c r="AB28" s="73">
        <v>0</v>
      </c>
      <c r="AC28" s="74">
        <v>0</v>
      </c>
      <c r="AD28" s="74">
        <v>0</v>
      </c>
      <c r="AE28" s="1036"/>
      <c r="AF28" s="70">
        <v>0</v>
      </c>
      <c r="AG28" s="74">
        <v>68.658100000000005</v>
      </c>
    </row>
    <row r="29" spans="1:33">
      <c r="A29" s="25">
        <f t="shared" si="1"/>
        <v>23</v>
      </c>
      <c r="B29" s="37" t="s">
        <v>30</v>
      </c>
      <c r="C29" s="993">
        <v>0</v>
      </c>
      <c r="D29" s="1275">
        <v>0</v>
      </c>
      <c r="E29" s="990">
        <v>0</v>
      </c>
      <c r="F29" s="990">
        <v>0</v>
      </c>
      <c r="G29" s="552">
        <v>0</v>
      </c>
      <c r="H29" s="553">
        <v>0</v>
      </c>
      <c r="I29" s="992">
        <v>0</v>
      </c>
      <c r="J29" s="992">
        <v>0</v>
      </c>
      <c r="K29" s="1274">
        <v>0</v>
      </c>
      <c r="L29" s="555">
        <v>0</v>
      </c>
      <c r="M29" s="1269">
        <v>0</v>
      </c>
      <c r="N29" s="1270"/>
      <c r="O29" s="990">
        <v>0</v>
      </c>
      <c r="P29" s="555">
        <v>0</v>
      </c>
      <c r="R29" s="29">
        <f t="shared" si="0"/>
        <v>22</v>
      </c>
      <c r="S29" s="43" t="s">
        <v>34</v>
      </c>
      <c r="T29" s="59"/>
      <c r="U29" s="60"/>
      <c r="V29" s="60"/>
      <c r="W29" s="60"/>
      <c r="X29" s="60"/>
      <c r="Y29" s="61"/>
      <c r="Z29" s="78"/>
      <c r="AA29" s="78"/>
      <c r="AB29" s="62"/>
      <c r="AC29" s="63"/>
      <c r="AD29" s="63"/>
      <c r="AE29" s="1036"/>
      <c r="AF29" s="59"/>
      <c r="AG29" s="63"/>
    </row>
    <row r="30" spans="1:33">
      <c r="A30" s="25">
        <f t="shared" si="1"/>
        <v>24</v>
      </c>
      <c r="B30" s="681" t="s">
        <v>37</v>
      </c>
      <c r="C30" s="989">
        <v>116704.649</v>
      </c>
      <c r="D30" s="1276">
        <v>116704.649</v>
      </c>
      <c r="E30" s="1277">
        <v>0</v>
      </c>
      <c r="F30" s="1277">
        <v>0</v>
      </c>
      <c r="G30" s="983">
        <v>116704.649</v>
      </c>
      <c r="H30" s="984">
        <v>116704.649</v>
      </c>
      <c r="I30" s="1277">
        <v>0</v>
      </c>
      <c r="J30" s="1277">
        <v>0</v>
      </c>
      <c r="K30" s="1277">
        <v>3851.8319300000003</v>
      </c>
      <c r="L30" s="987">
        <v>0</v>
      </c>
      <c r="M30" s="1266">
        <v>0</v>
      </c>
      <c r="N30" s="1267"/>
      <c r="O30" s="978">
        <v>4568.25</v>
      </c>
      <c r="P30" s="555">
        <v>121272.899</v>
      </c>
      <c r="R30" s="25">
        <f t="shared" si="0"/>
        <v>23</v>
      </c>
      <c r="S30" s="37" t="s">
        <v>60</v>
      </c>
      <c r="T30" s="94"/>
      <c r="U30" s="92"/>
      <c r="V30" s="92"/>
      <c r="W30" s="92"/>
      <c r="X30" s="65"/>
      <c r="Y30" s="66"/>
      <c r="Z30" s="93"/>
      <c r="AA30" s="93"/>
      <c r="AB30" s="91"/>
      <c r="AC30" s="68"/>
      <c r="AD30" s="68"/>
      <c r="AE30" s="1036"/>
      <c r="AF30" s="94"/>
      <c r="AG30" s="68"/>
    </row>
    <row r="31" spans="1:33">
      <c r="A31" s="25">
        <f t="shared" si="1"/>
        <v>25</v>
      </c>
      <c r="B31" s="682" t="s">
        <v>38</v>
      </c>
      <c r="C31" s="989">
        <v>17983</v>
      </c>
      <c r="D31" s="1271">
        <v>17983</v>
      </c>
      <c r="E31" s="981">
        <v>0</v>
      </c>
      <c r="F31" s="981">
        <v>0</v>
      </c>
      <c r="G31" s="552">
        <v>17983</v>
      </c>
      <c r="H31" s="553">
        <v>17983</v>
      </c>
      <c r="I31" s="986">
        <v>0</v>
      </c>
      <c r="J31" s="986">
        <v>3386</v>
      </c>
      <c r="K31" s="981">
        <v>305.64423999999997</v>
      </c>
      <c r="L31" s="555">
        <v>0</v>
      </c>
      <c r="M31" s="1266">
        <v>0</v>
      </c>
      <c r="N31" s="1267"/>
      <c r="O31" s="981">
        <v>0</v>
      </c>
      <c r="P31" s="555">
        <v>17983</v>
      </c>
      <c r="R31" s="24">
        <f t="shared" si="0"/>
        <v>24</v>
      </c>
      <c r="S31" s="38" t="s">
        <v>32</v>
      </c>
      <c r="T31" s="70">
        <v>44186.164659999995</v>
      </c>
      <c r="U31" s="71">
        <v>44186.164659999995</v>
      </c>
      <c r="V31" s="71">
        <v>5452.2792099999997</v>
      </c>
      <c r="W31" s="71">
        <v>5452.2792099999997</v>
      </c>
      <c r="X31" s="71">
        <v>49638.443869999996</v>
      </c>
      <c r="Y31" s="72">
        <v>49638.443869999996</v>
      </c>
      <c r="Z31" s="90">
        <v>0</v>
      </c>
      <c r="AA31" s="90">
        <v>22710.045109999999</v>
      </c>
      <c r="AB31" s="73">
        <v>0</v>
      </c>
      <c r="AC31" s="74">
        <v>0</v>
      </c>
      <c r="AD31" s="74">
        <v>0</v>
      </c>
      <c r="AE31" s="1036"/>
      <c r="AF31" s="70">
        <v>264.70987000000002</v>
      </c>
      <c r="AG31" s="74">
        <v>49903.153739999994</v>
      </c>
    </row>
    <row r="32" spans="1:33">
      <c r="A32" s="25">
        <f t="shared" si="1"/>
        <v>26</v>
      </c>
      <c r="B32" s="239" t="s">
        <v>346</v>
      </c>
      <c r="C32" s="993">
        <v>17983</v>
      </c>
      <c r="D32" s="1275">
        <v>17983</v>
      </c>
      <c r="E32" s="990">
        <v>0</v>
      </c>
      <c r="F32" s="990">
        <v>0</v>
      </c>
      <c r="G32" s="552">
        <v>17983</v>
      </c>
      <c r="H32" s="553">
        <v>17983</v>
      </c>
      <c r="I32" s="990">
        <v>0</v>
      </c>
      <c r="J32" s="990">
        <v>3386</v>
      </c>
      <c r="K32" s="990">
        <v>305.64423999999997</v>
      </c>
      <c r="L32" s="555">
        <v>0</v>
      </c>
      <c r="M32" s="1269">
        <v>0</v>
      </c>
      <c r="N32" s="1270"/>
      <c r="O32" s="978">
        <v>0</v>
      </c>
      <c r="P32" s="555">
        <v>17983</v>
      </c>
      <c r="R32" s="46">
        <f t="shared" si="0"/>
        <v>25</v>
      </c>
      <c r="S32" s="47" t="s">
        <v>39</v>
      </c>
      <c r="T32" s="59"/>
      <c r="U32" s="60"/>
      <c r="V32" s="60"/>
      <c r="W32" s="60"/>
      <c r="X32" s="60"/>
      <c r="Y32" s="61"/>
      <c r="Z32" s="78"/>
      <c r="AA32" s="78"/>
      <c r="AB32" s="62"/>
      <c r="AC32" s="63"/>
      <c r="AD32" s="63"/>
      <c r="AE32" s="1036"/>
      <c r="AF32" s="59"/>
      <c r="AG32" s="63"/>
    </row>
    <row r="33" spans="1:33" ht="15.75" thickBot="1">
      <c r="A33" s="25">
        <f t="shared" si="1"/>
        <v>27</v>
      </c>
      <c r="B33" s="37"/>
      <c r="C33" s="997">
        <v>0</v>
      </c>
      <c r="D33" s="1278">
        <v>0</v>
      </c>
      <c r="E33" s="994">
        <v>0</v>
      </c>
      <c r="F33" s="994">
        <v>0</v>
      </c>
      <c r="G33" s="552">
        <v>0</v>
      </c>
      <c r="H33" s="553">
        <v>0</v>
      </c>
      <c r="I33" s="996">
        <v>0</v>
      </c>
      <c r="J33" s="996">
        <v>0</v>
      </c>
      <c r="K33" s="994">
        <v>0</v>
      </c>
      <c r="L33" s="555">
        <v>0</v>
      </c>
      <c r="M33" s="1312">
        <v>0</v>
      </c>
      <c r="N33" s="1270"/>
      <c r="O33" s="994">
        <v>0</v>
      </c>
      <c r="P33" s="555">
        <v>0</v>
      </c>
      <c r="R33" s="25">
        <f t="shared" si="0"/>
        <v>26</v>
      </c>
      <c r="S33" s="37" t="s">
        <v>60</v>
      </c>
      <c r="T33" s="89"/>
      <c r="U33" s="87"/>
      <c r="V33" s="87"/>
      <c r="W33" s="87"/>
      <c r="X33" s="65"/>
      <c r="Y33" s="66"/>
      <c r="Z33" s="88"/>
      <c r="AA33" s="88"/>
      <c r="AB33" s="86"/>
      <c r="AC33" s="68"/>
      <c r="AD33" s="68"/>
      <c r="AE33" s="1036"/>
      <c r="AF33" s="89"/>
      <c r="AG33" s="68"/>
    </row>
    <row r="34" spans="1:33" ht="15.75" thickBot="1">
      <c r="A34" s="25">
        <f t="shared" si="1"/>
        <v>28</v>
      </c>
      <c r="B34" s="38" t="s">
        <v>29</v>
      </c>
      <c r="C34" s="1009">
        <v>559015.65284</v>
      </c>
      <c r="D34" s="1009">
        <v>557478.82559000002</v>
      </c>
      <c r="E34" s="1009">
        <v>580</v>
      </c>
      <c r="F34" s="1009">
        <v>580</v>
      </c>
      <c r="G34" s="1009">
        <v>559595.65284</v>
      </c>
      <c r="H34" s="1009">
        <v>558058.82559000002</v>
      </c>
      <c r="I34" s="1009">
        <v>0</v>
      </c>
      <c r="J34" s="1009">
        <v>203951.95793999999</v>
      </c>
      <c r="K34" s="1009">
        <v>6537.811670000001</v>
      </c>
      <c r="L34" s="1009">
        <v>1536.8272499999925</v>
      </c>
      <c r="M34" s="1279">
        <v>884.62960999999996</v>
      </c>
      <c r="N34" s="1258"/>
      <c r="O34" s="1280">
        <v>21748.873259999997</v>
      </c>
      <c r="P34" s="1009">
        <v>579807.69885000004</v>
      </c>
      <c r="R34" s="31">
        <f t="shared" si="0"/>
        <v>27</v>
      </c>
      <c r="S34" s="39" t="s">
        <v>23</v>
      </c>
      <c r="T34" s="95">
        <v>1484875.1525899998</v>
      </c>
      <c r="U34" s="96">
        <v>1483079.6566099999</v>
      </c>
      <c r="V34" s="96">
        <v>6077.2792099999997</v>
      </c>
      <c r="W34" s="96">
        <v>6077.2792099999997</v>
      </c>
      <c r="X34" s="96">
        <v>1490952.4317999999</v>
      </c>
      <c r="Y34" s="97">
        <v>1489156.93582</v>
      </c>
      <c r="Z34" s="98">
        <v>0</v>
      </c>
      <c r="AA34" s="98">
        <v>238992.99305000002</v>
      </c>
      <c r="AB34" s="99">
        <v>15409.160290000003</v>
      </c>
      <c r="AC34" s="100">
        <v>1795.4959800000115</v>
      </c>
      <c r="AD34" s="100">
        <v>1108.6613399999999</v>
      </c>
      <c r="AE34" s="101"/>
      <c r="AF34" s="95">
        <v>50169.319689999997</v>
      </c>
      <c r="AG34" s="100">
        <v>1539326.25551</v>
      </c>
    </row>
    <row r="35" spans="1:33">
      <c r="A35" s="25">
        <f t="shared" si="1"/>
        <v>29</v>
      </c>
      <c r="B35" s="683" t="s">
        <v>347</v>
      </c>
      <c r="C35" s="1016">
        <v>0</v>
      </c>
      <c r="D35" s="1014">
        <v>0</v>
      </c>
      <c r="E35" s="1014">
        <v>0</v>
      </c>
      <c r="F35" s="1014">
        <v>0</v>
      </c>
      <c r="G35" s="1011">
        <v>0</v>
      </c>
      <c r="H35" s="1012">
        <v>0</v>
      </c>
      <c r="I35" s="1013">
        <v>0</v>
      </c>
      <c r="J35" s="1013">
        <v>0</v>
      </c>
      <c r="K35" s="1013">
        <v>0</v>
      </c>
      <c r="L35" s="1015">
        <v>0</v>
      </c>
      <c r="M35" s="1281">
        <v>0</v>
      </c>
      <c r="N35" s="1258"/>
      <c r="O35" s="1014">
        <v>0</v>
      </c>
      <c r="P35" s="1015">
        <v>0</v>
      </c>
    </row>
    <row r="36" spans="1:33">
      <c r="A36" s="25">
        <f t="shared" si="1"/>
        <v>30</v>
      </c>
      <c r="B36" s="684" t="s">
        <v>553</v>
      </c>
      <c r="C36" s="993">
        <v>0</v>
      </c>
      <c r="D36" s="979">
        <v>0</v>
      </c>
      <c r="E36" s="979">
        <v>0</v>
      </c>
      <c r="F36" s="979">
        <v>0</v>
      </c>
      <c r="G36" s="552">
        <v>0</v>
      </c>
      <c r="H36" s="553">
        <v>0</v>
      </c>
      <c r="I36" s="978">
        <v>0</v>
      </c>
      <c r="J36" s="978">
        <v>0</v>
      </c>
      <c r="K36" s="978">
        <v>0</v>
      </c>
      <c r="L36" s="555">
        <v>0</v>
      </c>
      <c r="M36" s="1261">
        <v>0</v>
      </c>
      <c r="N36" s="1258"/>
      <c r="O36" s="978">
        <v>0</v>
      </c>
      <c r="P36" s="555">
        <v>0</v>
      </c>
    </row>
    <row r="37" spans="1:33">
      <c r="A37" s="25">
        <f t="shared" si="1"/>
        <v>31</v>
      </c>
      <c r="B37" s="47" t="s">
        <v>260</v>
      </c>
      <c r="C37" s="1016">
        <v>185844.12274000002</v>
      </c>
      <c r="D37" s="1016">
        <v>185441.45355000001</v>
      </c>
      <c r="E37" s="1016">
        <v>0</v>
      </c>
      <c r="F37" s="1016">
        <v>0</v>
      </c>
      <c r="G37" s="1011">
        <v>185844.12274000002</v>
      </c>
      <c r="H37" s="1012">
        <v>185441.45355000001</v>
      </c>
      <c r="I37" s="1013">
        <v>0</v>
      </c>
      <c r="J37" s="1013">
        <v>34285</v>
      </c>
      <c r="K37" s="1013">
        <v>2752.5378800000003</v>
      </c>
      <c r="L37" s="1015">
        <v>402.66918999999763</v>
      </c>
      <c r="M37" s="1013">
        <v>402.66919000000001</v>
      </c>
      <c r="N37" s="1258"/>
      <c r="O37" s="1014">
        <v>2462.2310000000002</v>
      </c>
      <c r="P37" s="1015">
        <v>187903.68455000001</v>
      </c>
    </row>
    <row r="38" spans="1:33">
      <c r="A38" s="25">
        <f t="shared" si="1"/>
        <v>32</v>
      </c>
      <c r="B38" s="685" t="s">
        <v>348</v>
      </c>
      <c r="C38" s="993">
        <v>134333.12274000002</v>
      </c>
      <c r="D38" s="979">
        <v>134024.68687000001</v>
      </c>
      <c r="E38" s="979">
        <v>0</v>
      </c>
      <c r="F38" s="979">
        <v>0</v>
      </c>
      <c r="G38" s="552">
        <v>134333.12274000002</v>
      </c>
      <c r="H38" s="553">
        <v>134024.68687000001</v>
      </c>
      <c r="I38" s="978">
        <v>0</v>
      </c>
      <c r="J38" s="978">
        <v>23437</v>
      </c>
      <c r="K38" s="979">
        <v>2124.9841699999997</v>
      </c>
      <c r="L38" s="555">
        <v>308.43587000000474</v>
      </c>
      <c r="M38" s="1261">
        <v>308.43587000000002</v>
      </c>
      <c r="N38" s="1258"/>
      <c r="O38" s="978">
        <v>2462.2310000000002</v>
      </c>
      <c r="P38" s="555">
        <v>136486.91787</v>
      </c>
    </row>
    <row r="39" spans="1:33">
      <c r="A39" s="25">
        <f t="shared" si="1"/>
        <v>33</v>
      </c>
      <c r="B39" s="685" t="s">
        <v>349</v>
      </c>
      <c r="C39" s="993">
        <v>7143</v>
      </c>
      <c r="D39" s="979">
        <v>7143</v>
      </c>
      <c r="E39" s="979">
        <v>0</v>
      </c>
      <c r="F39" s="979">
        <v>0</v>
      </c>
      <c r="G39" s="552">
        <v>7143</v>
      </c>
      <c r="H39" s="553">
        <v>7143</v>
      </c>
      <c r="I39" s="978">
        <v>0</v>
      </c>
      <c r="J39" s="978">
        <v>1027</v>
      </c>
      <c r="K39" s="979">
        <v>120.54779000000001</v>
      </c>
      <c r="L39" s="555">
        <v>0</v>
      </c>
      <c r="M39" s="1261">
        <v>0</v>
      </c>
      <c r="N39" s="1258"/>
      <c r="O39" s="978">
        <v>0</v>
      </c>
      <c r="P39" s="555">
        <v>7143</v>
      </c>
    </row>
    <row r="40" spans="1:33">
      <c r="A40" s="25">
        <f t="shared" si="1"/>
        <v>34</v>
      </c>
      <c r="B40" s="685" t="s">
        <v>350</v>
      </c>
      <c r="C40" s="993">
        <v>3498</v>
      </c>
      <c r="D40" s="979">
        <v>3498</v>
      </c>
      <c r="E40" s="979">
        <v>0</v>
      </c>
      <c r="F40" s="979">
        <v>0</v>
      </c>
      <c r="G40" s="552">
        <v>3498</v>
      </c>
      <c r="H40" s="553">
        <v>3498</v>
      </c>
      <c r="I40" s="978">
        <v>0</v>
      </c>
      <c r="J40" s="978">
        <v>0</v>
      </c>
      <c r="K40" s="979">
        <v>29.460429999999999</v>
      </c>
      <c r="L40" s="555">
        <v>0</v>
      </c>
      <c r="M40" s="1261">
        <v>0</v>
      </c>
      <c r="N40" s="1258"/>
      <c r="O40" s="978">
        <v>0</v>
      </c>
      <c r="P40" s="555">
        <v>3498</v>
      </c>
    </row>
    <row r="41" spans="1:33">
      <c r="A41" s="25">
        <f t="shared" si="1"/>
        <v>35</v>
      </c>
      <c r="B41" s="686" t="s">
        <v>351</v>
      </c>
      <c r="C41" s="993">
        <v>20829</v>
      </c>
      <c r="D41" s="979">
        <v>20734.766680000001</v>
      </c>
      <c r="E41" s="979">
        <v>0</v>
      </c>
      <c r="F41" s="979">
        <v>0</v>
      </c>
      <c r="G41" s="552">
        <v>20829</v>
      </c>
      <c r="H41" s="553">
        <v>20734.766680000001</v>
      </c>
      <c r="I41" s="978">
        <v>0</v>
      </c>
      <c r="J41" s="978">
        <v>0</v>
      </c>
      <c r="K41" s="979">
        <v>384.57801000000001</v>
      </c>
      <c r="L41" s="555">
        <v>94.233320000000305</v>
      </c>
      <c r="M41" s="1261">
        <v>94.233320000000006</v>
      </c>
      <c r="N41" s="1258"/>
      <c r="O41" s="978">
        <v>0</v>
      </c>
      <c r="P41" s="555">
        <v>20734.766680000001</v>
      </c>
    </row>
    <row r="42" spans="1:33">
      <c r="A42" s="25">
        <f t="shared" si="1"/>
        <v>36</v>
      </c>
      <c r="B42" s="685" t="s">
        <v>352</v>
      </c>
      <c r="C42" s="993">
        <v>20041</v>
      </c>
      <c r="D42" s="979">
        <v>20041</v>
      </c>
      <c r="E42" s="979">
        <v>0</v>
      </c>
      <c r="F42" s="979">
        <v>0</v>
      </c>
      <c r="G42" s="552">
        <v>20041</v>
      </c>
      <c r="H42" s="553">
        <v>20041</v>
      </c>
      <c r="I42" s="978">
        <v>0</v>
      </c>
      <c r="J42" s="978">
        <v>9821</v>
      </c>
      <c r="K42" s="979">
        <v>92.967479999999995</v>
      </c>
      <c r="L42" s="555">
        <v>0</v>
      </c>
      <c r="M42" s="1261">
        <v>0</v>
      </c>
      <c r="N42" s="1258"/>
      <c r="O42" s="978">
        <v>0</v>
      </c>
      <c r="P42" s="555">
        <v>20041</v>
      </c>
    </row>
    <row r="43" spans="1:33">
      <c r="A43" s="25">
        <f t="shared" si="1"/>
        <v>37</v>
      </c>
      <c r="B43" s="37" t="s">
        <v>353</v>
      </c>
      <c r="C43" s="993">
        <v>0</v>
      </c>
      <c r="D43" s="1275">
        <v>0</v>
      </c>
      <c r="E43" s="990">
        <v>0</v>
      </c>
      <c r="F43" s="990">
        <v>0</v>
      </c>
      <c r="G43" s="552">
        <v>0</v>
      </c>
      <c r="H43" s="553">
        <v>0</v>
      </c>
      <c r="I43" s="992">
        <v>0</v>
      </c>
      <c r="J43" s="992">
        <v>0</v>
      </c>
      <c r="K43" s="990">
        <v>0</v>
      </c>
      <c r="L43" s="555">
        <v>0</v>
      </c>
      <c r="M43" s="1261">
        <v>0</v>
      </c>
      <c r="N43" s="1258"/>
      <c r="O43" s="990">
        <v>0</v>
      </c>
      <c r="P43" s="555">
        <v>0</v>
      </c>
    </row>
    <row r="44" spans="1:33">
      <c r="A44" s="25">
        <f t="shared" si="1"/>
        <v>38</v>
      </c>
      <c r="B44" s="47" t="s">
        <v>262</v>
      </c>
      <c r="C44" s="1016">
        <v>296028.51210000005</v>
      </c>
      <c r="D44" s="1016">
        <v>295337.2034</v>
      </c>
      <c r="E44" s="1016">
        <v>0</v>
      </c>
      <c r="F44" s="1016">
        <v>0</v>
      </c>
      <c r="G44" s="1011">
        <v>296028.51210000005</v>
      </c>
      <c r="H44" s="1012">
        <v>295337.2034</v>
      </c>
      <c r="I44" s="1013">
        <v>0</v>
      </c>
      <c r="J44" s="1013">
        <v>158632.71856000001</v>
      </c>
      <c r="K44" s="1013">
        <v>1969.4760200000001</v>
      </c>
      <c r="L44" s="1015">
        <v>691.3086999999955</v>
      </c>
      <c r="M44" s="1013">
        <v>39.111059999999995</v>
      </c>
      <c r="N44" s="1258"/>
      <c r="O44" s="1014">
        <v>15504.693009999999</v>
      </c>
      <c r="P44" s="1015">
        <v>310841.89640999999</v>
      </c>
    </row>
    <row r="45" spans="1:33">
      <c r="A45" s="25">
        <f t="shared" si="1"/>
        <v>39</v>
      </c>
      <c r="B45" s="239" t="s">
        <v>354</v>
      </c>
      <c r="C45" s="993">
        <v>36192.991900000001</v>
      </c>
      <c r="D45" s="550">
        <v>36153.880840000005</v>
      </c>
      <c r="E45" s="994">
        <v>0</v>
      </c>
      <c r="F45" s="994">
        <v>0</v>
      </c>
      <c r="G45" s="552">
        <v>36192.991900000001</v>
      </c>
      <c r="H45" s="553">
        <v>36153.880840000005</v>
      </c>
      <c r="I45" s="550">
        <v>0</v>
      </c>
      <c r="J45" s="1282">
        <v>32434.23618</v>
      </c>
      <c r="K45" s="1283">
        <v>0</v>
      </c>
      <c r="L45" s="555">
        <v>39.111059999994936</v>
      </c>
      <c r="M45" s="1284">
        <v>39.111059999999995</v>
      </c>
      <c r="N45" s="1285"/>
      <c r="O45" s="978">
        <v>2109.2930000000001</v>
      </c>
      <c r="P45" s="555">
        <v>38263.173840000003</v>
      </c>
    </row>
    <row r="46" spans="1:33">
      <c r="A46" s="25">
        <f t="shared" si="1"/>
        <v>40</v>
      </c>
      <c r="B46" s="239" t="s">
        <v>355</v>
      </c>
      <c r="C46" s="993">
        <v>6456.8360000000002</v>
      </c>
      <c r="D46" s="550">
        <v>6216.8360000000002</v>
      </c>
      <c r="E46" s="994">
        <v>0</v>
      </c>
      <c r="F46" s="994">
        <v>0</v>
      </c>
      <c r="G46" s="552">
        <v>6456.8360000000002</v>
      </c>
      <c r="H46" s="553">
        <v>6216.8360000000002</v>
      </c>
      <c r="I46" s="550">
        <v>0</v>
      </c>
      <c r="J46" s="1282">
        <v>3837.4076</v>
      </c>
      <c r="K46" s="1283">
        <v>170.22435000000002</v>
      </c>
      <c r="L46" s="555">
        <v>240</v>
      </c>
      <c r="M46" s="1284">
        <v>0</v>
      </c>
      <c r="N46" s="1285"/>
      <c r="O46" s="978">
        <v>357.99601000000001</v>
      </c>
      <c r="P46" s="555">
        <v>6574.8320100000001</v>
      </c>
    </row>
    <row r="47" spans="1:33">
      <c r="A47" s="25">
        <f t="shared" si="1"/>
        <v>41</v>
      </c>
      <c r="B47" s="687" t="s">
        <v>356</v>
      </c>
      <c r="C47" s="993">
        <v>4094.3049999999998</v>
      </c>
      <c r="D47" s="550">
        <v>4094.3049999999998</v>
      </c>
      <c r="E47" s="1278">
        <v>0</v>
      </c>
      <c r="F47" s="1278">
        <v>0</v>
      </c>
      <c r="G47" s="552">
        <v>4094.3049999999998</v>
      </c>
      <c r="H47" s="553">
        <v>4094.3049999999998</v>
      </c>
      <c r="I47" s="550">
        <v>0</v>
      </c>
      <c r="J47" s="1286">
        <v>0</v>
      </c>
      <c r="K47" s="550">
        <v>0</v>
      </c>
      <c r="L47" s="555">
        <v>0</v>
      </c>
      <c r="M47" s="1284">
        <v>0</v>
      </c>
      <c r="N47" s="1285"/>
      <c r="O47" s="978">
        <v>0</v>
      </c>
      <c r="P47" s="555">
        <v>0</v>
      </c>
    </row>
    <row r="48" spans="1:33">
      <c r="A48" s="25">
        <f t="shared" si="1"/>
        <v>42</v>
      </c>
      <c r="B48" s="239" t="s">
        <v>357</v>
      </c>
      <c r="C48" s="993">
        <v>3210.4</v>
      </c>
      <c r="D48" s="550">
        <v>3210.4</v>
      </c>
      <c r="E48" s="994">
        <v>0</v>
      </c>
      <c r="F48" s="994">
        <v>0</v>
      </c>
      <c r="G48" s="552">
        <v>3210.4</v>
      </c>
      <c r="H48" s="553">
        <v>3210.4</v>
      </c>
      <c r="I48" s="550">
        <v>0</v>
      </c>
      <c r="J48" s="1282">
        <v>4357.8639999999996</v>
      </c>
      <c r="K48" s="1283">
        <v>0</v>
      </c>
      <c r="L48" s="555">
        <v>0</v>
      </c>
      <c r="M48" s="1284">
        <v>0</v>
      </c>
      <c r="N48" s="1285"/>
      <c r="O48" s="978">
        <v>0</v>
      </c>
      <c r="P48" s="555">
        <v>3210.4</v>
      </c>
    </row>
    <row r="49" spans="1:16">
      <c r="A49" s="25">
        <f t="shared" si="1"/>
        <v>43</v>
      </c>
      <c r="B49" s="687" t="s">
        <v>358</v>
      </c>
      <c r="C49" s="993">
        <v>4639.75</v>
      </c>
      <c r="D49" s="550">
        <v>4639.75</v>
      </c>
      <c r="E49" s="1278">
        <v>0</v>
      </c>
      <c r="F49" s="1278">
        <v>0</v>
      </c>
      <c r="G49" s="552">
        <v>4639.75</v>
      </c>
      <c r="H49" s="553">
        <v>4639.75</v>
      </c>
      <c r="I49" s="550">
        <v>0</v>
      </c>
      <c r="J49" s="1286">
        <v>2045.125</v>
      </c>
      <c r="K49" s="550">
        <v>38.306220000000003</v>
      </c>
      <c r="L49" s="555">
        <v>0</v>
      </c>
      <c r="M49" s="1284">
        <v>0</v>
      </c>
      <c r="N49" s="1285"/>
      <c r="O49" s="978">
        <v>20</v>
      </c>
      <c r="P49" s="555">
        <v>4659.75</v>
      </c>
    </row>
    <row r="50" spans="1:16">
      <c r="A50" s="25">
        <f t="shared" si="1"/>
        <v>44</v>
      </c>
      <c r="B50" s="687" t="s">
        <v>359</v>
      </c>
      <c r="C50" s="993">
        <v>22826.341</v>
      </c>
      <c r="D50" s="550">
        <v>22805.201359999999</v>
      </c>
      <c r="E50" s="1278">
        <v>0</v>
      </c>
      <c r="F50" s="1278">
        <v>0</v>
      </c>
      <c r="G50" s="552">
        <v>22826.341</v>
      </c>
      <c r="H50" s="553">
        <v>22805.201359999999</v>
      </c>
      <c r="I50" s="550">
        <v>0</v>
      </c>
      <c r="J50" s="1286">
        <v>2230.0050000000001</v>
      </c>
      <c r="K50" s="550">
        <v>132.15004000000002</v>
      </c>
      <c r="L50" s="555">
        <v>21.139640000000597</v>
      </c>
      <c r="M50" s="1284">
        <v>0</v>
      </c>
      <c r="N50" s="1285"/>
      <c r="O50" s="978">
        <v>4559.9040000000005</v>
      </c>
      <c r="P50" s="555">
        <v>27365.105359999998</v>
      </c>
    </row>
    <row r="51" spans="1:16">
      <c r="A51" s="25">
        <f t="shared" si="1"/>
        <v>45</v>
      </c>
      <c r="B51" s="687" t="s">
        <v>360</v>
      </c>
      <c r="C51" s="1287">
        <v>218607.88819999999</v>
      </c>
      <c r="D51" s="550">
        <v>218216.8302</v>
      </c>
      <c r="E51" s="1278">
        <v>0</v>
      </c>
      <c r="F51" s="1278">
        <v>0</v>
      </c>
      <c r="G51" s="552">
        <v>218607.88819999999</v>
      </c>
      <c r="H51" s="553">
        <v>218216.8302</v>
      </c>
      <c r="I51" s="550">
        <v>0</v>
      </c>
      <c r="J51" s="1286">
        <v>113728.08078</v>
      </c>
      <c r="K51" s="550">
        <v>1628.7954100000002</v>
      </c>
      <c r="L51" s="555">
        <v>391.05799999999999</v>
      </c>
      <c r="M51" s="1284">
        <v>0</v>
      </c>
      <c r="N51" s="1285"/>
      <c r="O51" s="978">
        <v>8457.5</v>
      </c>
      <c r="P51" s="555">
        <v>226674.3302</v>
      </c>
    </row>
    <row r="52" spans="1:16">
      <c r="A52" s="25">
        <f t="shared" si="1"/>
        <v>46</v>
      </c>
      <c r="B52" s="688" t="s">
        <v>361</v>
      </c>
      <c r="C52" s="1288">
        <v>32331</v>
      </c>
      <c r="D52" s="1289">
        <v>32312.911</v>
      </c>
      <c r="E52" s="1289">
        <v>0</v>
      </c>
      <c r="F52" s="1289">
        <v>0</v>
      </c>
      <c r="G52" s="1011">
        <v>32331</v>
      </c>
      <c r="H52" s="1012">
        <v>32312.911</v>
      </c>
      <c r="I52" s="1290">
        <v>0</v>
      </c>
      <c r="J52" s="1290">
        <v>258.7629</v>
      </c>
      <c r="K52" s="1290">
        <v>1094.8486800000001</v>
      </c>
      <c r="L52" s="1015">
        <v>18.088999999999999</v>
      </c>
      <c r="M52" s="1290">
        <v>18.088999999999999</v>
      </c>
      <c r="N52" s="1285"/>
      <c r="O52" s="1289">
        <v>0</v>
      </c>
      <c r="P52" s="1015">
        <v>32312.911</v>
      </c>
    </row>
    <row r="53" spans="1:16">
      <c r="A53" s="25">
        <f t="shared" si="1"/>
        <v>47</v>
      </c>
      <c r="B53" s="687" t="s">
        <v>362</v>
      </c>
      <c r="C53" s="993">
        <v>1815.4</v>
      </c>
      <c r="D53" s="557">
        <v>1814.6</v>
      </c>
      <c r="E53" s="1278">
        <v>0</v>
      </c>
      <c r="F53" s="1278">
        <v>0</v>
      </c>
      <c r="G53" s="552">
        <v>1815.4</v>
      </c>
      <c r="H53" s="553">
        <v>1814.6</v>
      </c>
      <c r="I53" s="1286">
        <v>0</v>
      </c>
      <c r="J53" s="1286">
        <v>0</v>
      </c>
      <c r="K53" s="1286">
        <v>59.388220000000004</v>
      </c>
      <c r="L53" s="555">
        <v>0.8</v>
      </c>
      <c r="M53" s="1291">
        <v>0.8</v>
      </c>
      <c r="N53" s="1285"/>
      <c r="O53" s="978">
        <v>0</v>
      </c>
      <c r="P53" s="555">
        <v>1814.6</v>
      </c>
    </row>
    <row r="54" spans="1:16">
      <c r="A54" s="25">
        <f t="shared" si="1"/>
        <v>48</v>
      </c>
      <c r="B54" s="687" t="s">
        <v>363</v>
      </c>
      <c r="C54" s="993">
        <v>30515.599999999999</v>
      </c>
      <c r="D54" s="1278">
        <v>30498.311000000002</v>
      </c>
      <c r="E54" s="1278">
        <v>0</v>
      </c>
      <c r="F54" s="1278">
        <v>0</v>
      </c>
      <c r="G54" s="552">
        <v>30515.599999999999</v>
      </c>
      <c r="H54" s="553">
        <v>30498.311000000002</v>
      </c>
      <c r="I54" s="1286">
        <v>0</v>
      </c>
      <c r="J54" s="1286">
        <v>258.7629</v>
      </c>
      <c r="K54" s="1286">
        <v>1035.46046</v>
      </c>
      <c r="L54" s="555">
        <v>17.289000000000001</v>
      </c>
      <c r="M54" s="1291">
        <v>17.289000000000001</v>
      </c>
      <c r="N54" s="1285"/>
      <c r="O54" s="978">
        <v>0</v>
      </c>
      <c r="P54" s="555">
        <v>30498.311000000002</v>
      </c>
    </row>
    <row r="55" spans="1:16">
      <c r="A55" s="25">
        <f t="shared" si="1"/>
        <v>49</v>
      </c>
      <c r="B55" s="688" t="s">
        <v>125</v>
      </c>
      <c r="C55" s="1292">
        <v>31060.538</v>
      </c>
      <c r="D55" s="1293">
        <v>30694.806800000002</v>
      </c>
      <c r="E55" s="1293">
        <v>580</v>
      </c>
      <c r="F55" s="1293">
        <v>580</v>
      </c>
      <c r="G55" s="1011">
        <v>31640.538</v>
      </c>
      <c r="H55" s="1012">
        <v>31274.806800000002</v>
      </c>
      <c r="I55" s="1290">
        <v>0</v>
      </c>
      <c r="J55" s="1290">
        <v>5821.9962300000007</v>
      </c>
      <c r="K55" s="1290">
        <v>581.22017000000005</v>
      </c>
      <c r="L55" s="1015">
        <v>365.73119999999926</v>
      </c>
      <c r="M55" s="1290">
        <v>365.7312</v>
      </c>
      <c r="N55" s="1285"/>
      <c r="O55" s="1289">
        <v>3471.9492500000001</v>
      </c>
      <c r="P55" s="1015">
        <v>34746.756049999996</v>
      </c>
    </row>
    <row r="56" spans="1:16">
      <c r="A56" s="25">
        <f t="shared" si="1"/>
        <v>50</v>
      </c>
      <c r="B56" s="687" t="s">
        <v>364</v>
      </c>
      <c r="C56" s="993">
        <v>31060.538</v>
      </c>
      <c r="D56" s="550">
        <v>30694.806800000002</v>
      </c>
      <c r="E56" s="1278">
        <v>580</v>
      </c>
      <c r="F56" s="1278">
        <v>580</v>
      </c>
      <c r="G56" s="552">
        <v>31640.538</v>
      </c>
      <c r="H56" s="553">
        <v>31274.806800000002</v>
      </c>
      <c r="I56" s="1286">
        <v>0</v>
      </c>
      <c r="J56" s="1286">
        <v>5821.9962300000007</v>
      </c>
      <c r="K56" s="1286">
        <v>581.22017000000005</v>
      </c>
      <c r="L56" s="555">
        <v>365.73119999999926</v>
      </c>
      <c r="M56" s="1291">
        <v>365.7312</v>
      </c>
      <c r="N56" s="1285"/>
      <c r="O56" s="978">
        <v>3471.9492500000001</v>
      </c>
      <c r="P56" s="555">
        <v>34746.756049999996</v>
      </c>
    </row>
    <row r="57" spans="1:16">
      <c r="A57" s="25">
        <f t="shared" si="1"/>
        <v>51</v>
      </c>
      <c r="B57" s="688" t="s">
        <v>127</v>
      </c>
      <c r="C57" s="1288">
        <v>7686</v>
      </c>
      <c r="D57" s="1289">
        <v>7686</v>
      </c>
      <c r="E57" s="1289">
        <v>0</v>
      </c>
      <c r="F57" s="1289">
        <v>0</v>
      </c>
      <c r="G57" s="1011">
        <v>7686</v>
      </c>
      <c r="H57" s="1012">
        <v>7686</v>
      </c>
      <c r="I57" s="1290">
        <v>0</v>
      </c>
      <c r="J57" s="1290">
        <v>2726.6802499999999</v>
      </c>
      <c r="K57" s="1290">
        <v>71.411439999999999</v>
      </c>
      <c r="L57" s="1015">
        <v>0</v>
      </c>
      <c r="M57" s="1290">
        <v>0</v>
      </c>
      <c r="N57" s="1285"/>
      <c r="O57" s="1289">
        <v>0</v>
      </c>
      <c r="P57" s="1015">
        <v>7686</v>
      </c>
    </row>
    <row r="58" spans="1:16">
      <c r="A58" s="25">
        <f t="shared" si="1"/>
        <v>52</v>
      </c>
      <c r="B58" s="687" t="s">
        <v>365</v>
      </c>
      <c r="C58" s="993">
        <v>7686</v>
      </c>
      <c r="D58" s="1278">
        <v>7686</v>
      </c>
      <c r="E58" s="1278">
        <v>0</v>
      </c>
      <c r="F58" s="1278">
        <v>0</v>
      </c>
      <c r="G58" s="552">
        <v>7686</v>
      </c>
      <c r="H58" s="553">
        <v>7686</v>
      </c>
      <c r="I58" s="1286">
        <v>0</v>
      </c>
      <c r="J58" s="1286">
        <v>2726.6802499999999</v>
      </c>
      <c r="K58" s="1286">
        <v>71.411439999999999</v>
      </c>
      <c r="L58" s="555">
        <v>0</v>
      </c>
      <c r="M58" s="1291">
        <v>0</v>
      </c>
      <c r="N58" s="1285"/>
      <c r="O58" s="978">
        <v>0</v>
      </c>
      <c r="P58" s="555">
        <v>7686</v>
      </c>
    </row>
    <row r="59" spans="1:16">
      <c r="A59" s="25">
        <f t="shared" si="1"/>
        <v>53</v>
      </c>
      <c r="B59" s="688" t="s">
        <v>126</v>
      </c>
      <c r="C59" s="1288">
        <v>6065.48</v>
      </c>
      <c r="D59" s="1289">
        <v>6006.4508399999995</v>
      </c>
      <c r="E59" s="1289">
        <v>0</v>
      </c>
      <c r="F59" s="1289">
        <v>0</v>
      </c>
      <c r="G59" s="1011">
        <v>6065.48</v>
      </c>
      <c r="H59" s="1012">
        <v>6006.4508399999995</v>
      </c>
      <c r="I59" s="1290">
        <v>0</v>
      </c>
      <c r="J59" s="1290">
        <v>2226.8000000000002</v>
      </c>
      <c r="K59" s="1290">
        <v>68.317480000000018</v>
      </c>
      <c r="L59" s="1015">
        <v>59.029160000000147</v>
      </c>
      <c r="M59" s="1290">
        <v>59.029160000000005</v>
      </c>
      <c r="N59" s="1285"/>
      <c r="O59" s="1289">
        <v>310</v>
      </c>
      <c r="P59" s="1015">
        <v>6316.4508399999995</v>
      </c>
    </row>
    <row r="60" spans="1:16">
      <c r="A60" s="25">
        <f t="shared" si="1"/>
        <v>54</v>
      </c>
      <c r="B60" s="687" t="s">
        <v>366</v>
      </c>
      <c r="C60" s="993">
        <v>6065.48</v>
      </c>
      <c r="D60" s="550">
        <v>6006.4508399999995</v>
      </c>
      <c r="E60" s="1278">
        <v>0</v>
      </c>
      <c r="F60" s="1278">
        <v>0</v>
      </c>
      <c r="G60" s="552">
        <v>6065.48</v>
      </c>
      <c r="H60" s="553">
        <v>6006.4508399999995</v>
      </c>
      <c r="I60" s="1286">
        <v>0</v>
      </c>
      <c r="J60" s="1286">
        <v>2226.8000000000002</v>
      </c>
      <c r="K60" s="1286">
        <v>68.317480000000018</v>
      </c>
      <c r="L60" s="555">
        <v>59.029160000000147</v>
      </c>
      <c r="M60" s="1291">
        <v>59.029160000000005</v>
      </c>
      <c r="N60" s="1285"/>
      <c r="O60" s="978">
        <v>310</v>
      </c>
      <c r="P60" s="555">
        <v>6316.4508399999995</v>
      </c>
    </row>
    <row r="61" spans="1:16">
      <c r="A61" s="25">
        <f t="shared" si="1"/>
        <v>55</v>
      </c>
      <c r="B61" s="689" t="s">
        <v>27</v>
      </c>
      <c r="C61" s="1009">
        <v>68.658100000000005</v>
      </c>
      <c r="D61" s="1280">
        <v>68.658100000000005</v>
      </c>
      <c r="E61" s="1280">
        <v>0</v>
      </c>
      <c r="F61" s="1280">
        <v>0</v>
      </c>
      <c r="G61" s="1280">
        <v>68.658100000000005</v>
      </c>
      <c r="H61" s="1280">
        <v>68.658100000000005</v>
      </c>
      <c r="I61" s="1294">
        <v>0</v>
      </c>
      <c r="J61" s="1294">
        <v>0</v>
      </c>
      <c r="K61" s="1280">
        <v>0</v>
      </c>
      <c r="L61" s="1295">
        <v>0</v>
      </c>
      <c r="M61" s="1280">
        <v>0</v>
      </c>
      <c r="N61" s="1258"/>
      <c r="O61" s="1280">
        <v>0</v>
      </c>
      <c r="P61" s="1295">
        <v>68.658100000000005</v>
      </c>
    </row>
    <row r="62" spans="1:16">
      <c r="A62" s="25">
        <f t="shared" si="1"/>
        <v>56</v>
      </c>
      <c r="B62" s="690" t="s">
        <v>27</v>
      </c>
      <c r="C62" s="1016">
        <v>68.658100000000005</v>
      </c>
      <c r="D62" s="1014">
        <v>68.658100000000005</v>
      </c>
      <c r="E62" s="1014">
        <v>0</v>
      </c>
      <c r="F62" s="1014">
        <v>0</v>
      </c>
      <c r="G62" s="1011">
        <v>68.658100000000005</v>
      </c>
      <c r="H62" s="1012">
        <v>68.658100000000005</v>
      </c>
      <c r="I62" s="1013">
        <v>0</v>
      </c>
      <c r="J62" s="1013">
        <v>0</v>
      </c>
      <c r="K62" s="1014">
        <v>0</v>
      </c>
      <c r="L62" s="1015">
        <v>0</v>
      </c>
      <c r="M62" s="1259">
        <v>0</v>
      </c>
      <c r="N62" s="1258"/>
      <c r="O62" s="1014">
        <v>0</v>
      </c>
      <c r="P62" s="1015">
        <v>68.658100000000005</v>
      </c>
    </row>
    <row r="63" spans="1:16">
      <c r="A63" s="25">
        <f t="shared" si="1"/>
        <v>57</v>
      </c>
      <c r="B63" s="691" t="s">
        <v>353</v>
      </c>
      <c r="C63" s="993">
        <v>68.658100000000005</v>
      </c>
      <c r="D63" s="1278">
        <v>68.658100000000005</v>
      </c>
      <c r="E63" s="1278">
        <v>0</v>
      </c>
      <c r="F63" s="1278">
        <v>0</v>
      </c>
      <c r="G63" s="552">
        <v>68.658100000000005</v>
      </c>
      <c r="H63" s="553">
        <v>68.658100000000005</v>
      </c>
      <c r="I63" s="1286">
        <v>0</v>
      </c>
      <c r="J63" s="1286">
        <v>0</v>
      </c>
      <c r="K63" s="1286">
        <v>0</v>
      </c>
      <c r="L63" s="555">
        <v>0</v>
      </c>
      <c r="M63" s="1291">
        <v>0</v>
      </c>
      <c r="N63" s="1285"/>
      <c r="O63" s="978">
        <v>0</v>
      </c>
      <c r="P63" s="555">
        <v>68.658100000000005</v>
      </c>
    </row>
    <row r="64" spans="1:16">
      <c r="A64" s="25">
        <f t="shared" si="1"/>
        <v>58</v>
      </c>
      <c r="B64" s="689" t="s">
        <v>367</v>
      </c>
      <c r="C64" s="1009">
        <v>44186.164659999995</v>
      </c>
      <c r="D64" s="1280">
        <v>44186.164659999995</v>
      </c>
      <c r="E64" s="1280">
        <v>5452.2792099999997</v>
      </c>
      <c r="F64" s="1280">
        <v>5452.2792099999997</v>
      </c>
      <c r="G64" s="1280">
        <v>49638.443869999996</v>
      </c>
      <c r="H64" s="1280">
        <v>49638.443869999996</v>
      </c>
      <c r="I64" s="1294">
        <v>0</v>
      </c>
      <c r="J64" s="1294">
        <v>22710.045109999999</v>
      </c>
      <c r="K64" s="1294">
        <v>0</v>
      </c>
      <c r="L64" s="1295">
        <v>0</v>
      </c>
      <c r="M64" s="1294">
        <v>0</v>
      </c>
      <c r="N64" s="1258"/>
      <c r="O64" s="1280">
        <v>264.70987000000002</v>
      </c>
      <c r="P64" s="1295">
        <v>49903.153739999994</v>
      </c>
    </row>
    <row r="65" spans="1:16">
      <c r="A65" s="25">
        <f t="shared" si="1"/>
        <v>59</v>
      </c>
      <c r="B65" s="692" t="s">
        <v>368</v>
      </c>
      <c r="C65" s="993">
        <v>8258.0846799999999</v>
      </c>
      <c r="D65" s="979">
        <v>8258.0846799999999</v>
      </c>
      <c r="E65" s="979">
        <v>0</v>
      </c>
      <c r="F65" s="979">
        <v>0</v>
      </c>
      <c r="G65" s="552">
        <v>8258.0846799999999</v>
      </c>
      <c r="H65" s="552">
        <v>8258.0846799999999</v>
      </c>
      <c r="I65" s="1286">
        <v>0</v>
      </c>
      <c r="J65" s="978">
        <v>5104.3354399999998</v>
      </c>
      <c r="K65" s="979">
        <v>0</v>
      </c>
      <c r="L65" s="555">
        <v>0</v>
      </c>
      <c r="M65" s="1261">
        <v>0</v>
      </c>
      <c r="N65" s="1258"/>
      <c r="O65" s="978">
        <v>0.91427999999999998</v>
      </c>
      <c r="P65" s="555">
        <v>8258.9989600000008</v>
      </c>
    </row>
    <row r="66" spans="1:16">
      <c r="A66" s="25">
        <f t="shared" si="1"/>
        <v>60</v>
      </c>
      <c r="B66" s="692" t="s">
        <v>369</v>
      </c>
      <c r="C66" s="980">
        <v>18637.512649999997</v>
      </c>
      <c r="D66" s="979">
        <v>18637.512649999997</v>
      </c>
      <c r="E66" s="979">
        <v>5452.2792099999997</v>
      </c>
      <c r="F66" s="979">
        <v>5452.2792099999997</v>
      </c>
      <c r="G66" s="552">
        <v>24089.791860000001</v>
      </c>
      <c r="H66" s="552">
        <v>24089.791860000001</v>
      </c>
      <c r="I66" s="1286">
        <v>0</v>
      </c>
      <c r="J66" s="978">
        <v>0</v>
      </c>
      <c r="K66" s="979">
        <v>0</v>
      </c>
      <c r="L66" s="555">
        <v>0</v>
      </c>
      <c r="M66" s="1261">
        <v>0</v>
      </c>
      <c r="N66" s="1258"/>
      <c r="O66" s="978">
        <v>0</v>
      </c>
      <c r="P66" s="555">
        <v>24090.284889999999</v>
      </c>
    </row>
    <row r="67" spans="1:16">
      <c r="A67" s="25">
        <f t="shared" si="1"/>
        <v>61</v>
      </c>
      <c r="B67" s="693" t="s">
        <v>370</v>
      </c>
      <c r="C67" s="980">
        <v>13057.356189999999</v>
      </c>
      <c r="D67" s="979">
        <v>13057.356189999999</v>
      </c>
      <c r="E67" s="979">
        <v>0</v>
      </c>
      <c r="F67" s="979">
        <v>0</v>
      </c>
      <c r="G67" s="552">
        <v>13057.356189999999</v>
      </c>
      <c r="H67" s="552">
        <v>13057.356189999999</v>
      </c>
      <c r="I67" s="1286">
        <v>0</v>
      </c>
      <c r="J67" s="978">
        <v>657.79499999999996</v>
      </c>
      <c r="K67" s="979">
        <v>0</v>
      </c>
      <c r="L67" s="555">
        <v>0</v>
      </c>
      <c r="M67" s="1261">
        <v>0</v>
      </c>
      <c r="N67" s="1258"/>
      <c r="O67" s="978">
        <v>234.09299999999999</v>
      </c>
      <c r="P67" s="555">
        <v>13291.449189999999</v>
      </c>
    </row>
    <row r="68" spans="1:16">
      <c r="A68" s="25">
        <f t="shared" si="1"/>
        <v>62</v>
      </c>
      <c r="B68" s="265" t="s">
        <v>371</v>
      </c>
      <c r="C68" s="980">
        <v>41.552339999999994</v>
      </c>
      <c r="D68" s="980">
        <v>41.552339999999994</v>
      </c>
      <c r="E68" s="979">
        <v>0</v>
      </c>
      <c r="F68" s="979">
        <v>0</v>
      </c>
      <c r="G68" s="552">
        <v>41.552339999999994</v>
      </c>
      <c r="H68" s="552">
        <v>41.552339999999994</v>
      </c>
      <c r="I68" s="1286">
        <v>0</v>
      </c>
      <c r="J68" s="978">
        <v>76.467079999999996</v>
      </c>
      <c r="K68" s="979">
        <v>0</v>
      </c>
      <c r="L68" s="555">
        <v>0</v>
      </c>
      <c r="M68" s="1261">
        <v>0</v>
      </c>
      <c r="N68" s="1258"/>
      <c r="O68" s="978">
        <v>29.20956</v>
      </c>
      <c r="P68" s="555">
        <v>70.761899999999997</v>
      </c>
    </row>
    <row r="69" spans="1:16">
      <c r="A69" s="25">
        <f t="shared" si="1"/>
        <v>63</v>
      </c>
      <c r="B69" s="694" t="s">
        <v>372</v>
      </c>
      <c r="C69" s="979">
        <v>29.061250000000001</v>
      </c>
      <c r="D69" s="979">
        <v>29.061250000000001</v>
      </c>
      <c r="E69" s="979">
        <v>0</v>
      </c>
      <c r="F69" s="979">
        <v>0</v>
      </c>
      <c r="G69" s="552">
        <v>29.061250000000001</v>
      </c>
      <c r="H69" s="552">
        <v>29.061250000000001</v>
      </c>
      <c r="I69" s="1286">
        <v>0</v>
      </c>
      <c r="J69" s="978">
        <v>0</v>
      </c>
      <c r="K69" s="979">
        <v>0</v>
      </c>
      <c r="L69" s="555">
        <v>0</v>
      </c>
      <c r="M69" s="1261">
        <v>0</v>
      </c>
      <c r="N69" s="1258"/>
      <c r="O69" s="978">
        <v>0</v>
      </c>
      <c r="P69" s="555">
        <v>29.061250000000001</v>
      </c>
    </row>
    <row r="70" spans="1:16">
      <c r="A70" s="25">
        <f t="shared" si="1"/>
        <v>64</v>
      </c>
      <c r="B70" s="694" t="s">
        <v>373</v>
      </c>
      <c r="C70" s="979">
        <v>170.58467999999999</v>
      </c>
      <c r="D70" s="552">
        <v>170.58467999999999</v>
      </c>
      <c r="E70" s="979">
        <v>0</v>
      </c>
      <c r="F70" s="979">
        <v>0</v>
      </c>
      <c r="G70" s="552">
        <v>170.58467999999999</v>
      </c>
      <c r="H70" s="552">
        <v>170.58467999999999</v>
      </c>
      <c r="I70" s="1286">
        <v>0</v>
      </c>
      <c r="J70" s="978">
        <v>0</v>
      </c>
      <c r="K70" s="979">
        <v>0</v>
      </c>
      <c r="L70" s="555">
        <v>0</v>
      </c>
      <c r="M70" s="1261">
        <v>0</v>
      </c>
      <c r="N70" s="1258"/>
      <c r="O70" s="978">
        <v>0</v>
      </c>
      <c r="P70" s="555">
        <v>170.58467999999999</v>
      </c>
    </row>
    <row r="71" spans="1:16">
      <c r="A71" s="25"/>
      <c r="B71" s="694" t="s">
        <v>374</v>
      </c>
      <c r="C71" s="979">
        <v>780.46050000000002</v>
      </c>
      <c r="D71" s="552">
        <v>780.46050000000002</v>
      </c>
      <c r="E71" s="979">
        <v>0</v>
      </c>
      <c r="F71" s="979">
        <v>0</v>
      </c>
      <c r="G71" s="552">
        <v>780.46050000000002</v>
      </c>
      <c r="H71" s="552">
        <v>780.46050000000002</v>
      </c>
      <c r="I71" s="1286">
        <v>0</v>
      </c>
      <c r="J71" s="978">
        <v>0</v>
      </c>
      <c r="K71" s="979">
        <v>0</v>
      </c>
      <c r="L71" s="555">
        <v>0</v>
      </c>
      <c r="M71" s="1261">
        <v>0</v>
      </c>
      <c r="N71" s="1258"/>
      <c r="O71" s="978">
        <v>0</v>
      </c>
      <c r="P71" s="555">
        <v>780.46050000000002</v>
      </c>
    </row>
    <row r="72" spans="1:16">
      <c r="A72" s="25">
        <f>A70+1</f>
        <v>65</v>
      </c>
      <c r="B72" s="265" t="s">
        <v>375</v>
      </c>
      <c r="C72" s="979">
        <v>37.06</v>
      </c>
      <c r="D72" s="552">
        <v>37.06</v>
      </c>
      <c r="E72" s="979">
        <v>0</v>
      </c>
      <c r="F72" s="979">
        <v>0</v>
      </c>
      <c r="G72" s="552">
        <v>37.06</v>
      </c>
      <c r="H72" s="552">
        <v>37.06</v>
      </c>
      <c r="I72" s="1286">
        <v>0</v>
      </c>
      <c r="J72" s="978">
        <v>0</v>
      </c>
      <c r="K72" s="979">
        <v>0</v>
      </c>
      <c r="L72" s="555">
        <v>0</v>
      </c>
      <c r="M72" s="1261">
        <v>0</v>
      </c>
      <c r="N72" s="1258"/>
      <c r="O72" s="978">
        <v>0</v>
      </c>
      <c r="P72" s="555">
        <v>37.06</v>
      </c>
    </row>
    <row r="73" spans="1:16" ht="15.75" thickBot="1">
      <c r="A73" s="25">
        <f>A72+1</f>
        <v>66</v>
      </c>
      <c r="B73" s="695" t="s">
        <v>376</v>
      </c>
      <c r="C73" s="979">
        <v>3174.4923699999999</v>
      </c>
      <c r="D73" s="979">
        <v>3174.4923699999999</v>
      </c>
      <c r="E73" s="979">
        <v>0</v>
      </c>
      <c r="F73" s="979">
        <v>0</v>
      </c>
      <c r="G73" s="552">
        <v>3174.4923699999999</v>
      </c>
      <c r="H73" s="552">
        <v>3174.4923699999999</v>
      </c>
      <c r="I73" s="1286">
        <v>0</v>
      </c>
      <c r="J73" s="978">
        <v>16871.44759</v>
      </c>
      <c r="K73" s="979">
        <v>0</v>
      </c>
      <c r="L73" s="555">
        <v>0</v>
      </c>
      <c r="M73" s="1261">
        <v>0</v>
      </c>
      <c r="N73" s="1258"/>
      <c r="O73" s="978">
        <v>0</v>
      </c>
      <c r="P73" s="555">
        <v>3174.4923699999999</v>
      </c>
    </row>
    <row r="74" spans="1:16" ht="15.75" thickBot="1">
      <c r="A74" s="25">
        <f>A73+1</f>
        <v>67</v>
      </c>
      <c r="B74" s="39" t="s">
        <v>23</v>
      </c>
      <c r="C74" s="1025">
        <v>1484875.1525899998</v>
      </c>
      <c r="D74" s="1296">
        <v>1483079.6566099999</v>
      </c>
      <c r="E74" s="1296">
        <v>6077.2792099999997</v>
      </c>
      <c r="F74" s="1296">
        <v>6077.2792099999997</v>
      </c>
      <c r="G74" s="1296">
        <v>1490952.4317999999</v>
      </c>
      <c r="H74" s="1296">
        <v>1489156.93582</v>
      </c>
      <c r="I74" s="1297">
        <v>0</v>
      </c>
      <c r="J74" s="1297">
        <v>238992.99305000002</v>
      </c>
      <c r="K74" s="1298">
        <v>15409.160290000003</v>
      </c>
      <c r="L74" s="1299">
        <v>1795.4959800000115</v>
      </c>
      <c r="M74" s="1300">
        <v>1108.6613399999999</v>
      </c>
      <c r="N74" s="1258"/>
      <c r="O74" s="1298">
        <v>50169.319689999997</v>
      </c>
      <c r="P74" s="1299">
        <v>1539326.25551</v>
      </c>
    </row>
  </sheetData>
  <mergeCells count="24">
    <mergeCell ref="A4:A6"/>
    <mergeCell ref="B4:B6"/>
    <mergeCell ref="C4:D4"/>
    <mergeCell ref="E4:F4"/>
    <mergeCell ref="G4:H4"/>
    <mergeCell ref="I4:I5"/>
    <mergeCell ref="J4:J5"/>
    <mergeCell ref="K4:K5"/>
    <mergeCell ref="L4:L5"/>
    <mergeCell ref="M4:M5"/>
    <mergeCell ref="O4:O5"/>
    <mergeCell ref="P4:P5"/>
    <mergeCell ref="R4:R6"/>
    <mergeCell ref="S4:S6"/>
    <mergeCell ref="T4:U4"/>
    <mergeCell ref="V4:W4"/>
    <mergeCell ref="X4:Y4"/>
    <mergeCell ref="Z4:Z5"/>
    <mergeCell ref="AA4:AA5"/>
    <mergeCell ref="AB4:AB5"/>
    <mergeCell ref="AC4:AC5"/>
    <mergeCell ref="AD4:AD5"/>
    <mergeCell ref="AF4:AF5"/>
    <mergeCell ref="AG4:AG5"/>
  </mergeCell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dimension ref="A1:AG50"/>
  <sheetViews>
    <sheetView zoomScale="85" zoomScaleNormal="85" workbookViewId="0">
      <selection activeCell="AK17" sqref="AK17"/>
    </sheetView>
  </sheetViews>
  <sheetFormatPr defaultRowHeight="15"/>
  <cols>
    <col min="1" max="1" width="9.42578125" customWidth="1"/>
    <col min="2" max="2" width="45.85546875" customWidth="1"/>
    <col min="3" max="3" width="12.7109375" customWidth="1"/>
    <col min="4" max="4" width="11.5703125" customWidth="1"/>
    <col min="5" max="5" width="11.28515625" customWidth="1"/>
    <col min="6" max="6" width="11.5703125" customWidth="1"/>
    <col min="7" max="7" width="10.85546875" customWidth="1"/>
    <col min="8" max="9" width="10.42578125" customWidth="1"/>
    <col min="10" max="10" width="12.5703125" customWidth="1"/>
    <col min="11" max="11" width="10.5703125" customWidth="1"/>
    <col min="12" max="12" width="11.42578125" customWidth="1"/>
    <col min="13" max="13" width="2" style="1" customWidth="1"/>
    <col min="14" max="14" width="1.7109375" customWidth="1"/>
    <col min="15" max="15" width="11" customWidth="1"/>
    <col min="16" max="16" width="10.85546875" customWidth="1"/>
    <col min="18" max="18" width="9.42578125" hidden="1" customWidth="1"/>
    <col min="19" max="19" width="45.85546875" hidden="1" customWidth="1"/>
    <col min="20" max="20" width="12.7109375" hidden="1" customWidth="1"/>
    <col min="21" max="21" width="11.5703125" hidden="1" customWidth="1"/>
    <col min="22" max="22" width="11.28515625" hidden="1" customWidth="1"/>
    <col min="23" max="23" width="11.5703125" hidden="1" customWidth="1"/>
    <col min="24" max="25" width="12.140625" hidden="1" customWidth="1"/>
    <col min="26" max="26" width="10.42578125" hidden="1" customWidth="1"/>
    <col min="27" max="27" width="12.5703125" hidden="1" customWidth="1"/>
    <col min="28" max="28" width="10.5703125" hidden="1" customWidth="1"/>
    <col min="29" max="29" width="14" hidden="1" customWidth="1"/>
    <col min="30" max="30" width="12.42578125" hidden="1" customWidth="1"/>
    <col min="31" max="31" width="1.7109375" hidden="1" customWidth="1"/>
    <col min="32" max="32" width="11" hidden="1" customWidth="1"/>
    <col min="33" max="33" width="10.85546875" hidden="1" customWidth="1"/>
  </cols>
  <sheetData>
    <row r="1" spans="1:33" ht="15.75">
      <c r="A1" s="3" t="s">
        <v>44</v>
      </c>
      <c r="B1" s="20"/>
      <c r="C1" s="20"/>
      <c r="D1" s="20"/>
      <c r="E1" s="20"/>
      <c r="F1" s="20"/>
      <c r="G1" s="20"/>
      <c r="H1" s="20"/>
      <c r="I1" s="20"/>
      <c r="J1" s="20"/>
      <c r="K1" s="20"/>
      <c r="L1" s="20"/>
      <c r="M1" s="20"/>
      <c r="N1" s="22"/>
      <c r="O1" s="20"/>
      <c r="P1" s="20"/>
    </row>
    <row r="2" spans="1:33" ht="15.75">
      <c r="A2" s="3"/>
      <c r="B2" s="2" t="s">
        <v>43</v>
      </c>
      <c r="C2" s="20"/>
      <c r="D2" s="20"/>
      <c r="E2" s="20"/>
      <c r="F2" s="20"/>
      <c r="G2" s="20"/>
      <c r="H2" s="20"/>
      <c r="I2" s="20"/>
      <c r="J2" s="20"/>
      <c r="K2" s="20"/>
      <c r="L2" s="20"/>
      <c r="M2" s="20"/>
      <c r="N2" s="22"/>
      <c r="O2" s="20"/>
      <c r="P2" s="20"/>
    </row>
    <row r="3" spans="1:33" ht="16.5" thickBot="1">
      <c r="A3" s="20"/>
      <c r="B3" s="19"/>
      <c r="C3" s="20"/>
      <c r="D3" s="20"/>
      <c r="E3" s="20"/>
      <c r="F3" s="20"/>
      <c r="G3" s="20"/>
      <c r="H3" s="20"/>
      <c r="I3" s="20"/>
      <c r="J3" s="20"/>
      <c r="K3" s="20"/>
      <c r="L3" s="20"/>
      <c r="M3" s="20"/>
      <c r="N3" s="22"/>
      <c r="O3" s="20"/>
      <c r="P3" s="23" t="s">
        <v>2</v>
      </c>
    </row>
    <row r="4" spans="1:33">
      <c r="A4" s="1357" t="s">
        <v>1</v>
      </c>
      <c r="B4" s="1354" t="s">
        <v>46</v>
      </c>
      <c r="C4" s="1394" t="s">
        <v>18</v>
      </c>
      <c r="D4" s="1361"/>
      <c r="E4" s="1361" t="s">
        <v>19</v>
      </c>
      <c r="F4" s="1361"/>
      <c r="G4" s="1364" t="s">
        <v>20</v>
      </c>
      <c r="H4" s="1365"/>
      <c r="I4" s="1349" t="s">
        <v>47</v>
      </c>
      <c r="J4" s="1349" t="s">
        <v>48</v>
      </c>
      <c r="K4" s="1351" t="s">
        <v>49</v>
      </c>
      <c r="L4" s="1362" t="s">
        <v>77</v>
      </c>
      <c r="M4" s="1313"/>
      <c r="N4" s="9"/>
      <c r="O4" s="1366" t="s">
        <v>330</v>
      </c>
      <c r="P4" s="1368" t="s">
        <v>21</v>
      </c>
      <c r="R4" s="1357" t="s">
        <v>1</v>
      </c>
      <c r="S4" s="1354" t="s">
        <v>46</v>
      </c>
      <c r="T4" s="1360" t="s">
        <v>18</v>
      </c>
      <c r="U4" s="1361"/>
      <c r="V4" s="1361" t="s">
        <v>19</v>
      </c>
      <c r="W4" s="1361"/>
      <c r="X4" s="1364" t="s">
        <v>20</v>
      </c>
      <c r="Y4" s="1365"/>
      <c r="Z4" s="1349" t="s">
        <v>47</v>
      </c>
      <c r="AA4" s="1349" t="s">
        <v>48</v>
      </c>
      <c r="AB4" s="1351" t="s">
        <v>49</v>
      </c>
      <c r="AC4" s="1362" t="s">
        <v>62</v>
      </c>
      <c r="AD4" s="1370" t="s">
        <v>69</v>
      </c>
      <c r="AE4" s="1037"/>
      <c r="AF4" s="1366" t="s">
        <v>65</v>
      </c>
      <c r="AG4" s="1368" t="s">
        <v>21</v>
      </c>
    </row>
    <row r="5" spans="1:33">
      <c r="A5" s="1358"/>
      <c r="B5" s="1355"/>
      <c r="C5" s="10" t="s">
        <v>26</v>
      </c>
      <c r="D5" s="11" t="s">
        <v>50</v>
      </c>
      <c r="E5" s="10" t="s">
        <v>12</v>
      </c>
      <c r="F5" s="11" t="s">
        <v>16</v>
      </c>
      <c r="G5" s="11" t="s">
        <v>12</v>
      </c>
      <c r="H5" s="33" t="s">
        <v>16</v>
      </c>
      <c r="I5" s="1350"/>
      <c r="J5" s="1350"/>
      <c r="K5" s="1352"/>
      <c r="L5" s="1363"/>
      <c r="M5" s="1313"/>
      <c r="N5" s="9"/>
      <c r="O5" s="1367"/>
      <c r="P5" s="1369"/>
      <c r="R5" s="1358"/>
      <c r="S5" s="1355"/>
      <c r="T5" s="1077" t="s">
        <v>26</v>
      </c>
      <c r="U5" s="11" t="s">
        <v>50</v>
      </c>
      <c r="V5" s="10" t="s">
        <v>12</v>
      </c>
      <c r="W5" s="11" t="s">
        <v>16</v>
      </c>
      <c r="X5" s="11" t="s">
        <v>12</v>
      </c>
      <c r="Y5" s="33" t="s">
        <v>16</v>
      </c>
      <c r="Z5" s="1350"/>
      <c r="AA5" s="1350"/>
      <c r="AB5" s="1352"/>
      <c r="AC5" s="1363"/>
      <c r="AD5" s="1371"/>
      <c r="AE5" s="1037"/>
      <c r="AF5" s="1367"/>
      <c r="AG5" s="1369"/>
    </row>
    <row r="6" spans="1:33" ht="15.75" thickBot="1">
      <c r="A6" s="1359"/>
      <c r="B6" s="1356"/>
      <c r="C6" s="12" t="s">
        <v>4</v>
      </c>
      <c r="D6" s="13" t="s">
        <v>5</v>
      </c>
      <c r="E6" s="13" t="s">
        <v>6</v>
      </c>
      <c r="F6" s="13" t="s">
        <v>7</v>
      </c>
      <c r="G6" s="13" t="s">
        <v>13</v>
      </c>
      <c r="H6" s="34" t="s">
        <v>14</v>
      </c>
      <c r="I6" s="45" t="s">
        <v>28</v>
      </c>
      <c r="J6" s="45" t="s">
        <v>31</v>
      </c>
      <c r="K6" s="32" t="s">
        <v>9</v>
      </c>
      <c r="L6" s="14" t="s">
        <v>22</v>
      </c>
      <c r="M6" s="9"/>
      <c r="N6" s="9"/>
      <c r="O6" s="44" t="s">
        <v>10</v>
      </c>
      <c r="P6" s="14" t="s">
        <v>64</v>
      </c>
      <c r="R6" s="1359"/>
      <c r="S6" s="1356"/>
      <c r="T6" s="1078" t="s">
        <v>4</v>
      </c>
      <c r="U6" s="13" t="s">
        <v>5</v>
      </c>
      <c r="V6" s="13" t="s">
        <v>6</v>
      </c>
      <c r="W6" s="13" t="s">
        <v>7</v>
      </c>
      <c r="X6" s="13" t="s">
        <v>13</v>
      </c>
      <c r="Y6" s="34" t="s">
        <v>14</v>
      </c>
      <c r="Z6" s="45" t="s">
        <v>28</v>
      </c>
      <c r="AA6" s="45" t="s">
        <v>31</v>
      </c>
      <c r="AB6" s="32" t="s">
        <v>9</v>
      </c>
      <c r="AC6" s="14" t="s">
        <v>22</v>
      </c>
      <c r="AD6" s="14" t="s">
        <v>63</v>
      </c>
      <c r="AE6" s="1037"/>
      <c r="AF6" s="44" t="s">
        <v>10</v>
      </c>
      <c r="AG6" s="14" t="s">
        <v>64</v>
      </c>
    </row>
    <row r="7" spans="1:33">
      <c r="A7" s="24">
        <v>1</v>
      </c>
      <c r="B7" s="38" t="s">
        <v>15</v>
      </c>
      <c r="C7" s="219">
        <f t="shared" ref="C7:L7" si="0">+C8+C12</f>
        <v>369073.48300000001</v>
      </c>
      <c r="D7" s="219">
        <f t="shared" si="0"/>
        <v>366862.66399999999</v>
      </c>
      <c r="E7" s="219">
        <f t="shared" si="0"/>
        <v>0</v>
      </c>
      <c r="F7" s="219">
        <f t="shared" si="0"/>
        <v>0</v>
      </c>
      <c r="G7" s="219">
        <f t="shared" si="0"/>
        <v>369073.48300000001</v>
      </c>
      <c r="H7" s="220">
        <f t="shared" si="0"/>
        <v>366862.66399999999</v>
      </c>
      <c r="I7" s="221">
        <f t="shared" si="0"/>
        <v>0</v>
      </c>
      <c r="J7" s="221">
        <f t="shared" si="0"/>
        <v>877.25</v>
      </c>
      <c r="K7" s="222">
        <f t="shared" si="0"/>
        <v>5224.8901999999998</v>
      </c>
      <c r="L7" s="223">
        <f t="shared" si="0"/>
        <v>2210.8190000000141</v>
      </c>
      <c r="M7" s="1314"/>
      <c r="N7" s="84"/>
      <c r="O7" s="224">
        <f>+O8+O12</f>
        <v>0</v>
      </c>
      <c r="P7" s="219">
        <f>+P8+P12</f>
        <v>366862.66399999999</v>
      </c>
      <c r="R7" s="24">
        <v>1</v>
      </c>
      <c r="S7" s="38" t="s">
        <v>15</v>
      </c>
      <c r="T7" s="54">
        <v>369073.48300000001</v>
      </c>
      <c r="U7" s="55">
        <v>366862.66399999999</v>
      </c>
      <c r="V7" s="55">
        <v>0</v>
      </c>
      <c r="W7" s="55">
        <v>0</v>
      </c>
      <c r="X7" s="55">
        <v>369073.48300000001</v>
      </c>
      <c r="Y7" s="56">
        <v>366862.66399999999</v>
      </c>
      <c r="Z7" s="75">
        <v>0</v>
      </c>
      <c r="AA7" s="75">
        <v>877.25</v>
      </c>
      <c r="AB7" s="57">
        <v>5224.8901999999998</v>
      </c>
      <c r="AC7" s="58">
        <v>2210.8190000000141</v>
      </c>
      <c r="AD7" s="58"/>
      <c r="AE7" s="1036"/>
      <c r="AF7" s="54">
        <v>0</v>
      </c>
      <c r="AG7" s="58">
        <v>366862.66399999999</v>
      </c>
    </row>
    <row r="8" spans="1:33">
      <c r="A8" s="48">
        <f>A7+1</f>
        <v>2</v>
      </c>
      <c r="B8" s="35" t="s">
        <v>35</v>
      </c>
      <c r="C8" s="51">
        <f t="shared" ref="C8:L8" si="1">SUM(C9:C11)</f>
        <v>264544.05700000003</v>
      </c>
      <c r="D8" s="51">
        <f t="shared" si="1"/>
        <v>264275.91084000003</v>
      </c>
      <c r="E8" s="51">
        <f t="shared" si="1"/>
        <v>0</v>
      </c>
      <c r="F8" s="51">
        <f t="shared" si="1"/>
        <v>0</v>
      </c>
      <c r="G8" s="51">
        <f t="shared" si="1"/>
        <v>264544.05700000003</v>
      </c>
      <c r="H8" s="696">
        <f t="shared" si="1"/>
        <v>264275.91084000003</v>
      </c>
      <c r="I8" s="697"/>
      <c r="J8" s="698">
        <f t="shared" si="1"/>
        <v>0</v>
      </c>
      <c r="K8" s="699">
        <f t="shared" si="1"/>
        <v>4700.0891000000001</v>
      </c>
      <c r="L8" s="700">
        <f t="shared" si="1"/>
        <v>268.14616000000001</v>
      </c>
      <c r="M8" s="1315"/>
      <c r="N8" s="84"/>
      <c r="O8" s="701">
        <f>SUM(O9:O11)</f>
        <v>0</v>
      </c>
      <c r="P8" s="700">
        <f>SUM(P9:P11)</f>
        <v>264275.91084000003</v>
      </c>
      <c r="R8" s="48">
        <f>R7+1</f>
        <v>2</v>
      </c>
      <c r="S8" s="35" t="s">
        <v>35</v>
      </c>
      <c r="T8" s="59">
        <v>264544.05700000003</v>
      </c>
      <c r="U8" s="60">
        <v>264275.91084000003</v>
      </c>
      <c r="V8" s="60">
        <v>0</v>
      </c>
      <c r="W8" s="60">
        <v>0</v>
      </c>
      <c r="X8" s="60">
        <v>264544.05700000003</v>
      </c>
      <c r="Y8" s="61">
        <v>264275.91084000003</v>
      </c>
      <c r="Z8" s="77"/>
      <c r="AA8" s="78">
        <v>0</v>
      </c>
      <c r="AB8" s="62">
        <v>4700.0891000000001</v>
      </c>
      <c r="AC8" s="63">
        <v>268.14616000000001</v>
      </c>
      <c r="AD8" s="63"/>
      <c r="AE8" s="1036"/>
      <c r="AF8" s="59">
        <v>0</v>
      </c>
      <c r="AG8" s="63">
        <v>264275.91084000003</v>
      </c>
    </row>
    <row r="9" spans="1:33">
      <c r="A9" s="25">
        <f t="shared" ref="A9:A50" si="2">A8+1</f>
        <v>3</v>
      </c>
      <c r="B9" s="36" t="s">
        <v>58</v>
      </c>
      <c r="C9" s="65">
        <v>263599.91700000002</v>
      </c>
      <c r="D9" s="65">
        <v>263599.91700000002</v>
      </c>
      <c r="E9" s="65"/>
      <c r="F9" s="65"/>
      <c r="G9" s="65">
        <f t="shared" ref="G9:H12" si="3">+C9+E9</f>
        <v>263599.91700000002</v>
      </c>
      <c r="H9" s="66">
        <f t="shared" si="3"/>
        <v>263599.91700000002</v>
      </c>
      <c r="I9" s="79"/>
      <c r="J9" s="80"/>
      <c r="K9" s="67">
        <v>4694.9236799999999</v>
      </c>
      <c r="L9" s="68">
        <f t="shared" ref="L9:L27" si="4">+G9-H9</f>
        <v>0</v>
      </c>
      <c r="M9" s="1316"/>
      <c r="N9" s="76"/>
      <c r="O9" s="64"/>
      <c r="P9" s="68">
        <f t="shared" ref="P9:P49" si="5">H9+O9</f>
        <v>263599.91700000002</v>
      </c>
      <c r="R9" s="25">
        <f t="shared" ref="R9:R34" si="6">R8+1</f>
        <v>3</v>
      </c>
      <c r="S9" s="36" t="s">
        <v>58</v>
      </c>
      <c r="T9" s="64">
        <v>263599.91700000002</v>
      </c>
      <c r="U9" s="65">
        <v>263599.91700000002</v>
      </c>
      <c r="V9" s="65"/>
      <c r="W9" s="65"/>
      <c r="X9" s="65">
        <v>263599.91700000002</v>
      </c>
      <c r="Y9" s="66">
        <v>263599.91700000002</v>
      </c>
      <c r="Z9" s="80"/>
      <c r="AA9" s="80"/>
      <c r="AB9" s="67">
        <v>4694.9236799999999</v>
      </c>
      <c r="AC9" s="68">
        <v>0</v>
      </c>
      <c r="AD9" s="68"/>
      <c r="AE9" s="1036"/>
      <c r="AF9" s="64"/>
      <c r="AG9" s="68">
        <v>263599.91700000002</v>
      </c>
    </row>
    <row r="10" spans="1:33">
      <c r="A10" s="25">
        <f t="shared" si="2"/>
        <v>4</v>
      </c>
      <c r="B10" s="36" t="s">
        <v>36</v>
      </c>
      <c r="C10" s="65">
        <v>944.14</v>
      </c>
      <c r="D10" s="65">
        <v>675.99383999999998</v>
      </c>
      <c r="E10" s="65"/>
      <c r="F10" s="65"/>
      <c r="G10" s="65">
        <f t="shared" si="3"/>
        <v>944.14</v>
      </c>
      <c r="H10" s="66">
        <f t="shared" si="3"/>
        <v>675.99383999999998</v>
      </c>
      <c r="I10" s="79"/>
      <c r="J10" s="80"/>
      <c r="K10" s="67">
        <v>5.1654200000000001</v>
      </c>
      <c r="L10" s="68">
        <f t="shared" si="4"/>
        <v>268.14616000000001</v>
      </c>
      <c r="M10" s="1316"/>
      <c r="N10" s="76"/>
      <c r="O10" s="64"/>
      <c r="P10" s="68">
        <f t="shared" si="5"/>
        <v>675.99383999999998</v>
      </c>
      <c r="R10" s="25">
        <f t="shared" si="6"/>
        <v>4</v>
      </c>
      <c r="S10" s="36" t="s">
        <v>36</v>
      </c>
      <c r="T10" s="64">
        <v>944.14</v>
      </c>
      <c r="U10" s="65">
        <v>675.99383999999998</v>
      </c>
      <c r="V10" s="65"/>
      <c r="W10" s="65"/>
      <c r="X10" s="65">
        <v>944.14</v>
      </c>
      <c r="Y10" s="249">
        <v>675.99383999999998</v>
      </c>
      <c r="Z10" s="80"/>
      <c r="AA10" s="80"/>
      <c r="AB10" s="67">
        <v>5.1654200000000001</v>
      </c>
      <c r="AC10" s="68">
        <v>268.14616000000001</v>
      </c>
      <c r="AD10" s="68"/>
      <c r="AE10" s="1036"/>
      <c r="AF10" s="64"/>
      <c r="AG10" s="68">
        <v>675.99383999999998</v>
      </c>
    </row>
    <row r="11" spans="1:33">
      <c r="A11" s="25">
        <f t="shared" si="2"/>
        <v>5</v>
      </c>
      <c r="B11" s="37" t="s">
        <v>30</v>
      </c>
      <c r="C11" s="65"/>
      <c r="D11" s="65"/>
      <c r="E11" s="65"/>
      <c r="F11" s="65"/>
      <c r="G11" s="65">
        <f t="shared" si="3"/>
        <v>0</v>
      </c>
      <c r="H11" s="66">
        <f t="shared" si="3"/>
        <v>0</v>
      </c>
      <c r="I11" s="79"/>
      <c r="J11" s="80"/>
      <c r="K11" s="67"/>
      <c r="L11" s="68">
        <f t="shared" si="4"/>
        <v>0</v>
      </c>
      <c r="M11" s="1316"/>
      <c r="N11" s="76"/>
      <c r="O11" s="64"/>
      <c r="P11" s="68">
        <f t="shared" si="5"/>
        <v>0</v>
      </c>
      <c r="R11" s="25">
        <f t="shared" si="6"/>
        <v>5</v>
      </c>
      <c r="S11" s="37" t="s">
        <v>30</v>
      </c>
      <c r="T11" s="64"/>
      <c r="U11" s="65"/>
      <c r="V11" s="65"/>
      <c r="W11" s="65"/>
      <c r="X11" s="65"/>
      <c r="Y11" s="66"/>
      <c r="Z11" s="79"/>
      <c r="AA11" s="80"/>
      <c r="AB11" s="67"/>
      <c r="AC11" s="68"/>
      <c r="AD11" s="68"/>
      <c r="AE11" s="1036"/>
      <c r="AF11" s="64"/>
      <c r="AG11" s="68"/>
    </row>
    <row r="12" spans="1:33">
      <c r="A12" s="48">
        <f t="shared" si="2"/>
        <v>6</v>
      </c>
      <c r="B12" s="35" t="s">
        <v>42</v>
      </c>
      <c r="C12" s="60">
        <f>+C13+C17+C24+C25+C26</f>
        <v>104529.42600000001</v>
      </c>
      <c r="D12" s="60">
        <f>+D13+D17+D24+D25</f>
        <v>102586.75315999999</v>
      </c>
      <c r="E12" s="60">
        <f>+E13+E17+E24+E25</f>
        <v>0</v>
      </c>
      <c r="F12" s="60">
        <f>+F13+F17+F24+F25</f>
        <v>0</v>
      </c>
      <c r="G12" s="60">
        <f t="shared" si="3"/>
        <v>104529.42600000001</v>
      </c>
      <c r="H12" s="61">
        <f t="shared" si="3"/>
        <v>102586.75315999999</v>
      </c>
      <c r="I12" s="78"/>
      <c r="J12" s="78">
        <f>+J13+J17+J24+J25</f>
        <v>877.25</v>
      </c>
      <c r="K12" s="62">
        <f>+K13+K17+K24+K25</f>
        <v>524.80110000000002</v>
      </c>
      <c r="L12" s="63">
        <f t="shared" si="4"/>
        <v>1942.6728400000138</v>
      </c>
      <c r="M12" s="1317"/>
      <c r="N12" s="76"/>
      <c r="O12" s="59">
        <f>+O13+O17+O24+O25</f>
        <v>0</v>
      </c>
      <c r="P12" s="63">
        <f t="shared" si="5"/>
        <v>102586.75315999999</v>
      </c>
      <c r="R12" s="48">
        <f t="shared" si="6"/>
        <v>6</v>
      </c>
      <c r="S12" s="35" t="s">
        <v>42</v>
      </c>
      <c r="T12" s="59">
        <v>104529.42600000001</v>
      </c>
      <c r="U12" s="60">
        <v>102586.75315999999</v>
      </c>
      <c r="V12" s="60">
        <v>0</v>
      </c>
      <c r="W12" s="60">
        <v>0</v>
      </c>
      <c r="X12" s="60">
        <v>104529.42600000001</v>
      </c>
      <c r="Y12" s="61">
        <v>102586.75315999999</v>
      </c>
      <c r="Z12" s="78"/>
      <c r="AA12" s="78">
        <v>877.25</v>
      </c>
      <c r="AB12" s="62">
        <v>524.80110000000002</v>
      </c>
      <c r="AC12" s="63">
        <v>1942.6728400000138</v>
      </c>
      <c r="AD12" s="63"/>
      <c r="AE12" s="1036"/>
      <c r="AF12" s="59">
        <v>0</v>
      </c>
      <c r="AG12" s="63">
        <v>102586.75315999999</v>
      </c>
    </row>
    <row r="13" spans="1:33">
      <c r="A13" s="29">
        <f t="shared" si="2"/>
        <v>7</v>
      </c>
      <c r="B13" s="681" t="s">
        <v>51</v>
      </c>
      <c r="C13" s="81">
        <f>C14+C15</f>
        <v>46819</v>
      </c>
      <c r="D13" s="81">
        <f t="shared" ref="D13:L13" si="7">D14+D15</f>
        <v>46819</v>
      </c>
      <c r="E13" s="81">
        <f t="shared" si="7"/>
        <v>0</v>
      </c>
      <c r="F13" s="81">
        <f t="shared" si="7"/>
        <v>0</v>
      </c>
      <c r="G13" s="81">
        <f t="shared" si="7"/>
        <v>46819</v>
      </c>
      <c r="H13" s="702">
        <f t="shared" si="7"/>
        <v>46819</v>
      </c>
      <c r="I13" s="83">
        <f t="shared" si="7"/>
        <v>0</v>
      </c>
      <c r="J13" s="703">
        <f t="shared" si="7"/>
        <v>0</v>
      </c>
      <c r="K13" s="704">
        <f t="shared" si="7"/>
        <v>225.102</v>
      </c>
      <c r="L13" s="705">
        <f t="shared" si="7"/>
        <v>0</v>
      </c>
      <c r="M13" s="1318"/>
      <c r="N13" s="706"/>
      <c r="O13" s="85"/>
      <c r="P13" s="707">
        <f t="shared" si="5"/>
        <v>46819</v>
      </c>
      <c r="R13" s="29">
        <f t="shared" si="6"/>
        <v>7</v>
      </c>
      <c r="S13" s="36" t="s">
        <v>51</v>
      </c>
      <c r="T13" s="85">
        <v>46819</v>
      </c>
      <c r="U13" s="82">
        <v>46819</v>
      </c>
      <c r="V13" s="82">
        <v>0</v>
      </c>
      <c r="W13" s="82">
        <v>0</v>
      </c>
      <c r="X13" s="65">
        <v>46819</v>
      </c>
      <c r="Y13" s="66">
        <v>46819</v>
      </c>
      <c r="Z13" s="79">
        <v>0</v>
      </c>
      <c r="AA13" s="83">
        <v>0</v>
      </c>
      <c r="AB13" s="81">
        <v>225.102</v>
      </c>
      <c r="AC13" s="68">
        <v>0</v>
      </c>
      <c r="AD13" s="68"/>
      <c r="AE13" s="706"/>
      <c r="AF13" s="85"/>
      <c r="AG13" s="68">
        <v>46819</v>
      </c>
    </row>
    <row r="14" spans="1:33">
      <c r="A14" s="25">
        <f t="shared" si="2"/>
        <v>8</v>
      </c>
      <c r="B14" s="36" t="s">
        <v>61</v>
      </c>
      <c r="C14" s="86">
        <v>6595</v>
      </c>
      <c r="D14" s="86">
        <f>C14</f>
        <v>6595</v>
      </c>
      <c r="E14" s="82"/>
      <c r="F14" s="82"/>
      <c r="G14" s="65">
        <f t="shared" ref="G14:H16" si="8">+C14+E14</f>
        <v>6595</v>
      </c>
      <c r="H14" s="66">
        <f t="shared" si="8"/>
        <v>6595</v>
      </c>
      <c r="I14" s="79"/>
      <c r="J14" s="703"/>
      <c r="K14" s="86">
        <v>225.102</v>
      </c>
      <c r="L14" s="68">
        <f t="shared" si="4"/>
        <v>0</v>
      </c>
      <c r="M14" s="1316"/>
      <c r="N14" s="84"/>
      <c r="O14" s="85"/>
      <c r="P14" s="68">
        <f t="shared" si="5"/>
        <v>6595</v>
      </c>
      <c r="R14" s="29"/>
      <c r="S14" s="36" t="s">
        <v>61</v>
      </c>
      <c r="T14" s="85">
        <v>6595</v>
      </c>
      <c r="U14" s="82">
        <v>6595</v>
      </c>
      <c r="V14" s="82"/>
      <c r="W14" s="82"/>
      <c r="X14" s="65">
        <v>6595</v>
      </c>
      <c r="Y14" s="66">
        <v>6595</v>
      </c>
      <c r="Z14" s="79"/>
      <c r="AA14" s="83"/>
      <c r="AB14" s="81">
        <v>225.102</v>
      </c>
      <c r="AC14" s="68">
        <v>0</v>
      </c>
      <c r="AD14" s="68"/>
      <c r="AE14" s="706"/>
      <c r="AF14" s="85"/>
      <c r="AG14" s="68">
        <v>6595</v>
      </c>
    </row>
    <row r="15" spans="1:33">
      <c r="A15" s="25">
        <f t="shared" si="2"/>
        <v>9</v>
      </c>
      <c r="B15" s="708" t="s">
        <v>377</v>
      </c>
      <c r="C15" s="86">
        <v>40224</v>
      </c>
      <c r="D15" s="86">
        <v>40224</v>
      </c>
      <c r="E15" s="82"/>
      <c r="F15" s="82"/>
      <c r="G15" s="65">
        <f>C15</f>
        <v>40224</v>
      </c>
      <c r="H15" s="66">
        <f>D15</f>
        <v>40224</v>
      </c>
      <c r="I15" s="79"/>
      <c r="J15" s="703"/>
      <c r="K15" s="86"/>
      <c r="L15" s="68">
        <f t="shared" si="4"/>
        <v>0</v>
      </c>
      <c r="M15" s="1316"/>
      <c r="N15" s="84"/>
      <c r="O15" s="85"/>
      <c r="P15" s="68">
        <f t="shared" si="5"/>
        <v>40224</v>
      </c>
      <c r="R15" s="25">
        <f>R13+1</f>
        <v>8</v>
      </c>
      <c r="S15" s="37" t="s">
        <v>66</v>
      </c>
      <c r="T15" s="89">
        <v>40224</v>
      </c>
      <c r="U15" s="87">
        <v>40224</v>
      </c>
      <c r="V15" s="87"/>
      <c r="W15" s="87"/>
      <c r="X15" s="65">
        <v>40224</v>
      </c>
      <c r="Y15" s="66">
        <v>40224</v>
      </c>
      <c r="Z15" s="88"/>
      <c r="AA15" s="88"/>
      <c r="AB15" s="86"/>
      <c r="AC15" s="68">
        <v>0</v>
      </c>
      <c r="AD15" s="68"/>
      <c r="AE15" s="1036"/>
      <c r="AF15" s="89"/>
      <c r="AG15" s="68">
        <v>40224</v>
      </c>
    </row>
    <row r="16" spans="1:33">
      <c r="A16" s="25">
        <f t="shared" si="2"/>
        <v>10</v>
      </c>
      <c r="B16" s="37" t="s">
        <v>157</v>
      </c>
      <c r="C16" s="86"/>
      <c r="D16" s="87"/>
      <c r="E16" s="87"/>
      <c r="F16" s="87"/>
      <c r="G16" s="65">
        <f t="shared" si="8"/>
        <v>0</v>
      </c>
      <c r="H16" s="66">
        <f t="shared" si="8"/>
        <v>0</v>
      </c>
      <c r="I16" s="88"/>
      <c r="J16" s="267"/>
      <c r="K16" s="86"/>
      <c r="L16" s="68">
        <f t="shared" si="4"/>
        <v>0</v>
      </c>
      <c r="M16" s="1316"/>
      <c r="N16" s="76"/>
      <c r="O16" s="89"/>
      <c r="P16" s="68">
        <f t="shared" si="5"/>
        <v>0</v>
      </c>
      <c r="R16" s="29">
        <f t="shared" si="6"/>
        <v>9</v>
      </c>
      <c r="S16" s="36" t="s">
        <v>52</v>
      </c>
      <c r="T16" s="85">
        <v>12103.089</v>
      </c>
      <c r="U16" s="82">
        <v>11639.416160000001</v>
      </c>
      <c r="V16" s="82">
        <v>0</v>
      </c>
      <c r="W16" s="82">
        <v>0</v>
      </c>
      <c r="X16" s="65">
        <v>12103.089</v>
      </c>
      <c r="Y16" s="66">
        <v>11639.416160000001</v>
      </c>
      <c r="Z16" s="79">
        <v>0</v>
      </c>
      <c r="AA16" s="83">
        <v>877.25</v>
      </c>
      <c r="AB16" s="81">
        <v>225.16323</v>
      </c>
      <c r="AC16" s="68">
        <v>463.67283999999984</v>
      </c>
      <c r="AD16" s="68"/>
      <c r="AE16" s="706"/>
      <c r="AF16" s="85">
        <v>0</v>
      </c>
      <c r="AG16" s="68">
        <v>11639.416160000001</v>
      </c>
    </row>
    <row r="17" spans="1:33">
      <c r="A17" s="29">
        <f t="shared" si="2"/>
        <v>11</v>
      </c>
      <c r="B17" s="681" t="s">
        <v>52</v>
      </c>
      <c r="C17" s="81">
        <f>SUM(C18:C22)</f>
        <v>12103.089</v>
      </c>
      <c r="D17" s="82">
        <f t="shared" ref="D17:P17" si="9">SUM(D18:D22)</f>
        <v>11639.416160000001</v>
      </c>
      <c r="E17" s="82">
        <f t="shared" si="9"/>
        <v>0</v>
      </c>
      <c r="F17" s="82">
        <f t="shared" si="9"/>
        <v>0</v>
      </c>
      <c r="G17" s="709">
        <f t="shared" si="9"/>
        <v>12103.089</v>
      </c>
      <c r="H17" s="710">
        <f t="shared" si="9"/>
        <v>11639.416160000001</v>
      </c>
      <c r="I17" s="711">
        <f t="shared" si="9"/>
        <v>0</v>
      </c>
      <c r="J17" s="703">
        <f t="shared" si="9"/>
        <v>877.25</v>
      </c>
      <c r="K17" s="81">
        <f t="shared" si="9"/>
        <v>225.16323</v>
      </c>
      <c r="L17" s="707">
        <f t="shared" si="9"/>
        <v>463.67283999999984</v>
      </c>
      <c r="M17" s="1319"/>
      <c r="N17" s="84"/>
      <c r="O17" s="85">
        <f t="shared" si="9"/>
        <v>0</v>
      </c>
      <c r="P17" s="707">
        <f t="shared" si="9"/>
        <v>11639.416160000001</v>
      </c>
      <c r="R17" s="25">
        <f t="shared" si="6"/>
        <v>10</v>
      </c>
      <c r="S17" s="37" t="s">
        <v>30</v>
      </c>
      <c r="T17" s="89"/>
      <c r="U17" s="87"/>
      <c r="V17" s="87"/>
      <c r="W17" s="87"/>
      <c r="X17" s="65"/>
      <c r="Y17" s="66"/>
      <c r="Z17" s="88"/>
      <c r="AA17" s="88"/>
      <c r="AB17" s="86"/>
      <c r="AC17" s="68"/>
      <c r="AD17" s="68"/>
      <c r="AE17" s="1036"/>
      <c r="AF17" s="89"/>
      <c r="AG17" s="68"/>
    </row>
    <row r="18" spans="1:33">
      <c r="A18" s="25">
        <f t="shared" si="2"/>
        <v>12</v>
      </c>
      <c r="B18" s="708" t="s">
        <v>378</v>
      </c>
      <c r="C18" s="86">
        <v>526</v>
      </c>
      <c r="D18" s="87">
        <f>C18</f>
        <v>526</v>
      </c>
      <c r="E18" s="82"/>
      <c r="F18" s="82"/>
      <c r="G18" s="65">
        <f t="shared" ref="G18:H33" si="10">+C18+E18</f>
        <v>526</v>
      </c>
      <c r="H18" s="66">
        <f t="shared" si="10"/>
        <v>526</v>
      </c>
      <c r="I18" s="79"/>
      <c r="J18" s="703"/>
      <c r="K18" s="86"/>
      <c r="L18" s="68">
        <f t="shared" si="4"/>
        <v>0</v>
      </c>
      <c r="M18" s="1316"/>
      <c r="N18" s="84"/>
      <c r="O18" s="85"/>
      <c r="P18" s="68">
        <f t="shared" si="5"/>
        <v>526</v>
      </c>
      <c r="R18" s="29">
        <f t="shared" si="6"/>
        <v>11</v>
      </c>
      <c r="S18" s="36" t="s">
        <v>37</v>
      </c>
      <c r="T18" s="85">
        <v>44128.337</v>
      </c>
      <c r="U18" s="82">
        <v>44128.337</v>
      </c>
      <c r="V18" s="82"/>
      <c r="W18" s="82"/>
      <c r="X18" s="65">
        <v>44128.337</v>
      </c>
      <c r="Y18" s="66">
        <v>44128.337</v>
      </c>
      <c r="Z18" s="83"/>
      <c r="AA18" s="83"/>
      <c r="AB18" s="81">
        <v>74.535870000000003</v>
      </c>
      <c r="AC18" s="68">
        <v>0</v>
      </c>
      <c r="AD18" s="68"/>
      <c r="AE18" s="706"/>
      <c r="AF18" s="85"/>
      <c r="AG18" s="68">
        <v>44128.337</v>
      </c>
    </row>
    <row r="19" spans="1:33">
      <c r="A19" s="25">
        <f t="shared" si="2"/>
        <v>13</v>
      </c>
      <c r="B19" s="708" t="s">
        <v>379</v>
      </c>
      <c r="C19" s="86">
        <v>0</v>
      </c>
      <c r="D19" s="87">
        <f>C19</f>
        <v>0</v>
      </c>
      <c r="E19" s="82"/>
      <c r="F19" s="82"/>
      <c r="G19" s="65">
        <f t="shared" si="10"/>
        <v>0</v>
      </c>
      <c r="H19" s="66">
        <f t="shared" si="10"/>
        <v>0</v>
      </c>
      <c r="I19" s="79"/>
      <c r="J19" s="703"/>
      <c r="K19" s="86"/>
      <c r="L19" s="68">
        <f t="shared" si="4"/>
        <v>0</v>
      </c>
      <c r="M19" s="1316"/>
      <c r="N19" s="84"/>
      <c r="O19" s="85"/>
      <c r="P19" s="68">
        <f t="shared" si="5"/>
        <v>0</v>
      </c>
      <c r="R19" s="29">
        <f t="shared" si="6"/>
        <v>12</v>
      </c>
      <c r="S19" s="50" t="s">
        <v>38</v>
      </c>
      <c r="T19" s="85"/>
      <c r="U19" s="82"/>
      <c r="V19" s="82"/>
      <c r="W19" s="82"/>
      <c r="X19" s="65"/>
      <c r="Y19" s="66"/>
      <c r="Z19" s="83"/>
      <c r="AA19" s="83"/>
      <c r="AB19" s="81"/>
      <c r="AC19" s="68">
        <v>0</v>
      </c>
      <c r="AD19" s="68"/>
      <c r="AE19" s="706"/>
      <c r="AF19" s="85"/>
      <c r="AG19" s="68">
        <v>0</v>
      </c>
    </row>
    <row r="20" spans="1:33">
      <c r="A20" s="25">
        <f t="shared" si="2"/>
        <v>14</v>
      </c>
      <c r="B20" s="708" t="s">
        <v>380</v>
      </c>
      <c r="C20" s="86">
        <v>655</v>
      </c>
      <c r="D20" s="87">
        <f>C20-17.39855</f>
        <v>637.60145</v>
      </c>
      <c r="E20" s="82"/>
      <c r="F20" s="82"/>
      <c r="G20" s="65">
        <f t="shared" si="10"/>
        <v>655</v>
      </c>
      <c r="H20" s="66">
        <f t="shared" si="10"/>
        <v>637.60145</v>
      </c>
      <c r="I20" s="79"/>
      <c r="J20" s="703"/>
      <c r="K20" s="712"/>
      <c r="L20" s="68">
        <f t="shared" si="4"/>
        <v>17.39855</v>
      </c>
      <c r="M20" s="1316"/>
      <c r="N20" s="84"/>
      <c r="O20" s="85"/>
      <c r="P20" s="68">
        <f t="shared" si="5"/>
        <v>637.60145</v>
      </c>
      <c r="R20" s="25">
        <f t="shared" si="6"/>
        <v>13</v>
      </c>
      <c r="S20" s="37" t="s">
        <v>30</v>
      </c>
      <c r="T20" s="89"/>
      <c r="U20" s="87"/>
      <c r="V20" s="87"/>
      <c r="W20" s="87"/>
      <c r="X20" s="65"/>
      <c r="Y20" s="66"/>
      <c r="Z20" s="88"/>
      <c r="AA20" s="88"/>
      <c r="AB20" s="86"/>
      <c r="AC20" s="68"/>
      <c r="AD20" s="68"/>
      <c r="AE20" s="1036"/>
      <c r="AF20" s="89"/>
      <c r="AG20" s="68"/>
    </row>
    <row r="21" spans="1:33">
      <c r="A21" s="25">
        <f t="shared" si="2"/>
        <v>15</v>
      </c>
      <c r="B21" s="708" t="s">
        <v>381</v>
      </c>
      <c r="C21" s="86">
        <v>3724</v>
      </c>
      <c r="D21" s="87">
        <f>C21-446.27429</f>
        <v>3277.7257100000002</v>
      </c>
      <c r="E21" s="82"/>
      <c r="F21" s="82"/>
      <c r="G21" s="65">
        <f t="shared" si="10"/>
        <v>3724</v>
      </c>
      <c r="H21" s="66">
        <f t="shared" si="10"/>
        <v>3277.7257100000002</v>
      </c>
      <c r="I21" s="79"/>
      <c r="J21" s="703">
        <v>490</v>
      </c>
      <c r="K21" s="86"/>
      <c r="L21" s="68">
        <f t="shared" si="4"/>
        <v>446.27428999999984</v>
      </c>
      <c r="M21" s="1316"/>
      <c r="N21" s="84"/>
      <c r="O21" s="85"/>
      <c r="P21" s="68">
        <f t="shared" si="5"/>
        <v>3277.7257100000002</v>
      </c>
      <c r="R21" s="24">
        <f t="shared" si="6"/>
        <v>14</v>
      </c>
      <c r="S21" s="38" t="s">
        <v>29</v>
      </c>
      <c r="T21" s="70">
        <v>190870.454</v>
      </c>
      <c r="U21" s="71">
        <v>186651.72749999998</v>
      </c>
      <c r="V21" s="71">
        <v>1014</v>
      </c>
      <c r="W21" s="71">
        <v>1013.16</v>
      </c>
      <c r="X21" s="71">
        <v>191884.454</v>
      </c>
      <c r="Y21" s="72">
        <v>187664.88749999998</v>
      </c>
      <c r="Z21" s="90"/>
      <c r="AA21" s="1252">
        <v>79063.705990000002</v>
      </c>
      <c r="AB21" s="73">
        <v>1293.0700399999998</v>
      </c>
      <c r="AC21" s="74">
        <v>4219.566499999999</v>
      </c>
      <c r="AD21" s="74"/>
      <c r="AE21" s="1036"/>
      <c r="AF21" s="70">
        <v>0</v>
      </c>
      <c r="AG21" s="74">
        <v>187664.88749999998</v>
      </c>
    </row>
    <row r="22" spans="1:33">
      <c r="A22" s="25">
        <f t="shared" si="2"/>
        <v>16</v>
      </c>
      <c r="B22" s="708" t="s">
        <v>382</v>
      </c>
      <c r="C22" s="86">
        <v>7198.0889999999999</v>
      </c>
      <c r="D22" s="87">
        <f>C22</f>
        <v>7198.0889999999999</v>
      </c>
      <c r="E22" s="82"/>
      <c r="F22" s="82"/>
      <c r="G22" s="65">
        <f t="shared" si="10"/>
        <v>7198.0889999999999</v>
      </c>
      <c r="H22" s="66">
        <f t="shared" si="10"/>
        <v>7198.0889999999999</v>
      </c>
      <c r="I22" s="79"/>
      <c r="J22" s="703">
        <v>387.25</v>
      </c>
      <c r="K22" s="86">
        <v>225.16323</v>
      </c>
      <c r="L22" s="68">
        <f t="shared" si="4"/>
        <v>0</v>
      </c>
      <c r="M22" s="1316"/>
      <c r="N22" s="84"/>
      <c r="O22" s="85"/>
      <c r="P22" s="68">
        <f t="shared" si="5"/>
        <v>7198.0889999999999</v>
      </c>
      <c r="R22" s="46">
        <f t="shared" si="6"/>
        <v>15</v>
      </c>
      <c r="S22" s="43" t="s">
        <v>53</v>
      </c>
      <c r="T22" s="59"/>
      <c r="U22" s="60"/>
      <c r="V22" s="60"/>
      <c r="W22" s="60"/>
      <c r="X22" s="60"/>
      <c r="Y22" s="61"/>
      <c r="Z22" s="78"/>
      <c r="AA22" s="78"/>
      <c r="AB22" s="62"/>
      <c r="AC22" s="63"/>
      <c r="AD22" s="63"/>
      <c r="AE22" s="1036"/>
      <c r="AF22" s="59"/>
      <c r="AG22" s="63"/>
    </row>
    <row r="23" spans="1:33">
      <c r="A23" s="25">
        <f t="shared" si="2"/>
        <v>17</v>
      </c>
      <c r="B23" s="37" t="s">
        <v>30</v>
      </c>
      <c r="C23" s="86"/>
      <c r="D23" s="87"/>
      <c r="E23" s="87"/>
      <c r="F23" s="87"/>
      <c r="G23" s="65">
        <f t="shared" si="10"/>
        <v>0</v>
      </c>
      <c r="H23" s="66">
        <f t="shared" si="10"/>
        <v>0</v>
      </c>
      <c r="I23" s="88"/>
      <c r="J23" s="267"/>
      <c r="K23" s="86"/>
      <c r="L23" s="68">
        <f>+G23-H23</f>
        <v>0</v>
      </c>
      <c r="M23" s="1316"/>
      <c r="N23" s="76"/>
      <c r="O23" s="89"/>
      <c r="P23" s="68">
        <f>H23+O23</f>
        <v>0</v>
      </c>
      <c r="R23" s="25">
        <f t="shared" si="6"/>
        <v>16</v>
      </c>
      <c r="S23" s="37" t="s">
        <v>60</v>
      </c>
      <c r="T23" s="89"/>
      <c r="U23" s="87"/>
      <c r="V23" s="87"/>
      <c r="W23" s="87"/>
      <c r="X23" s="65"/>
      <c r="Y23" s="66"/>
      <c r="Z23" s="88"/>
      <c r="AA23" s="88"/>
      <c r="AB23" s="86"/>
      <c r="AC23" s="68"/>
      <c r="AD23" s="68"/>
      <c r="AE23" s="1036"/>
      <c r="AF23" s="89"/>
      <c r="AG23" s="68"/>
    </row>
    <row r="24" spans="1:33">
      <c r="A24" s="29">
        <f t="shared" si="2"/>
        <v>18</v>
      </c>
      <c r="B24" s="681" t="s">
        <v>37</v>
      </c>
      <c r="C24" s="81">
        <v>44128.337</v>
      </c>
      <c r="D24" s="82">
        <v>44128.337</v>
      </c>
      <c r="E24" s="82"/>
      <c r="F24" s="82"/>
      <c r="G24" s="709">
        <f t="shared" si="10"/>
        <v>44128.337</v>
      </c>
      <c r="H24" s="710">
        <f t="shared" si="10"/>
        <v>44128.337</v>
      </c>
      <c r="I24" s="83"/>
      <c r="J24" s="703"/>
      <c r="K24" s="81">
        <v>74.535870000000003</v>
      </c>
      <c r="L24" s="707">
        <f t="shared" si="4"/>
        <v>0</v>
      </c>
      <c r="M24" s="1319"/>
      <c r="N24" s="84"/>
      <c r="O24" s="85"/>
      <c r="P24" s="707">
        <f t="shared" si="5"/>
        <v>44128.337</v>
      </c>
      <c r="R24" s="46">
        <f t="shared" si="6"/>
        <v>17</v>
      </c>
      <c r="S24" s="47" t="s">
        <v>59</v>
      </c>
      <c r="T24" s="59">
        <v>120951</v>
      </c>
      <c r="U24" s="60">
        <v>116886.68857</v>
      </c>
      <c r="V24" s="60">
        <v>1014</v>
      </c>
      <c r="W24" s="60">
        <v>1013.16</v>
      </c>
      <c r="X24" s="60">
        <v>121965</v>
      </c>
      <c r="Y24" s="61">
        <v>117899.84857</v>
      </c>
      <c r="Z24" s="78"/>
      <c r="AA24" s="78">
        <v>49276.807000000001</v>
      </c>
      <c r="AB24" s="62">
        <v>889.76958999999999</v>
      </c>
      <c r="AC24" s="63">
        <v>4065.1514299999981</v>
      </c>
      <c r="AD24" s="63"/>
      <c r="AE24" s="1036"/>
      <c r="AF24" s="59">
        <v>0</v>
      </c>
      <c r="AG24" s="63">
        <v>117899.84857</v>
      </c>
    </row>
    <row r="25" spans="1:33">
      <c r="A25" s="29">
        <f t="shared" si="2"/>
        <v>19</v>
      </c>
      <c r="B25" s="682" t="s">
        <v>38</v>
      </c>
      <c r="C25" s="81"/>
      <c r="D25" s="82"/>
      <c r="E25" s="82"/>
      <c r="F25" s="82"/>
      <c r="G25" s="709"/>
      <c r="H25" s="710"/>
      <c r="I25" s="83"/>
      <c r="J25" s="703"/>
      <c r="K25" s="81"/>
      <c r="L25" s="707">
        <f t="shared" si="4"/>
        <v>0</v>
      </c>
      <c r="M25" s="1319"/>
      <c r="N25" s="84"/>
      <c r="O25" s="85"/>
      <c r="P25" s="707">
        <f t="shared" si="5"/>
        <v>0</v>
      </c>
      <c r="R25" s="25">
        <f t="shared" si="6"/>
        <v>18</v>
      </c>
      <c r="S25" s="37" t="s">
        <v>60</v>
      </c>
      <c r="T25" s="89">
        <v>120951</v>
      </c>
      <c r="U25" s="87">
        <v>116886.68857</v>
      </c>
      <c r="V25" s="87">
        <v>1014</v>
      </c>
      <c r="W25" s="87">
        <v>1013.16</v>
      </c>
      <c r="X25" s="65">
        <v>121965</v>
      </c>
      <c r="Y25" s="66">
        <v>117899.84857</v>
      </c>
      <c r="Z25" s="88"/>
      <c r="AA25" s="88">
        <v>49276.807000000001</v>
      </c>
      <c r="AB25" s="86">
        <v>889.76958999999999</v>
      </c>
      <c r="AC25" s="68">
        <v>4065.1514299999981</v>
      </c>
      <c r="AD25" s="68"/>
      <c r="AE25" s="1036"/>
      <c r="AF25" s="89"/>
      <c r="AG25" s="68">
        <v>117899.84857</v>
      </c>
    </row>
    <row r="26" spans="1:33">
      <c r="A26" s="29">
        <f t="shared" si="2"/>
        <v>20</v>
      </c>
      <c r="B26" s="713" t="s">
        <v>383</v>
      </c>
      <c r="C26" s="81">
        <v>1479</v>
      </c>
      <c r="D26" s="82">
        <v>995.20232999999996</v>
      </c>
      <c r="E26" s="82"/>
      <c r="F26" s="82"/>
      <c r="G26" s="709">
        <f>+C26+E26</f>
        <v>1479</v>
      </c>
      <c r="H26" s="710">
        <f>+D26+F26</f>
        <v>995.20232999999996</v>
      </c>
      <c r="I26" s="83"/>
      <c r="J26" s="703"/>
      <c r="K26" s="81"/>
      <c r="L26" s="707">
        <f t="shared" si="4"/>
        <v>483.79767000000004</v>
      </c>
      <c r="M26" s="1319"/>
      <c r="N26" s="84"/>
      <c r="O26" s="85"/>
      <c r="P26" s="707">
        <f t="shared" si="5"/>
        <v>995.20232999999996</v>
      </c>
      <c r="R26" s="46">
        <f t="shared" si="6"/>
        <v>19</v>
      </c>
      <c r="S26" s="47" t="s">
        <v>54</v>
      </c>
      <c r="T26" s="59">
        <v>38304.964</v>
      </c>
      <c r="U26" s="60">
        <v>38298.943899999998</v>
      </c>
      <c r="V26" s="60">
        <v>0</v>
      </c>
      <c r="W26" s="60">
        <v>0</v>
      </c>
      <c r="X26" s="60">
        <v>38304.964</v>
      </c>
      <c r="Y26" s="61">
        <v>38298.943899999998</v>
      </c>
      <c r="Z26" s="78"/>
      <c r="AA26" s="78">
        <v>27004.418989999998</v>
      </c>
      <c r="AB26" s="62">
        <v>29.466180000000001</v>
      </c>
      <c r="AC26" s="63">
        <v>6.0201000000015483</v>
      </c>
      <c r="AD26" s="63"/>
      <c r="AE26" s="1036"/>
      <c r="AF26" s="59">
        <v>0</v>
      </c>
      <c r="AG26" s="63">
        <v>38298.943899999998</v>
      </c>
    </row>
    <row r="27" spans="1:33">
      <c r="A27" s="29">
        <f t="shared" si="2"/>
        <v>21</v>
      </c>
      <c r="B27" s="37" t="s">
        <v>30</v>
      </c>
      <c r="C27" s="86"/>
      <c r="D27" s="87"/>
      <c r="E27" s="87"/>
      <c r="F27" s="87"/>
      <c r="G27" s="65">
        <f t="shared" si="10"/>
        <v>0</v>
      </c>
      <c r="H27" s="66">
        <f t="shared" si="10"/>
        <v>0</v>
      </c>
      <c r="I27" s="88"/>
      <c r="J27" s="267"/>
      <c r="K27" s="86"/>
      <c r="L27" s="68">
        <f t="shared" si="4"/>
        <v>0</v>
      </c>
      <c r="M27" s="1316"/>
      <c r="N27" s="76"/>
      <c r="O27" s="89"/>
      <c r="P27" s="68">
        <f t="shared" si="5"/>
        <v>0</v>
      </c>
      <c r="R27" s="25">
        <f t="shared" si="6"/>
        <v>20</v>
      </c>
      <c r="S27" s="37" t="s">
        <v>60</v>
      </c>
      <c r="T27" s="94">
        <v>38304.964</v>
      </c>
      <c r="U27" s="92">
        <v>38298.943899999998</v>
      </c>
      <c r="V27" s="92"/>
      <c r="W27" s="92"/>
      <c r="X27" s="65">
        <v>38304.964</v>
      </c>
      <c r="Y27" s="66">
        <v>38298.943899999998</v>
      </c>
      <c r="Z27" s="93"/>
      <c r="AA27" s="93">
        <v>27004.418989999998</v>
      </c>
      <c r="AB27" s="91">
        <v>29.466180000000001</v>
      </c>
      <c r="AC27" s="68">
        <v>6.0201000000015483</v>
      </c>
      <c r="AD27" s="68"/>
      <c r="AE27" s="1036"/>
      <c r="AF27" s="94"/>
      <c r="AG27" s="68">
        <v>38298.943899999998</v>
      </c>
    </row>
    <row r="28" spans="1:33">
      <c r="A28" s="24">
        <f t="shared" si="2"/>
        <v>22</v>
      </c>
      <c r="B28" s="38" t="s">
        <v>29</v>
      </c>
      <c r="C28" s="261">
        <f>+C29+C37+C39</f>
        <v>190870.454</v>
      </c>
      <c r="D28" s="256">
        <f>+D29+D37+D39</f>
        <v>186651.72749999998</v>
      </c>
      <c r="E28" s="256">
        <f>+E29+E37+E39</f>
        <v>1014</v>
      </c>
      <c r="F28" s="256">
        <f>+F29+F37+F39</f>
        <v>1013.16</v>
      </c>
      <c r="G28" s="256">
        <f t="shared" si="10"/>
        <v>191884.454</v>
      </c>
      <c r="H28" s="274">
        <f t="shared" si="10"/>
        <v>187664.88749999998</v>
      </c>
      <c r="I28" s="259"/>
      <c r="J28" s="259">
        <f>+J29+J37+J39</f>
        <v>79063.705990000002</v>
      </c>
      <c r="K28" s="260">
        <f>+K29+K37+K39</f>
        <v>1293.0700399999998</v>
      </c>
      <c r="L28" s="260">
        <f>+L29+L37+L39</f>
        <v>4219.566499999999</v>
      </c>
      <c r="M28" s="1320"/>
      <c r="N28" s="84"/>
      <c r="O28" s="261">
        <f>+O29+O37+O39</f>
        <v>0</v>
      </c>
      <c r="P28" s="275">
        <f>H28+O28</f>
        <v>187664.88749999998</v>
      </c>
      <c r="R28" s="24">
        <f t="shared" si="6"/>
        <v>21</v>
      </c>
      <c r="S28" s="38" t="s">
        <v>27</v>
      </c>
      <c r="T28" s="70"/>
      <c r="U28" s="71"/>
      <c r="V28" s="71"/>
      <c r="W28" s="71"/>
      <c r="X28" s="71"/>
      <c r="Y28" s="72"/>
      <c r="Z28" s="90"/>
      <c r="AA28" s="90"/>
      <c r="AB28" s="73"/>
      <c r="AC28" s="74"/>
      <c r="AD28" s="74"/>
      <c r="AE28" s="1036"/>
      <c r="AF28" s="70"/>
      <c r="AG28" s="74"/>
    </row>
    <row r="29" spans="1:33">
      <c r="A29" s="46">
        <f t="shared" si="2"/>
        <v>23</v>
      </c>
      <c r="B29" s="43" t="s">
        <v>384</v>
      </c>
      <c r="C29" s="51">
        <f>SUM(C30:C33)</f>
        <v>31614.489999999998</v>
      </c>
      <c r="D29" s="51">
        <f t="shared" ref="D29:L29" si="11">SUM(D30:D33)</f>
        <v>31466.095029999997</v>
      </c>
      <c r="E29" s="51">
        <f t="shared" si="11"/>
        <v>0</v>
      </c>
      <c r="F29" s="51">
        <f t="shared" si="11"/>
        <v>0</v>
      </c>
      <c r="G29" s="51">
        <f t="shared" si="11"/>
        <v>31614.489999999998</v>
      </c>
      <c r="H29" s="696">
        <f t="shared" si="11"/>
        <v>31466.095029999997</v>
      </c>
      <c r="I29" s="698">
        <f t="shared" si="11"/>
        <v>0</v>
      </c>
      <c r="J29" s="698">
        <f t="shared" si="11"/>
        <v>2782.48</v>
      </c>
      <c r="K29" s="698">
        <f t="shared" si="11"/>
        <v>373.83427</v>
      </c>
      <c r="L29" s="714">
        <f t="shared" si="11"/>
        <v>148.39496999999983</v>
      </c>
      <c r="M29" s="1321"/>
      <c r="N29" s="706"/>
      <c r="O29" s="701">
        <f>+O36</f>
        <v>0</v>
      </c>
      <c r="P29" s="700">
        <f t="shared" si="5"/>
        <v>31466.095029999997</v>
      </c>
      <c r="R29" s="29">
        <f t="shared" si="6"/>
        <v>22</v>
      </c>
      <c r="S29" s="43" t="s">
        <v>34</v>
      </c>
      <c r="T29" s="59"/>
      <c r="U29" s="60"/>
      <c r="V29" s="60"/>
      <c r="W29" s="60"/>
      <c r="X29" s="60"/>
      <c r="Y29" s="61"/>
      <c r="Z29" s="78"/>
      <c r="AA29" s="78"/>
      <c r="AB29" s="62"/>
      <c r="AC29" s="63"/>
      <c r="AD29" s="63"/>
      <c r="AE29" s="1036"/>
      <c r="AF29" s="59"/>
      <c r="AG29" s="63"/>
    </row>
    <row r="30" spans="1:33">
      <c r="A30" s="715">
        <f t="shared" si="2"/>
        <v>24</v>
      </c>
      <c r="B30" s="716" t="s">
        <v>201</v>
      </c>
      <c r="C30" s="67">
        <v>16880.8</v>
      </c>
      <c r="D30" s="65">
        <v>16880.8</v>
      </c>
      <c r="E30" s="65"/>
      <c r="F30" s="65"/>
      <c r="G30" s="65">
        <f t="shared" si="10"/>
        <v>16880.8</v>
      </c>
      <c r="H30" s="66">
        <f t="shared" si="10"/>
        <v>16880.8</v>
      </c>
      <c r="I30" s="80"/>
      <c r="J30" s="80"/>
      <c r="K30" s="67">
        <v>305.28672</v>
      </c>
      <c r="L30" s="68">
        <f t="shared" ref="L30:L35" si="12">+G30-H30</f>
        <v>0</v>
      </c>
      <c r="M30" s="1316"/>
      <c r="N30" s="76"/>
      <c r="O30" s="64"/>
      <c r="P30" s="68">
        <f t="shared" si="5"/>
        <v>16880.8</v>
      </c>
      <c r="R30" s="25">
        <f t="shared" si="6"/>
        <v>23</v>
      </c>
      <c r="S30" s="37" t="s">
        <v>60</v>
      </c>
      <c r="T30" s="94"/>
      <c r="U30" s="92"/>
      <c r="V30" s="92"/>
      <c r="W30" s="92"/>
      <c r="X30" s="65"/>
      <c r="Y30" s="66"/>
      <c r="Z30" s="93"/>
      <c r="AA30" s="93"/>
      <c r="AB30" s="91"/>
      <c r="AC30" s="68"/>
      <c r="AD30" s="68"/>
      <c r="AE30" s="1036"/>
      <c r="AF30" s="94"/>
      <c r="AG30" s="68"/>
    </row>
    <row r="31" spans="1:33">
      <c r="A31" s="715">
        <f t="shared" si="2"/>
        <v>25</v>
      </c>
      <c r="B31" s="716" t="s">
        <v>197</v>
      </c>
      <c r="C31" s="67">
        <v>3733</v>
      </c>
      <c r="D31" s="65">
        <f>3733-148.39497</f>
        <v>3584.6050300000002</v>
      </c>
      <c r="E31" s="65"/>
      <c r="F31" s="65"/>
      <c r="G31" s="65">
        <f t="shared" si="10"/>
        <v>3733</v>
      </c>
      <c r="H31" s="66">
        <f t="shared" si="10"/>
        <v>3584.6050300000002</v>
      </c>
      <c r="I31" s="80"/>
      <c r="J31" s="80"/>
      <c r="K31" s="67"/>
      <c r="L31" s="68">
        <f t="shared" si="12"/>
        <v>148.39496999999983</v>
      </c>
      <c r="M31" s="1316"/>
      <c r="N31" s="76"/>
      <c r="O31" s="64"/>
      <c r="P31" s="68">
        <f t="shared" si="5"/>
        <v>3584.6050300000002</v>
      </c>
      <c r="R31" s="24">
        <f t="shared" si="6"/>
        <v>24</v>
      </c>
      <c r="S31" s="38" t="s">
        <v>32</v>
      </c>
      <c r="T31" s="70">
        <v>41984.220950000003</v>
      </c>
      <c r="U31" s="71">
        <v>41984.22395</v>
      </c>
      <c r="V31" s="71">
        <v>1229.3202799999999</v>
      </c>
      <c r="W31" s="71">
        <v>1229.3202799999999</v>
      </c>
      <c r="X31" s="71">
        <v>43213.541230000003</v>
      </c>
      <c r="Y31" s="72">
        <v>43213.54423</v>
      </c>
      <c r="Z31" s="90"/>
      <c r="AA31" s="90">
        <v>761.78099999999995</v>
      </c>
      <c r="AB31" s="73">
        <v>0</v>
      </c>
      <c r="AC31" s="74">
        <v>-2.9999999969732016E-3</v>
      </c>
      <c r="AD31" s="74"/>
      <c r="AE31" s="1036"/>
      <c r="AF31" s="70">
        <v>0</v>
      </c>
      <c r="AG31" s="74">
        <v>43213.54423</v>
      </c>
    </row>
    <row r="32" spans="1:33">
      <c r="A32" s="715">
        <f t="shared" si="2"/>
        <v>26</v>
      </c>
      <c r="B32" s="716" t="s">
        <v>199</v>
      </c>
      <c r="C32" s="67">
        <v>8692.69</v>
      </c>
      <c r="D32" s="67">
        <v>8692.69</v>
      </c>
      <c r="E32" s="65"/>
      <c r="F32" s="65"/>
      <c r="G32" s="65">
        <f t="shared" si="10"/>
        <v>8692.69</v>
      </c>
      <c r="H32" s="66">
        <f t="shared" si="10"/>
        <v>8692.69</v>
      </c>
      <c r="I32" s="80"/>
      <c r="J32" s="80">
        <v>2782.48</v>
      </c>
      <c r="K32" s="67">
        <v>68.547550000000001</v>
      </c>
      <c r="L32" s="68">
        <f t="shared" si="12"/>
        <v>0</v>
      </c>
      <c r="M32" s="1316"/>
      <c r="N32" s="76"/>
      <c r="O32" s="64"/>
      <c r="P32" s="68">
        <f t="shared" si="5"/>
        <v>8692.69</v>
      </c>
      <c r="R32" s="46">
        <f t="shared" si="6"/>
        <v>25</v>
      </c>
      <c r="S32" s="47" t="s">
        <v>39</v>
      </c>
      <c r="T32" s="59"/>
      <c r="U32" s="60"/>
      <c r="V32" s="60"/>
      <c r="W32" s="60"/>
      <c r="X32" s="60"/>
      <c r="Y32" s="61"/>
      <c r="Z32" s="78"/>
      <c r="AA32" s="78"/>
      <c r="AB32" s="62"/>
      <c r="AC32" s="63"/>
      <c r="AD32" s="63"/>
      <c r="AE32" s="1036"/>
      <c r="AF32" s="59"/>
      <c r="AG32" s="63"/>
    </row>
    <row r="33" spans="1:33" ht="15.75" thickBot="1">
      <c r="A33" s="715">
        <f t="shared" si="2"/>
        <v>27</v>
      </c>
      <c r="B33" s="716" t="s">
        <v>198</v>
      </c>
      <c r="C33" s="67">
        <v>2308</v>
      </c>
      <c r="D33" s="67">
        <v>2308</v>
      </c>
      <c r="E33" s="65"/>
      <c r="F33" s="65"/>
      <c r="G33" s="65">
        <f t="shared" si="10"/>
        <v>2308</v>
      </c>
      <c r="H33" s="66">
        <f t="shared" si="10"/>
        <v>2308</v>
      </c>
      <c r="I33" s="80"/>
      <c r="J33" s="80"/>
      <c r="K33" s="67"/>
      <c r="L33" s="68">
        <f t="shared" si="12"/>
        <v>0</v>
      </c>
      <c r="M33" s="1316"/>
      <c r="N33" s="76"/>
      <c r="O33" s="64"/>
      <c r="P33" s="68">
        <f t="shared" si="5"/>
        <v>2308</v>
      </c>
      <c r="R33" s="25">
        <f t="shared" si="6"/>
        <v>26</v>
      </c>
      <c r="S33" s="37" t="s">
        <v>60</v>
      </c>
      <c r="T33" s="89"/>
      <c r="U33" s="87"/>
      <c r="V33" s="87"/>
      <c r="W33" s="87"/>
      <c r="X33" s="65"/>
      <c r="Y33" s="66"/>
      <c r="Z33" s="88"/>
      <c r="AA33" s="88"/>
      <c r="AB33" s="86"/>
      <c r="AC33" s="68"/>
      <c r="AD33" s="68"/>
      <c r="AE33" s="1036"/>
      <c r="AF33" s="89"/>
      <c r="AG33" s="68"/>
    </row>
    <row r="34" spans="1:33" ht="15.75" thickBot="1">
      <c r="A34" s="715">
        <f t="shared" si="2"/>
        <v>28</v>
      </c>
      <c r="B34" s="717"/>
      <c r="C34" s="67"/>
      <c r="D34" s="65"/>
      <c r="E34" s="65"/>
      <c r="F34" s="65"/>
      <c r="G34" s="65">
        <f t="shared" ref="G34:H36" si="13">+C34+E34</f>
        <v>0</v>
      </c>
      <c r="H34" s="66">
        <f t="shared" si="13"/>
        <v>0</v>
      </c>
      <c r="I34" s="80"/>
      <c r="J34" s="80"/>
      <c r="K34" s="67"/>
      <c r="L34" s="68">
        <f t="shared" si="12"/>
        <v>0</v>
      </c>
      <c r="M34" s="1316"/>
      <c r="N34" s="76"/>
      <c r="O34" s="64"/>
      <c r="P34" s="68">
        <f t="shared" si="5"/>
        <v>0</v>
      </c>
      <c r="R34" s="31">
        <f t="shared" si="6"/>
        <v>27</v>
      </c>
      <c r="S34" s="39" t="s">
        <v>23</v>
      </c>
      <c r="T34" s="95">
        <v>601928.15795000002</v>
      </c>
      <c r="U34" s="96">
        <v>595498.61544999992</v>
      </c>
      <c r="V34" s="96">
        <v>2243.3202799999999</v>
      </c>
      <c r="W34" s="96">
        <v>2242.4802799999998</v>
      </c>
      <c r="X34" s="96">
        <v>604171.47823000001</v>
      </c>
      <c r="Y34" s="97">
        <v>597741.09572999994</v>
      </c>
      <c r="Z34" s="98"/>
      <c r="AA34" s="98">
        <v>80702.736990000005</v>
      </c>
      <c r="AB34" s="99">
        <v>6517.9602399999994</v>
      </c>
      <c r="AC34" s="100">
        <v>6430.3825000000161</v>
      </c>
      <c r="AD34" s="100"/>
      <c r="AE34" s="101"/>
      <c r="AF34" s="95">
        <v>0</v>
      </c>
      <c r="AG34" s="100">
        <v>597741.09572999994</v>
      </c>
    </row>
    <row r="35" spans="1:33">
      <c r="A35" s="715">
        <f t="shared" si="2"/>
        <v>29</v>
      </c>
      <c r="B35" s="717"/>
      <c r="C35" s="67"/>
      <c r="D35" s="65"/>
      <c r="E35" s="65"/>
      <c r="F35" s="65"/>
      <c r="G35" s="65">
        <f t="shared" si="13"/>
        <v>0</v>
      </c>
      <c r="H35" s="66">
        <f t="shared" si="13"/>
        <v>0</v>
      </c>
      <c r="I35" s="80"/>
      <c r="J35" s="80"/>
      <c r="K35" s="67"/>
      <c r="L35" s="68">
        <f t="shared" si="12"/>
        <v>0</v>
      </c>
      <c r="M35" s="1316"/>
      <c r="N35" s="76"/>
      <c r="O35" s="64"/>
      <c r="P35" s="68">
        <f t="shared" si="5"/>
        <v>0</v>
      </c>
    </row>
    <row r="36" spans="1:33">
      <c r="A36" s="25">
        <f t="shared" si="2"/>
        <v>30</v>
      </c>
      <c r="B36" s="37" t="s">
        <v>60</v>
      </c>
      <c r="C36" s="86"/>
      <c r="D36" s="87"/>
      <c r="E36" s="87"/>
      <c r="F36" s="87"/>
      <c r="G36" s="65">
        <f t="shared" si="13"/>
        <v>0</v>
      </c>
      <c r="H36" s="66">
        <f t="shared" si="13"/>
        <v>0</v>
      </c>
      <c r="I36" s="88"/>
      <c r="J36" s="267"/>
      <c r="K36" s="86"/>
      <c r="L36" s="68">
        <f>+G36-H36</f>
        <v>0</v>
      </c>
      <c r="M36" s="1316"/>
      <c r="N36" s="76"/>
      <c r="O36" s="89"/>
      <c r="P36" s="68">
        <f t="shared" si="5"/>
        <v>0</v>
      </c>
    </row>
    <row r="37" spans="1:33">
      <c r="A37" s="46">
        <f t="shared" si="2"/>
        <v>31</v>
      </c>
      <c r="B37" s="47" t="s">
        <v>59</v>
      </c>
      <c r="C37" s="51">
        <f>+C38</f>
        <v>120951</v>
      </c>
      <c r="D37" s="51">
        <f t="shared" ref="D37:O37" si="14">+D38</f>
        <v>116886.68857</v>
      </c>
      <c r="E37" s="51">
        <f t="shared" si="14"/>
        <v>1014</v>
      </c>
      <c r="F37" s="51">
        <f t="shared" si="14"/>
        <v>1013.16</v>
      </c>
      <c r="G37" s="51">
        <f t="shared" si="14"/>
        <v>121965</v>
      </c>
      <c r="H37" s="696">
        <f t="shared" si="14"/>
        <v>117899.84857</v>
      </c>
      <c r="I37" s="698"/>
      <c r="J37" s="698">
        <f t="shared" si="14"/>
        <v>49276.807000000001</v>
      </c>
      <c r="K37" s="699">
        <f t="shared" si="14"/>
        <v>889.76958999999999</v>
      </c>
      <c r="L37" s="700">
        <f t="shared" si="14"/>
        <v>4065.1514299999981</v>
      </c>
      <c r="M37" s="1315"/>
      <c r="N37" s="84"/>
      <c r="O37" s="701">
        <f t="shared" si="14"/>
        <v>0</v>
      </c>
      <c r="P37" s="700">
        <f t="shared" si="5"/>
        <v>117899.84857</v>
      </c>
    </row>
    <row r="38" spans="1:33">
      <c r="A38" s="25">
        <f t="shared" si="2"/>
        <v>32</v>
      </c>
      <c r="B38" s="37" t="s">
        <v>60</v>
      </c>
      <c r="C38" s="86">
        <v>120951</v>
      </c>
      <c r="D38" s="87">
        <f>C38-4064.31143</f>
        <v>116886.68857</v>
      </c>
      <c r="E38" s="87">
        <v>1014</v>
      </c>
      <c r="F38" s="87">
        <f>E38-0.84</f>
        <v>1013.16</v>
      </c>
      <c r="G38" s="65">
        <f>+C38+E38</f>
        <v>121965</v>
      </c>
      <c r="H38" s="66">
        <f>+D38+F38</f>
        <v>117899.84857</v>
      </c>
      <c r="I38" s="88"/>
      <c r="J38" s="267">
        <v>49276.807000000001</v>
      </c>
      <c r="K38" s="86">
        <v>889.76958999999999</v>
      </c>
      <c r="L38" s="68">
        <f>+G38-H38</f>
        <v>4065.1514299999981</v>
      </c>
      <c r="M38" s="1316"/>
      <c r="N38" s="76"/>
      <c r="O38" s="89"/>
      <c r="P38" s="68">
        <f t="shared" si="5"/>
        <v>117899.84857</v>
      </c>
    </row>
    <row r="39" spans="1:33">
      <c r="A39" s="46">
        <f t="shared" si="2"/>
        <v>33</v>
      </c>
      <c r="B39" s="47" t="s">
        <v>54</v>
      </c>
      <c r="C39" s="51">
        <f>+C40</f>
        <v>38304.964</v>
      </c>
      <c r="D39" s="51">
        <f t="shared" ref="D39:O39" si="15">+D40</f>
        <v>38298.943899999998</v>
      </c>
      <c r="E39" s="51">
        <f t="shared" si="15"/>
        <v>0</v>
      </c>
      <c r="F39" s="51">
        <f t="shared" si="15"/>
        <v>0</v>
      </c>
      <c r="G39" s="51">
        <f t="shared" si="15"/>
        <v>38304.964</v>
      </c>
      <c r="H39" s="696">
        <f t="shared" si="15"/>
        <v>38298.943899999998</v>
      </c>
      <c r="I39" s="698"/>
      <c r="J39" s="698">
        <f t="shared" si="15"/>
        <v>27004.418989999998</v>
      </c>
      <c r="K39" s="699">
        <f t="shared" si="15"/>
        <v>29.466180000000001</v>
      </c>
      <c r="L39" s="700">
        <f t="shared" si="15"/>
        <v>6.0201000000015483</v>
      </c>
      <c r="M39" s="1315"/>
      <c r="N39" s="84"/>
      <c r="O39" s="701">
        <f t="shared" si="15"/>
        <v>0</v>
      </c>
      <c r="P39" s="700">
        <f t="shared" si="5"/>
        <v>38298.943899999998</v>
      </c>
    </row>
    <row r="40" spans="1:33">
      <c r="A40" s="25">
        <f t="shared" si="2"/>
        <v>34</v>
      </c>
      <c r="B40" s="37" t="s">
        <v>60</v>
      </c>
      <c r="C40" s="91">
        <v>38304.964</v>
      </c>
      <c r="D40" s="91">
        <f>C40-6.0201</f>
        <v>38298.943899999998</v>
      </c>
      <c r="E40" s="92"/>
      <c r="F40" s="92"/>
      <c r="G40" s="65">
        <f>+C40+E40</f>
        <v>38304.964</v>
      </c>
      <c r="H40" s="66">
        <f>+D40+F40</f>
        <v>38298.943899999998</v>
      </c>
      <c r="I40" s="93"/>
      <c r="J40" s="718">
        <v>27004.418989999998</v>
      </c>
      <c r="K40" s="91">
        <v>29.466180000000001</v>
      </c>
      <c r="L40" s="68">
        <f>+G40-H40</f>
        <v>6.0201000000015483</v>
      </c>
      <c r="M40" s="1316"/>
      <c r="N40" s="76"/>
      <c r="O40" s="94"/>
      <c r="P40" s="68">
        <f t="shared" si="5"/>
        <v>38298.943899999998</v>
      </c>
    </row>
    <row r="41" spans="1:33">
      <c r="A41" s="24">
        <f t="shared" si="2"/>
        <v>35</v>
      </c>
      <c r="B41" s="38" t="s">
        <v>27</v>
      </c>
      <c r="C41" s="261">
        <f>+C42</f>
        <v>0</v>
      </c>
      <c r="D41" s="256">
        <f t="shared" ref="D41:O42" si="16">+D42</f>
        <v>0</v>
      </c>
      <c r="E41" s="256">
        <f t="shared" si="16"/>
        <v>0</v>
      </c>
      <c r="F41" s="256">
        <f t="shared" si="16"/>
        <v>0</v>
      </c>
      <c r="G41" s="256">
        <f>+C41+E41</f>
        <v>0</v>
      </c>
      <c r="H41" s="274">
        <f>+D41+F41</f>
        <v>0</v>
      </c>
      <c r="I41" s="259"/>
      <c r="J41" s="259">
        <f>+J42</f>
        <v>0</v>
      </c>
      <c r="K41" s="260">
        <f>+K42</f>
        <v>0</v>
      </c>
      <c r="L41" s="275">
        <f>+G41-H41</f>
        <v>0</v>
      </c>
      <c r="M41" s="1314"/>
      <c r="N41" s="84"/>
      <c r="O41" s="261">
        <f>+O42</f>
        <v>0</v>
      </c>
      <c r="P41" s="275">
        <f>H41+O41</f>
        <v>0</v>
      </c>
    </row>
    <row r="42" spans="1:33">
      <c r="A42" s="29">
        <f t="shared" si="2"/>
        <v>36</v>
      </c>
      <c r="B42" s="43" t="s">
        <v>34</v>
      </c>
      <c r="C42" s="51">
        <f>+C43</f>
        <v>0</v>
      </c>
      <c r="D42" s="51">
        <f t="shared" si="16"/>
        <v>0</v>
      </c>
      <c r="E42" s="51">
        <f t="shared" si="16"/>
        <v>0</v>
      </c>
      <c r="F42" s="51">
        <f t="shared" si="16"/>
        <v>0</v>
      </c>
      <c r="G42" s="51">
        <f t="shared" si="16"/>
        <v>0</v>
      </c>
      <c r="H42" s="696">
        <f t="shared" si="16"/>
        <v>0</v>
      </c>
      <c r="I42" s="698"/>
      <c r="J42" s="698">
        <f t="shared" si="16"/>
        <v>0</v>
      </c>
      <c r="K42" s="699">
        <f t="shared" si="16"/>
        <v>0</v>
      </c>
      <c r="L42" s="700">
        <f t="shared" si="16"/>
        <v>0</v>
      </c>
      <c r="M42" s="1315"/>
      <c r="N42" s="84"/>
      <c r="O42" s="701">
        <f t="shared" si="16"/>
        <v>0</v>
      </c>
      <c r="P42" s="700">
        <f t="shared" si="5"/>
        <v>0</v>
      </c>
    </row>
    <row r="43" spans="1:33">
      <c r="A43" s="25">
        <f t="shared" si="2"/>
        <v>37</v>
      </c>
      <c r="B43" s="37" t="s">
        <v>60</v>
      </c>
      <c r="C43" s="91"/>
      <c r="D43" s="92"/>
      <c r="E43" s="92"/>
      <c r="F43" s="92"/>
      <c r="G43" s="65">
        <f>+C43+E43</f>
        <v>0</v>
      </c>
      <c r="H43" s="66">
        <f>+D43+F43</f>
        <v>0</v>
      </c>
      <c r="I43" s="93"/>
      <c r="J43" s="718"/>
      <c r="K43" s="91"/>
      <c r="L43" s="68">
        <f>+G43-H43</f>
        <v>0</v>
      </c>
      <c r="M43" s="1316"/>
      <c r="N43" s="76"/>
      <c r="O43" s="94"/>
      <c r="P43" s="68">
        <f t="shared" si="5"/>
        <v>0</v>
      </c>
    </row>
    <row r="44" spans="1:33">
      <c r="A44" s="24">
        <f t="shared" si="2"/>
        <v>38</v>
      </c>
      <c r="B44" s="38" t="s">
        <v>32</v>
      </c>
      <c r="C44" s="261">
        <f>+C45</f>
        <v>41984.220950000003</v>
      </c>
      <c r="D44" s="256">
        <f>+D45</f>
        <v>41984.22395</v>
      </c>
      <c r="E44" s="256">
        <f>+E45</f>
        <v>1229.3202799999999</v>
      </c>
      <c r="F44" s="256">
        <f>+F45</f>
        <v>1229.3202799999999</v>
      </c>
      <c r="G44" s="256">
        <f>+C44+E44</f>
        <v>43213.541230000003</v>
      </c>
      <c r="H44" s="274">
        <f>+D44+F44</f>
        <v>43213.54423</v>
      </c>
      <c r="I44" s="259"/>
      <c r="J44" s="259">
        <f>+J45</f>
        <v>761.78099999999995</v>
      </c>
      <c r="K44" s="260">
        <f>+K45</f>
        <v>0</v>
      </c>
      <c r="L44" s="275">
        <f>+G44-H44</f>
        <v>-2.9999999969732016E-3</v>
      </c>
      <c r="M44" s="1314"/>
      <c r="N44" s="84"/>
      <c r="O44" s="261">
        <f>+O45</f>
        <v>0</v>
      </c>
      <c r="P44" s="275">
        <f>H44+O44</f>
        <v>43213.54423</v>
      </c>
    </row>
    <row r="45" spans="1:33">
      <c r="A45" s="46">
        <f t="shared" si="2"/>
        <v>39</v>
      </c>
      <c r="B45" s="47" t="s">
        <v>39</v>
      </c>
      <c r="C45" s="51">
        <f t="shared" ref="C45:L45" si="17">SUM(C46:C48)</f>
        <v>41984.220950000003</v>
      </c>
      <c r="D45" s="51">
        <f t="shared" si="17"/>
        <v>41984.22395</v>
      </c>
      <c r="E45" s="51">
        <f t="shared" si="17"/>
        <v>1229.3202799999999</v>
      </c>
      <c r="F45" s="51">
        <f t="shared" si="17"/>
        <v>1229.3202799999999</v>
      </c>
      <c r="G45" s="51">
        <f t="shared" si="17"/>
        <v>43213.541230000003</v>
      </c>
      <c r="H45" s="51">
        <f t="shared" si="17"/>
        <v>43213.54423</v>
      </c>
      <c r="I45" s="51">
        <f t="shared" si="17"/>
        <v>0</v>
      </c>
      <c r="J45" s="51">
        <f t="shared" si="17"/>
        <v>761.78099999999995</v>
      </c>
      <c r="K45" s="51">
        <f t="shared" si="17"/>
        <v>0</v>
      </c>
      <c r="L45" s="51">
        <f t="shared" si="17"/>
        <v>-3.0000000006111804E-3</v>
      </c>
      <c r="M45" s="1315"/>
      <c r="N45" s="84"/>
      <c r="O45" s="701">
        <f>+O49</f>
        <v>0</v>
      </c>
      <c r="P45" s="700">
        <f t="shared" si="5"/>
        <v>43213.54423</v>
      </c>
    </row>
    <row r="46" spans="1:33">
      <c r="A46" s="715">
        <f t="shared" si="2"/>
        <v>40</v>
      </c>
      <c r="B46" s="719" t="s">
        <v>385</v>
      </c>
      <c r="C46" s="720">
        <v>30415.713250000001</v>
      </c>
      <c r="D46" s="721">
        <v>30415.713250000001</v>
      </c>
      <c r="E46" s="721">
        <v>610.17528000000004</v>
      </c>
      <c r="F46" s="721">
        <v>610.17528000000004</v>
      </c>
      <c r="G46" s="65">
        <f t="shared" ref="G46:H49" si="18">+C46+E46</f>
        <v>31025.88853</v>
      </c>
      <c r="H46" s="66">
        <f t="shared" si="18"/>
        <v>31025.88853</v>
      </c>
      <c r="I46" s="80"/>
      <c r="J46" s="80"/>
      <c r="K46" s="67">
        <v>0</v>
      </c>
      <c r="L46" s="68">
        <f>+G46-H46</f>
        <v>0</v>
      </c>
      <c r="M46" s="1316"/>
      <c r="N46" s="76"/>
      <c r="O46" s="64"/>
      <c r="P46" s="68">
        <f t="shared" si="5"/>
        <v>31025.88853</v>
      </c>
    </row>
    <row r="47" spans="1:33">
      <c r="A47" s="715">
        <f t="shared" si="2"/>
        <v>41</v>
      </c>
      <c r="B47" s="719" t="s">
        <v>386</v>
      </c>
      <c r="C47" s="720">
        <f>8230.53271-C26</f>
        <v>6751.5327099999995</v>
      </c>
      <c r="D47" s="721">
        <f>C47</f>
        <v>6751.5327099999995</v>
      </c>
      <c r="E47" s="721">
        <v>619.14499999999998</v>
      </c>
      <c r="F47" s="721">
        <v>619.14499999999998</v>
      </c>
      <c r="G47" s="65">
        <f t="shared" si="18"/>
        <v>7370.6777099999999</v>
      </c>
      <c r="H47" s="66">
        <f t="shared" si="18"/>
        <v>7370.6777099999999</v>
      </c>
      <c r="I47" s="80"/>
      <c r="J47" s="80">
        <v>761.78099999999995</v>
      </c>
      <c r="K47" s="67"/>
      <c r="L47" s="68">
        <f>+G47-H47</f>
        <v>0</v>
      </c>
      <c r="M47" s="1316"/>
      <c r="N47" s="76"/>
      <c r="O47" s="64"/>
      <c r="P47" s="68">
        <f t="shared" si="5"/>
        <v>7370.6777099999999</v>
      </c>
    </row>
    <row r="48" spans="1:33">
      <c r="A48" s="715">
        <f t="shared" si="2"/>
        <v>42</v>
      </c>
      <c r="B48" s="719" t="s">
        <v>387</v>
      </c>
      <c r="C48" s="720">
        <v>4816.9749899999997</v>
      </c>
      <c r="D48" s="721">
        <v>4816.9779900000003</v>
      </c>
      <c r="E48" s="721"/>
      <c r="F48" s="721"/>
      <c r="G48" s="65">
        <f t="shared" si="18"/>
        <v>4816.9749899999997</v>
      </c>
      <c r="H48" s="66">
        <f t="shared" si="18"/>
        <v>4816.9779900000003</v>
      </c>
      <c r="I48" s="80"/>
      <c r="J48" s="80"/>
      <c r="K48" s="67"/>
      <c r="L48" s="68">
        <f>+G48-H48</f>
        <v>-3.0000000006111804E-3</v>
      </c>
      <c r="M48" s="1316"/>
      <c r="N48" s="76"/>
      <c r="O48" s="64"/>
      <c r="P48" s="68">
        <f t="shared" si="5"/>
        <v>4816.9779900000003</v>
      </c>
    </row>
    <row r="49" spans="1:16" ht="15.75" thickBot="1">
      <c r="A49" s="25">
        <f t="shared" si="2"/>
        <v>43</v>
      </c>
      <c r="B49" s="722" t="s">
        <v>60</v>
      </c>
      <c r="C49" s="723"/>
      <c r="D49" s="87"/>
      <c r="E49" s="87"/>
      <c r="F49" s="87"/>
      <c r="G49" s="65">
        <f t="shared" si="18"/>
        <v>0</v>
      </c>
      <c r="H49" s="66">
        <f t="shared" si="18"/>
        <v>0</v>
      </c>
      <c r="I49" s="88"/>
      <c r="J49" s="267"/>
      <c r="K49" s="86"/>
      <c r="L49" s="68">
        <f>+G49-H49</f>
        <v>0</v>
      </c>
      <c r="M49" s="1316"/>
      <c r="N49" s="76"/>
      <c r="O49" s="89"/>
      <c r="P49" s="63">
        <f t="shared" si="5"/>
        <v>0</v>
      </c>
    </row>
    <row r="50" spans="1:16" ht="15.75" thickBot="1">
      <c r="A50" s="31">
        <f t="shared" si="2"/>
        <v>44</v>
      </c>
      <c r="B50" s="39" t="s">
        <v>23</v>
      </c>
      <c r="C50" s="95">
        <f t="shared" ref="C50:H50" si="19">+C7+C28+C41+C44</f>
        <v>601928.15795000002</v>
      </c>
      <c r="D50" s="96">
        <f t="shared" si="19"/>
        <v>595498.61544999992</v>
      </c>
      <c r="E50" s="96">
        <f t="shared" si="19"/>
        <v>2243.3202799999999</v>
      </c>
      <c r="F50" s="96">
        <f t="shared" si="19"/>
        <v>2242.4802799999998</v>
      </c>
      <c r="G50" s="96">
        <f t="shared" si="19"/>
        <v>604171.47823000001</v>
      </c>
      <c r="H50" s="97">
        <f t="shared" si="19"/>
        <v>597741.09572999994</v>
      </c>
      <c r="I50" s="98"/>
      <c r="J50" s="98">
        <f>+J7+J28+J41+J44</f>
        <v>80702.736990000005</v>
      </c>
      <c r="K50" s="99">
        <f>+K7+K28+K41+K44</f>
        <v>6517.9602399999994</v>
      </c>
      <c r="L50" s="100">
        <f>+L7+L28+L41+L44</f>
        <v>6430.3825000000161</v>
      </c>
      <c r="M50" s="1322"/>
      <c r="N50" s="101"/>
      <c r="O50" s="95">
        <f>+O7+O28+O41+O44</f>
        <v>0</v>
      </c>
      <c r="P50" s="100">
        <f>+P7+P28+P41+P44</f>
        <v>597741.09572999994</v>
      </c>
    </row>
  </sheetData>
  <mergeCells count="23">
    <mergeCell ref="A4:A6"/>
    <mergeCell ref="B4:B6"/>
    <mergeCell ref="C4:D4"/>
    <mergeCell ref="E4:F4"/>
    <mergeCell ref="G4:H4"/>
    <mergeCell ref="I4:I5"/>
    <mergeCell ref="AA4:AA5"/>
    <mergeCell ref="J4:J5"/>
    <mergeCell ref="K4:K5"/>
    <mergeCell ref="L4:L5"/>
    <mergeCell ref="O4:O5"/>
    <mergeCell ref="P4:P5"/>
    <mergeCell ref="R4:R6"/>
    <mergeCell ref="AB4:AB5"/>
    <mergeCell ref="AC4:AC5"/>
    <mergeCell ref="AD4:AD5"/>
    <mergeCell ref="AF4:AF5"/>
    <mergeCell ref="AG4:AG5"/>
    <mergeCell ref="S4:S6"/>
    <mergeCell ref="T4:U4"/>
    <mergeCell ref="V4:W4"/>
    <mergeCell ref="X4:Y4"/>
    <mergeCell ref="Z4:Z5"/>
  </mergeCells>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dimension ref="A1:AG34"/>
  <sheetViews>
    <sheetView zoomScale="85" zoomScaleNormal="85" workbookViewId="0">
      <selection activeCell="R1" sqref="R1:AG65536"/>
    </sheetView>
  </sheetViews>
  <sheetFormatPr defaultRowHeight="15"/>
  <cols>
    <col min="1" max="1" width="9.42578125" customWidth="1"/>
    <col min="2" max="2" width="45.85546875" customWidth="1"/>
    <col min="3" max="3" width="12.7109375" customWidth="1"/>
    <col min="4" max="4" width="11.5703125" customWidth="1"/>
    <col min="5" max="5" width="11.28515625" customWidth="1"/>
    <col min="6" max="6" width="11.5703125" customWidth="1"/>
    <col min="7" max="7" width="10.85546875" customWidth="1"/>
    <col min="8" max="9" width="10.42578125" customWidth="1"/>
    <col min="10" max="10" width="12.5703125" customWidth="1"/>
    <col min="11" max="11" width="10.5703125" customWidth="1"/>
    <col min="12" max="12" width="14" customWidth="1"/>
    <col min="13" max="13" width="12.42578125" customWidth="1"/>
    <col min="14" max="14" width="1.7109375" customWidth="1"/>
    <col min="15" max="15" width="11" customWidth="1"/>
    <col min="16" max="16" width="10.85546875" customWidth="1"/>
    <col min="18" max="18" width="9.42578125" hidden="1" customWidth="1"/>
    <col min="19" max="19" width="45.85546875" hidden="1" customWidth="1"/>
    <col min="20" max="20" width="12.7109375" hidden="1" customWidth="1"/>
    <col min="21" max="21" width="11.5703125" hidden="1" customWidth="1"/>
    <col min="22" max="22" width="11.28515625" hidden="1" customWidth="1"/>
    <col min="23" max="23" width="11.5703125" hidden="1" customWidth="1"/>
    <col min="24" max="25" width="12.140625" hidden="1" customWidth="1"/>
    <col min="26" max="26" width="10.42578125" hidden="1" customWidth="1"/>
    <col min="27" max="27" width="12.5703125" hidden="1" customWidth="1"/>
    <col min="28" max="28" width="10.5703125" hidden="1" customWidth="1"/>
    <col min="29" max="29" width="14" hidden="1" customWidth="1"/>
    <col min="30" max="30" width="12.42578125" hidden="1" customWidth="1"/>
    <col min="31" max="31" width="1.7109375" hidden="1" customWidth="1"/>
    <col min="32" max="32" width="11" hidden="1" customWidth="1"/>
    <col min="33" max="33" width="10.85546875" hidden="1" customWidth="1"/>
  </cols>
  <sheetData>
    <row r="1" spans="1:33" ht="15.75">
      <c r="A1" s="103" t="s">
        <v>44</v>
      </c>
      <c r="B1" s="724"/>
      <c r="C1" s="497"/>
      <c r="D1" s="497"/>
      <c r="E1" s="497"/>
      <c r="F1" s="497"/>
      <c r="G1" s="497"/>
      <c r="H1" s="497"/>
      <c r="I1" s="497"/>
      <c r="J1" s="497"/>
      <c r="K1" s="497"/>
      <c r="L1" s="497"/>
      <c r="M1" s="497"/>
      <c r="N1" s="498"/>
      <c r="O1" s="497"/>
      <c r="P1" s="497"/>
    </row>
    <row r="2" spans="1:33" ht="15.75">
      <c r="A2" s="725"/>
      <c r="B2" s="726" t="s">
        <v>43</v>
      </c>
      <c r="C2" s="497"/>
      <c r="D2" s="497"/>
      <c r="E2" s="497"/>
      <c r="F2" s="497"/>
      <c r="G2" s="497"/>
      <c r="H2" s="497"/>
      <c r="I2" s="497"/>
      <c r="J2" s="497"/>
      <c r="K2" s="497"/>
      <c r="L2" s="497"/>
      <c r="M2" s="497"/>
      <c r="N2" s="498"/>
      <c r="O2" s="497"/>
      <c r="P2" s="497"/>
    </row>
    <row r="3" spans="1:33" ht="16.5" thickBot="1">
      <c r="A3" s="725"/>
      <c r="B3" s="726"/>
      <c r="C3" s="497"/>
      <c r="D3" s="497"/>
      <c r="E3" s="497"/>
      <c r="F3" s="497"/>
      <c r="G3" s="497"/>
      <c r="H3" s="497"/>
      <c r="I3" s="497"/>
      <c r="J3" s="497"/>
      <c r="K3" s="497"/>
      <c r="L3" s="497"/>
      <c r="M3" s="497"/>
      <c r="N3" s="498"/>
      <c r="O3" s="497"/>
      <c r="P3" s="497"/>
    </row>
    <row r="4" spans="1:33" ht="15" customHeight="1">
      <c r="A4" s="1513" t="s">
        <v>1</v>
      </c>
      <c r="B4" s="1516" t="s">
        <v>316</v>
      </c>
      <c r="C4" s="1519" t="s">
        <v>264</v>
      </c>
      <c r="D4" s="1520"/>
      <c r="E4" s="1520" t="s">
        <v>265</v>
      </c>
      <c r="F4" s="1520"/>
      <c r="G4" s="1521" t="s">
        <v>266</v>
      </c>
      <c r="H4" s="1522"/>
      <c r="I4" s="1503" t="s">
        <v>388</v>
      </c>
      <c r="J4" s="1503" t="s">
        <v>389</v>
      </c>
      <c r="K4" s="1505" t="s">
        <v>322</v>
      </c>
      <c r="L4" s="1445" t="s">
        <v>390</v>
      </c>
      <c r="M4" s="1507" t="s">
        <v>391</v>
      </c>
      <c r="N4" s="727"/>
      <c r="O4" s="1509" t="s">
        <v>306</v>
      </c>
      <c r="P4" s="1511" t="s">
        <v>21</v>
      </c>
      <c r="R4" s="1357" t="s">
        <v>1</v>
      </c>
      <c r="S4" s="1354" t="s">
        <v>46</v>
      </c>
      <c r="T4" s="1360" t="s">
        <v>18</v>
      </c>
      <c r="U4" s="1361"/>
      <c r="V4" s="1361" t="s">
        <v>19</v>
      </c>
      <c r="W4" s="1361"/>
      <c r="X4" s="1364" t="s">
        <v>20</v>
      </c>
      <c r="Y4" s="1365"/>
      <c r="Z4" s="1349" t="s">
        <v>47</v>
      </c>
      <c r="AA4" s="1349" t="s">
        <v>48</v>
      </c>
      <c r="AB4" s="1351" t="s">
        <v>49</v>
      </c>
      <c r="AC4" s="1362" t="s">
        <v>62</v>
      </c>
      <c r="AD4" s="1370" t="s">
        <v>69</v>
      </c>
      <c r="AE4" s="1037"/>
      <c r="AF4" s="1366" t="s">
        <v>65</v>
      </c>
      <c r="AG4" s="1368" t="s">
        <v>21</v>
      </c>
    </row>
    <row r="5" spans="1:33">
      <c r="A5" s="1514"/>
      <c r="B5" s="1517"/>
      <c r="C5" s="728" t="s">
        <v>12</v>
      </c>
      <c r="D5" s="675" t="s">
        <v>16</v>
      </c>
      <c r="E5" s="728" t="s">
        <v>12</v>
      </c>
      <c r="F5" s="675" t="s">
        <v>16</v>
      </c>
      <c r="G5" s="675" t="s">
        <v>12</v>
      </c>
      <c r="H5" s="729" t="s">
        <v>16</v>
      </c>
      <c r="I5" s="1504"/>
      <c r="J5" s="1504"/>
      <c r="K5" s="1506"/>
      <c r="L5" s="1446"/>
      <c r="M5" s="1508"/>
      <c r="N5" s="727"/>
      <c r="O5" s="1510"/>
      <c r="P5" s="1512"/>
      <c r="R5" s="1358"/>
      <c r="S5" s="1355"/>
      <c r="T5" s="1077" t="s">
        <v>26</v>
      </c>
      <c r="U5" s="11" t="s">
        <v>50</v>
      </c>
      <c r="V5" s="10" t="s">
        <v>12</v>
      </c>
      <c r="W5" s="11" t="s">
        <v>16</v>
      </c>
      <c r="X5" s="11" t="s">
        <v>12</v>
      </c>
      <c r="Y5" s="33" t="s">
        <v>16</v>
      </c>
      <c r="Z5" s="1350"/>
      <c r="AA5" s="1350"/>
      <c r="AB5" s="1352"/>
      <c r="AC5" s="1363"/>
      <c r="AD5" s="1371"/>
      <c r="AE5" s="1037"/>
      <c r="AF5" s="1367"/>
      <c r="AG5" s="1369"/>
    </row>
    <row r="6" spans="1:33" ht="15.75" thickBot="1">
      <c r="A6" s="1515"/>
      <c r="B6" s="1518"/>
      <c r="C6" s="730" t="s">
        <v>4</v>
      </c>
      <c r="D6" s="676" t="s">
        <v>5</v>
      </c>
      <c r="E6" s="676" t="s">
        <v>6</v>
      </c>
      <c r="F6" s="676" t="s">
        <v>7</v>
      </c>
      <c r="G6" s="676" t="s">
        <v>13</v>
      </c>
      <c r="H6" s="731" t="s">
        <v>14</v>
      </c>
      <c r="I6" s="732" t="s">
        <v>28</v>
      </c>
      <c r="J6" s="732" t="s">
        <v>31</v>
      </c>
      <c r="K6" s="733" t="s">
        <v>9</v>
      </c>
      <c r="L6" s="513" t="s">
        <v>22</v>
      </c>
      <c r="M6" s="513" t="s">
        <v>63</v>
      </c>
      <c r="N6" s="727"/>
      <c r="O6" s="734" t="s">
        <v>10</v>
      </c>
      <c r="P6" s="513" t="s">
        <v>64</v>
      </c>
      <c r="R6" s="1359"/>
      <c r="S6" s="1356"/>
      <c r="T6" s="1078" t="s">
        <v>4</v>
      </c>
      <c r="U6" s="13" t="s">
        <v>5</v>
      </c>
      <c r="V6" s="13" t="s">
        <v>6</v>
      </c>
      <c r="W6" s="13" t="s">
        <v>7</v>
      </c>
      <c r="X6" s="13" t="s">
        <v>13</v>
      </c>
      <c r="Y6" s="34" t="s">
        <v>14</v>
      </c>
      <c r="Z6" s="45" t="s">
        <v>28</v>
      </c>
      <c r="AA6" s="45" t="s">
        <v>31</v>
      </c>
      <c r="AB6" s="32" t="s">
        <v>9</v>
      </c>
      <c r="AC6" s="14" t="s">
        <v>22</v>
      </c>
      <c r="AD6" s="14" t="s">
        <v>63</v>
      </c>
      <c r="AE6" s="1037"/>
      <c r="AF6" s="44" t="s">
        <v>10</v>
      </c>
      <c r="AG6" s="14" t="s">
        <v>64</v>
      </c>
    </row>
    <row r="7" spans="1:33">
      <c r="A7" s="735">
        <v>1</v>
      </c>
      <c r="B7" s="689" t="s">
        <v>15</v>
      </c>
      <c r="C7" s="55">
        <f t="shared" ref="C7:H7" si="0">+C8+C11</f>
        <v>456405</v>
      </c>
      <c r="D7" s="55">
        <f t="shared" si="0"/>
        <v>456401</v>
      </c>
      <c r="E7" s="55">
        <f t="shared" si="0"/>
        <v>8848</v>
      </c>
      <c r="F7" s="55">
        <f t="shared" si="0"/>
        <v>8848</v>
      </c>
      <c r="G7" s="55">
        <f t="shared" si="0"/>
        <v>465253</v>
      </c>
      <c r="H7" s="56">
        <f t="shared" si="0"/>
        <v>465249</v>
      </c>
      <c r="I7" s="75"/>
      <c r="J7" s="75">
        <f>+J8+J11</f>
        <v>5068</v>
      </c>
      <c r="K7" s="57">
        <f>+K8+K11</f>
        <v>15488</v>
      </c>
      <c r="L7" s="58">
        <f>+L8+L11</f>
        <v>4</v>
      </c>
      <c r="M7" s="58">
        <f>+M8+M11</f>
        <v>4</v>
      </c>
      <c r="N7" s="736"/>
      <c r="O7" s="54">
        <f>+O8+O11</f>
        <v>2572</v>
      </c>
      <c r="P7" s="55">
        <f>+P8+P11</f>
        <v>467821</v>
      </c>
      <c r="R7" s="24">
        <v>1</v>
      </c>
      <c r="S7" s="38" t="s">
        <v>15</v>
      </c>
      <c r="T7" s="54">
        <v>456405</v>
      </c>
      <c r="U7" s="55">
        <v>456401</v>
      </c>
      <c r="V7" s="55">
        <v>8848</v>
      </c>
      <c r="W7" s="55">
        <v>8848</v>
      </c>
      <c r="X7" s="55">
        <v>465253</v>
      </c>
      <c r="Y7" s="56">
        <v>465249</v>
      </c>
      <c r="Z7" s="75"/>
      <c r="AA7" s="75">
        <v>5068</v>
      </c>
      <c r="AB7" s="57">
        <v>15488</v>
      </c>
      <c r="AC7" s="58">
        <v>4</v>
      </c>
      <c r="AD7" s="58">
        <v>4</v>
      </c>
      <c r="AE7" s="1036"/>
      <c r="AF7" s="54">
        <v>2572</v>
      </c>
      <c r="AG7" s="58">
        <v>467821</v>
      </c>
    </row>
    <row r="8" spans="1:33">
      <c r="A8" s="737">
        <f>A7+1</f>
        <v>2</v>
      </c>
      <c r="B8" s="738" t="s">
        <v>177</v>
      </c>
      <c r="C8" s="60">
        <f t="shared" ref="C8:H8" si="1">SUM(C9:C10)</f>
        <v>237082</v>
      </c>
      <c r="D8" s="60">
        <f t="shared" si="1"/>
        <v>237078</v>
      </c>
      <c r="E8" s="60">
        <f t="shared" si="1"/>
        <v>2119</v>
      </c>
      <c r="F8" s="60">
        <f t="shared" si="1"/>
        <v>2119</v>
      </c>
      <c r="G8" s="60">
        <f t="shared" si="1"/>
        <v>239201</v>
      </c>
      <c r="H8" s="61">
        <f t="shared" si="1"/>
        <v>239197</v>
      </c>
      <c r="I8" s="77"/>
      <c r="J8" s="78">
        <f>SUM(J9:J10)</f>
        <v>266</v>
      </c>
      <c r="K8" s="62">
        <f>SUM(K9:K10)</f>
        <v>9086</v>
      </c>
      <c r="L8" s="63">
        <f>SUM(L9:L10)</f>
        <v>4</v>
      </c>
      <c r="M8" s="63">
        <f>SUM(M9:M10)</f>
        <v>4</v>
      </c>
      <c r="N8" s="736"/>
      <c r="O8" s="59">
        <f>SUM(O9:O10)</f>
        <v>0</v>
      </c>
      <c r="P8" s="63">
        <f>SUM(P9:P10)</f>
        <v>239197</v>
      </c>
      <c r="R8" s="48">
        <f>R7+1</f>
        <v>2</v>
      </c>
      <c r="S8" s="35" t="s">
        <v>35</v>
      </c>
      <c r="T8" s="59">
        <v>237082</v>
      </c>
      <c r="U8" s="60">
        <v>237078</v>
      </c>
      <c r="V8" s="60">
        <v>2119</v>
      </c>
      <c r="W8" s="60">
        <v>2119</v>
      </c>
      <c r="X8" s="60">
        <v>239201</v>
      </c>
      <c r="Y8" s="61">
        <v>239197</v>
      </c>
      <c r="Z8" s="77"/>
      <c r="AA8" s="78">
        <v>266</v>
      </c>
      <c r="AB8" s="62">
        <v>9086</v>
      </c>
      <c r="AC8" s="63">
        <v>4</v>
      </c>
      <c r="AD8" s="63">
        <v>4</v>
      </c>
      <c r="AE8" s="1036"/>
      <c r="AF8" s="59">
        <v>0</v>
      </c>
      <c r="AG8" s="63">
        <v>239197</v>
      </c>
    </row>
    <row r="9" spans="1:33">
      <c r="A9" s="49">
        <f t="shared" ref="A9:A30" si="2">A8+1</f>
        <v>3</v>
      </c>
      <c r="B9" s="739" t="s">
        <v>178</v>
      </c>
      <c r="C9" s="65">
        <v>231467</v>
      </c>
      <c r="D9" s="65">
        <v>231467</v>
      </c>
      <c r="E9" s="65">
        <v>2119</v>
      </c>
      <c r="F9" s="65">
        <v>2119</v>
      </c>
      <c r="G9" s="65">
        <f t="shared" ref="G9:H24" si="3">+C9+E9</f>
        <v>233586</v>
      </c>
      <c r="H9" s="66">
        <f t="shared" si="3"/>
        <v>233586</v>
      </c>
      <c r="I9" s="79"/>
      <c r="J9" s="80">
        <v>0</v>
      </c>
      <c r="K9" s="67">
        <v>9007</v>
      </c>
      <c r="L9" s="68">
        <f t="shared" ref="L9:L26" si="4">+G9-H9</f>
        <v>0</v>
      </c>
      <c r="M9" s="68">
        <v>0</v>
      </c>
      <c r="N9" s="736"/>
      <c r="O9" s="64"/>
      <c r="P9" s="68">
        <f>H9+O9</f>
        <v>233586</v>
      </c>
      <c r="R9" s="25">
        <f t="shared" ref="R9:R34" si="5">R8+1</f>
        <v>3</v>
      </c>
      <c r="S9" s="36" t="s">
        <v>58</v>
      </c>
      <c r="T9" s="64">
        <v>231467</v>
      </c>
      <c r="U9" s="65">
        <v>231467</v>
      </c>
      <c r="V9" s="65">
        <v>2119</v>
      </c>
      <c r="W9" s="65">
        <v>2119</v>
      </c>
      <c r="X9" s="65">
        <v>233586</v>
      </c>
      <c r="Y9" s="66">
        <v>233586</v>
      </c>
      <c r="Z9" s="80"/>
      <c r="AA9" s="80">
        <v>0</v>
      </c>
      <c r="AB9" s="67">
        <v>9007</v>
      </c>
      <c r="AC9" s="68">
        <v>0</v>
      </c>
      <c r="AD9" s="68">
        <v>0</v>
      </c>
      <c r="AE9" s="1036"/>
      <c r="AF9" s="64"/>
      <c r="AG9" s="68">
        <v>233586</v>
      </c>
    </row>
    <row r="10" spans="1:33">
      <c r="A10" s="49">
        <f t="shared" si="2"/>
        <v>4</v>
      </c>
      <c r="B10" s="739" t="s">
        <v>179</v>
      </c>
      <c r="C10" s="65">
        <v>5615</v>
      </c>
      <c r="D10" s="65">
        <v>5611</v>
      </c>
      <c r="E10" s="65">
        <v>0</v>
      </c>
      <c r="F10" s="65">
        <v>0</v>
      </c>
      <c r="G10" s="65">
        <f t="shared" si="3"/>
        <v>5615</v>
      </c>
      <c r="H10" s="66">
        <f t="shared" si="3"/>
        <v>5611</v>
      </c>
      <c r="I10" s="79">
        <v>32</v>
      </c>
      <c r="J10" s="80">
        <v>266</v>
      </c>
      <c r="K10" s="67">
        <v>79</v>
      </c>
      <c r="L10" s="68">
        <f t="shared" si="4"/>
        <v>4</v>
      </c>
      <c r="M10" s="68">
        <v>4</v>
      </c>
      <c r="N10" s="736"/>
      <c r="O10" s="64">
        <v>0</v>
      </c>
      <c r="P10" s="68">
        <f>H10+O10</f>
        <v>5611</v>
      </c>
      <c r="R10" s="25">
        <f t="shared" si="5"/>
        <v>4</v>
      </c>
      <c r="S10" s="36" t="s">
        <v>36</v>
      </c>
      <c r="T10" s="64">
        <v>5615</v>
      </c>
      <c r="U10" s="65">
        <v>5611</v>
      </c>
      <c r="V10" s="65">
        <v>0</v>
      </c>
      <c r="W10" s="65">
        <v>0</v>
      </c>
      <c r="X10" s="65">
        <v>5615</v>
      </c>
      <c r="Y10" s="249">
        <v>5611</v>
      </c>
      <c r="Z10" s="80">
        <v>32</v>
      </c>
      <c r="AA10" s="80">
        <v>266</v>
      </c>
      <c r="AB10" s="67">
        <v>79</v>
      </c>
      <c r="AC10" s="68">
        <v>4</v>
      </c>
      <c r="AD10" s="68">
        <v>4</v>
      </c>
      <c r="AE10" s="1036"/>
      <c r="AF10" s="64">
        <v>0</v>
      </c>
      <c r="AG10" s="68">
        <v>5611</v>
      </c>
    </row>
    <row r="11" spans="1:33">
      <c r="A11" s="737">
        <f t="shared" si="2"/>
        <v>5</v>
      </c>
      <c r="B11" s="738" t="s">
        <v>184</v>
      </c>
      <c r="C11" s="60">
        <f>+C12+C15+C19+C20</f>
        <v>219323</v>
      </c>
      <c r="D11" s="60">
        <f>+D12+D15+D19+D20</f>
        <v>219323</v>
      </c>
      <c r="E11" s="60">
        <f>+E12+E15+E19+E20</f>
        <v>6729</v>
      </c>
      <c r="F11" s="60">
        <f>+F12+F15+F19+F20</f>
        <v>6729</v>
      </c>
      <c r="G11" s="60">
        <f t="shared" si="3"/>
        <v>226052</v>
      </c>
      <c r="H11" s="61">
        <f t="shared" si="3"/>
        <v>226052</v>
      </c>
      <c r="I11" s="78"/>
      <c r="J11" s="78">
        <f>+J12+J15+J19+J20</f>
        <v>4802</v>
      </c>
      <c r="K11" s="62">
        <f>+K12+K15+K19+K20</f>
        <v>6402</v>
      </c>
      <c r="L11" s="63">
        <f t="shared" si="4"/>
        <v>0</v>
      </c>
      <c r="M11" s="63">
        <f>+M12+M15+M19+M20</f>
        <v>0</v>
      </c>
      <c r="N11" s="736"/>
      <c r="O11" s="59">
        <f>+O12+O15+O19+O20</f>
        <v>2572</v>
      </c>
      <c r="P11" s="63">
        <f>H11+O11</f>
        <v>228624</v>
      </c>
      <c r="R11" s="25">
        <f t="shared" si="5"/>
        <v>5</v>
      </c>
      <c r="S11" s="37" t="s">
        <v>30</v>
      </c>
      <c r="T11" s="64"/>
      <c r="U11" s="65"/>
      <c r="V11" s="65"/>
      <c r="W11" s="65"/>
      <c r="X11" s="65"/>
      <c r="Y11" s="66"/>
      <c r="Z11" s="79"/>
      <c r="AA11" s="80"/>
      <c r="AB11" s="67"/>
      <c r="AC11" s="68"/>
      <c r="AD11" s="68"/>
      <c r="AE11" s="1036"/>
      <c r="AF11" s="64"/>
      <c r="AG11" s="68"/>
    </row>
    <row r="12" spans="1:33">
      <c r="A12" s="49">
        <f t="shared" si="2"/>
        <v>6</v>
      </c>
      <c r="B12" s="739" t="s">
        <v>185</v>
      </c>
      <c r="C12" s="740">
        <f>SUM(C13:C14)</f>
        <v>170151</v>
      </c>
      <c r="D12" s="741">
        <f>SUM(D13:D14)</f>
        <v>170151</v>
      </c>
      <c r="E12" s="741">
        <f>SUM(E13:E14)</f>
        <v>6729</v>
      </c>
      <c r="F12" s="741">
        <f>SUM(F13:F14)</f>
        <v>6729</v>
      </c>
      <c r="G12" s="65">
        <f t="shared" si="3"/>
        <v>176880</v>
      </c>
      <c r="H12" s="66">
        <f t="shared" si="3"/>
        <v>176880</v>
      </c>
      <c r="I12" s="79"/>
      <c r="J12" s="742">
        <f>SUM(J13:J14)</f>
        <v>1901</v>
      </c>
      <c r="K12" s="740">
        <f>SUM(K13:K14)</f>
        <v>6231</v>
      </c>
      <c r="L12" s="68">
        <f t="shared" si="4"/>
        <v>0</v>
      </c>
      <c r="M12" s="68">
        <f>SUM(M13:M14)</f>
        <v>0</v>
      </c>
      <c r="N12" s="736"/>
      <c r="O12" s="743">
        <f>SUM(O13:O14)</f>
        <v>2427</v>
      </c>
      <c r="P12" s="68">
        <f>H12+O12</f>
        <v>179307</v>
      </c>
      <c r="R12" s="48">
        <f t="shared" si="5"/>
        <v>6</v>
      </c>
      <c r="S12" s="35" t="s">
        <v>42</v>
      </c>
      <c r="T12" s="59">
        <v>219323</v>
      </c>
      <c r="U12" s="60">
        <v>219323</v>
      </c>
      <c r="V12" s="60">
        <v>6729</v>
      </c>
      <c r="W12" s="60">
        <v>6729</v>
      </c>
      <c r="X12" s="60">
        <v>226052</v>
      </c>
      <c r="Y12" s="61">
        <v>226052</v>
      </c>
      <c r="Z12" s="78"/>
      <c r="AA12" s="78">
        <v>4802</v>
      </c>
      <c r="AB12" s="62">
        <v>6402</v>
      </c>
      <c r="AC12" s="63">
        <v>0</v>
      </c>
      <c r="AD12" s="63">
        <v>0</v>
      </c>
      <c r="AE12" s="1036"/>
      <c r="AF12" s="59">
        <v>2572</v>
      </c>
      <c r="AG12" s="63">
        <v>228624</v>
      </c>
    </row>
    <row r="13" spans="1:33">
      <c r="A13" s="49">
        <f t="shared" si="2"/>
        <v>7</v>
      </c>
      <c r="B13" s="744" t="s">
        <v>186</v>
      </c>
      <c r="C13" s="740">
        <v>163957</v>
      </c>
      <c r="D13" s="741">
        <v>163957</v>
      </c>
      <c r="E13" s="741">
        <v>6729</v>
      </c>
      <c r="F13" s="741">
        <v>6729</v>
      </c>
      <c r="G13" s="65">
        <f t="shared" si="3"/>
        <v>170686</v>
      </c>
      <c r="H13" s="66">
        <f t="shared" si="3"/>
        <v>170686</v>
      </c>
      <c r="I13" s="79"/>
      <c r="J13" s="742">
        <v>1901</v>
      </c>
      <c r="K13" s="740">
        <v>6231</v>
      </c>
      <c r="L13" s="68">
        <f t="shared" si="4"/>
        <v>0</v>
      </c>
      <c r="M13" s="68">
        <v>0</v>
      </c>
      <c r="N13" s="736"/>
      <c r="O13" s="743">
        <v>0</v>
      </c>
      <c r="P13" s="68">
        <f>H13+O13</f>
        <v>170686</v>
      </c>
      <c r="R13" s="29">
        <f t="shared" si="5"/>
        <v>7</v>
      </c>
      <c r="S13" s="36" t="s">
        <v>51</v>
      </c>
      <c r="T13" s="85">
        <v>170151</v>
      </c>
      <c r="U13" s="82">
        <v>170151</v>
      </c>
      <c r="V13" s="82">
        <v>6729</v>
      </c>
      <c r="W13" s="82">
        <v>6729</v>
      </c>
      <c r="X13" s="65">
        <v>176880</v>
      </c>
      <c r="Y13" s="66">
        <v>176880</v>
      </c>
      <c r="Z13" s="79"/>
      <c r="AA13" s="83">
        <v>1901</v>
      </c>
      <c r="AB13" s="81">
        <v>6231</v>
      </c>
      <c r="AC13" s="68">
        <v>0</v>
      </c>
      <c r="AD13" s="68">
        <v>0</v>
      </c>
      <c r="AE13" s="706"/>
      <c r="AF13" s="85">
        <v>2427</v>
      </c>
      <c r="AG13" s="68">
        <v>179307</v>
      </c>
    </row>
    <row r="14" spans="1:33">
      <c r="A14" s="49">
        <f t="shared" si="2"/>
        <v>8</v>
      </c>
      <c r="B14" s="744" t="s">
        <v>392</v>
      </c>
      <c r="C14" s="740">
        <v>6194</v>
      </c>
      <c r="D14" s="741">
        <v>6194</v>
      </c>
      <c r="E14" s="741">
        <v>0</v>
      </c>
      <c r="F14" s="741">
        <v>0</v>
      </c>
      <c r="G14" s="65">
        <f t="shared" si="3"/>
        <v>6194</v>
      </c>
      <c r="H14" s="66">
        <f t="shared" si="3"/>
        <v>6194</v>
      </c>
      <c r="I14" s="742"/>
      <c r="J14" s="742">
        <v>0</v>
      </c>
      <c r="K14" s="740">
        <v>0</v>
      </c>
      <c r="L14" s="68">
        <f t="shared" si="4"/>
        <v>0</v>
      </c>
      <c r="M14" s="68">
        <v>0</v>
      </c>
      <c r="N14" s="736"/>
      <c r="O14" s="743">
        <v>2427</v>
      </c>
      <c r="P14" s="68">
        <f t="shared" ref="P14:P29" si="6">H14+O14</f>
        <v>8621</v>
      </c>
      <c r="R14" s="29"/>
      <c r="S14" s="36" t="s">
        <v>61</v>
      </c>
      <c r="T14" s="85">
        <v>163957</v>
      </c>
      <c r="U14" s="82">
        <v>163957</v>
      </c>
      <c r="V14" s="82">
        <v>6729</v>
      </c>
      <c r="W14" s="82">
        <v>6729</v>
      </c>
      <c r="X14" s="65">
        <v>170686</v>
      </c>
      <c r="Y14" s="66">
        <v>170686</v>
      </c>
      <c r="Z14" s="79"/>
      <c r="AA14" s="83">
        <v>1901</v>
      </c>
      <c r="AB14" s="81">
        <v>6231</v>
      </c>
      <c r="AC14" s="68">
        <v>0</v>
      </c>
      <c r="AD14" s="68">
        <v>0</v>
      </c>
      <c r="AE14" s="706"/>
      <c r="AF14" s="85">
        <v>0</v>
      </c>
      <c r="AG14" s="68">
        <v>170686</v>
      </c>
    </row>
    <row r="15" spans="1:33">
      <c r="A15" s="49">
        <f t="shared" si="2"/>
        <v>9</v>
      </c>
      <c r="B15" s="739" t="s">
        <v>190</v>
      </c>
      <c r="C15" s="740">
        <f>SUM(C16:C18)</f>
        <v>8137</v>
      </c>
      <c r="D15" s="740">
        <f>SUM(D16:D18)</f>
        <v>8137</v>
      </c>
      <c r="E15" s="740">
        <f>SUM(E16:E18)</f>
        <v>0</v>
      </c>
      <c r="F15" s="740">
        <f>SUM(F16:F18)</f>
        <v>0</v>
      </c>
      <c r="G15" s="65">
        <f t="shared" si="3"/>
        <v>8137</v>
      </c>
      <c r="H15" s="66">
        <f t="shared" si="3"/>
        <v>8137</v>
      </c>
      <c r="I15" s="79"/>
      <c r="J15" s="742">
        <f>SUM(J16:J18)</f>
        <v>2901</v>
      </c>
      <c r="K15" s="740">
        <f>SUM(K16:K18)</f>
        <v>45</v>
      </c>
      <c r="L15" s="68">
        <f t="shared" si="4"/>
        <v>0</v>
      </c>
      <c r="M15" s="68">
        <v>0</v>
      </c>
      <c r="N15" s="736"/>
      <c r="O15" s="743">
        <f>SUM(O16:O18)</f>
        <v>145</v>
      </c>
      <c r="P15" s="68">
        <f t="shared" si="6"/>
        <v>8282</v>
      </c>
      <c r="R15" s="25">
        <f>R13+1</f>
        <v>8</v>
      </c>
      <c r="S15" s="37" t="s">
        <v>66</v>
      </c>
      <c r="T15" s="89"/>
      <c r="U15" s="87"/>
      <c r="V15" s="87"/>
      <c r="W15" s="87"/>
      <c r="X15" s="65"/>
      <c r="Y15" s="66"/>
      <c r="Z15" s="88"/>
      <c r="AA15" s="88"/>
      <c r="AB15" s="86"/>
      <c r="AC15" s="68"/>
      <c r="AD15" s="68"/>
      <c r="AE15" s="1036"/>
      <c r="AF15" s="89"/>
      <c r="AG15" s="68"/>
    </row>
    <row r="16" spans="1:33">
      <c r="A16" s="49">
        <f t="shared" si="2"/>
        <v>10</v>
      </c>
      <c r="B16" s="744" t="s">
        <v>393</v>
      </c>
      <c r="C16" s="740">
        <v>2220</v>
      </c>
      <c r="D16" s="741">
        <v>2220</v>
      </c>
      <c r="E16" s="741">
        <v>0</v>
      </c>
      <c r="F16" s="741">
        <v>0</v>
      </c>
      <c r="G16" s="65">
        <f t="shared" si="3"/>
        <v>2220</v>
      </c>
      <c r="H16" s="66">
        <f t="shared" si="3"/>
        <v>2220</v>
      </c>
      <c r="I16" s="79"/>
      <c r="J16" s="742">
        <v>0</v>
      </c>
      <c r="K16" s="740">
        <v>45</v>
      </c>
      <c r="L16" s="68">
        <f t="shared" si="4"/>
        <v>0</v>
      </c>
      <c r="M16" s="68">
        <v>0</v>
      </c>
      <c r="N16" s="736"/>
      <c r="O16" s="743">
        <v>0</v>
      </c>
      <c r="P16" s="68">
        <f t="shared" si="6"/>
        <v>2220</v>
      </c>
      <c r="R16" s="29">
        <f t="shared" si="5"/>
        <v>9</v>
      </c>
      <c r="S16" s="36" t="s">
        <v>52</v>
      </c>
      <c r="T16" s="85">
        <v>8137</v>
      </c>
      <c r="U16" s="82">
        <v>8137</v>
      </c>
      <c r="V16" s="82">
        <v>0</v>
      </c>
      <c r="W16" s="82">
        <v>0</v>
      </c>
      <c r="X16" s="65">
        <v>8137</v>
      </c>
      <c r="Y16" s="66">
        <v>8137</v>
      </c>
      <c r="Z16" s="79"/>
      <c r="AA16" s="83">
        <v>2901</v>
      </c>
      <c r="AB16" s="81">
        <v>45</v>
      </c>
      <c r="AC16" s="68">
        <v>0</v>
      </c>
      <c r="AD16" s="68">
        <v>0</v>
      </c>
      <c r="AE16" s="706"/>
      <c r="AF16" s="85">
        <v>145</v>
      </c>
      <c r="AG16" s="68">
        <v>8282</v>
      </c>
    </row>
    <row r="17" spans="1:33">
      <c r="A17" s="49">
        <f t="shared" si="2"/>
        <v>11</v>
      </c>
      <c r="B17" s="744" t="s">
        <v>379</v>
      </c>
      <c r="C17" s="740">
        <v>198</v>
      </c>
      <c r="D17" s="741">
        <v>198</v>
      </c>
      <c r="E17" s="741">
        <v>0</v>
      </c>
      <c r="F17" s="741">
        <v>0</v>
      </c>
      <c r="G17" s="65">
        <f t="shared" si="3"/>
        <v>198</v>
      </c>
      <c r="H17" s="66">
        <f t="shared" si="3"/>
        <v>198</v>
      </c>
      <c r="I17" s="79"/>
      <c r="J17" s="742">
        <v>0</v>
      </c>
      <c r="K17" s="740">
        <v>0</v>
      </c>
      <c r="L17" s="68">
        <f t="shared" si="4"/>
        <v>0</v>
      </c>
      <c r="M17" s="68">
        <v>0</v>
      </c>
      <c r="N17" s="736"/>
      <c r="O17" s="743">
        <v>0</v>
      </c>
      <c r="P17" s="68">
        <f t="shared" si="6"/>
        <v>198</v>
      </c>
      <c r="R17" s="25">
        <f t="shared" si="5"/>
        <v>10</v>
      </c>
      <c r="S17" s="37" t="s">
        <v>30</v>
      </c>
      <c r="T17" s="89"/>
      <c r="U17" s="87"/>
      <c r="V17" s="87"/>
      <c r="W17" s="87"/>
      <c r="X17" s="65"/>
      <c r="Y17" s="66"/>
      <c r="Z17" s="88"/>
      <c r="AA17" s="88"/>
      <c r="AB17" s="86"/>
      <c r="AC17" s="68"/>
      <c r="AD17" s="68"/>
      <c r="AE17" s="1036"/>
      <c r="AF17" s="89"/>
      <c r="AG17" s="68"/>
    </row>
    <row r="18" spans="1:33">
      <c r="A18" s="49">
        <f t="shared" si="2"/>
        <v>12</v>
      </c>
      <c r="B18" s="744" t="s">
        <v>394</v>
      </c>
      <c r="C18" s="740">
        <v>5719</v>
      </c>
      <c r="D18" s="741">
        <v>5719</v>
      </c>
      <c r="E18" s="741">
        <v>0</v>
      </c>
      <c r="F18" s="741">
        <v>0</v>
      </c>
      <c r="G18" s="65">
        <f t="shared" si="3"/>
        <v>5719</v>
      </c>
      <c r="H18" s="66">
        <f t="shared" si="3"/>
        <v>5719</v>
      </c>
      <c r="I18" s="79"/>
      <c r="J18" s="742">
        <v>2901</v>
      </c>
      <c r="K18" s="740">
        <v>0</v>
      </c>
      <c r="L18" s="68">
        <f t="shared" si="4"/>
        <v>0</v>
      </c>
      <c r="M18" s="68">
        <v>0</v>
      </c>
      <c r="N18" s="736"/>
      <c r="O18" s="743">
        <v>145</v>
      </c>
      <c r="P18" s="68">
        <f t="shared" si="6"/>
        <v>5864</v>
      </c>
      <c r="R18" s="29">
        <f t="shared" si="5"/>
        <v>11</v>
      </c>
      <c r="S18" s="36" t="s">
        <v>37</v>
      </c>
      <c r="T18" s="85">
        <v>41035</v>
      </c>
      <c r="U18" s="82">
        <v>41035</v>
      </c>
      <c r="V18" s="82">
        <v>0</v>
      </c>
      <c r="W18" s="82">
        <v>0</v>
      </c>
      <c r="X18" s="65">
        <v>41035</v>
      </c>
      <c r="Y18" s="66">
        <v>41035</v>
      </c>
      <c r="Z18" s="83"/>
      <c r="AA18" s="83">
        <v>0</v>
      </c>
      <c r="AB18" s="81">
        <v>126</v>
      </c>
      <c r="AC18" s="68">
        <v>0</v>
      </c>
      <c r="AD18" s="68">
        <v>0</v>
      </c>
      <c r="AE18" s="706"/>
      <c r="AF18" s="85">
        <v>0</v>
      </c>
      <c r="AG18" s="68">
        <v>41035</v>
      </c>
    </row>
    <row r="19" spans="1:33">
      <c r="A19" s="49">
        <f t="shared" si="2"/>
        <v>13</v>
      </c>
      <c r="B19" s="739" t="s">
        <v>195</v>
      </c>
      <c r="C19" s="740">
        <v>41035</v>
      </c>
      <c r="D19" s="741">
        <v>41035</v>
      </c>
      <c r="E19" s="741">
        <v>0</v>
      </c>
      <c r="F19" s="741">
        <v>0</v>
      </c>
      <c r="G19" s="65">
        <f t="shared" si="3"/>
        <v>41035</v>
      </c>
      <c r="H19" s="66">
        <f t="shared" si="3"/>
        <v>41035</v>
      </c>
      <c r="I19" s="742"/>
      <c r="J19" s="742">
        <v>0</v>
      </c>
      <c r="K19" s="740">
        <v>126</v>
      </c>
      <c r="L19" s="68">
        <f t="shared" si="4"/>
        <v>0</v>
      </c>
      <c r="M19" s="68">
        <v>0</v>
      </c>
      <c r="N19" s="736"/>
      <c r="O19" s="743">
        <v>0</v>
      </c>
      <c r="P19" s="68">
        <f t="shared" si="6"/>
        <v>41035</v>
      </c>
      <c r="R19" s="29">
        <f t="shared" si="5"/>
        <v>12</v>
      </c>
      <c r="S19" s="50" t="s">
        <v>38</v>
      </c>
      <c r="T19" s="85">
        <v>0</v>
      </c>
      <c r="U19" s="82">
        <v>0</v>
      </c>
      <c r="V19" s="82">
        <v>0</v>
      </c>
      <c r="W19" s="82">
        <v>0</v>
      </c>
      <c r="X19" s="65">
        <v>0</v>
      </c>
      <c r="Y19" s="66">
        <v>0</v>
      </c>
      <c r="Z19" s="83"/>
      <c r="AA19" s="83">
        <v>0</v>
      </c>
      <c r="AB19" s="81">
        <v>0</v>
      </c>
      <c r="AC19" s="68">
        <v>0</v>
      </c>
      <c r="AD19" s="68">
        <v>0</v>
      </c>
      <c r="AE19" s="706"/>
      <c r="AF19" s="85">
        <v>0</v>
      </c>
      <c r="AG19" s="68">
        <v>0</v>
      </c>
    </row>
    <row r="20" spans="1:33">
      <c r="A20" s="49">
        <f t="shared" si="2"/>
        <v>14</v>
      </c>
      <c r="B20" s="745" t="s">
        <v>196</v>
      </c>
      <c r="C20" s="740">
        <v>0</v>
      </c>
      <c r="D20" s="741">
        <v>0</v>
      </c>
      <c r="E20" s="741">
        <v>0</v>
      </c>
      <c r="F20" s="741">
        <v>0</v>
      </c>
      <c r="G20" s="65">
        <f t="shared" si="3"/>
        <v>0</v>
      </c>
      <c r="H20" s="66">
        <f t="shared" si="3"/>
        <v>0</v>
      </c>
      <c r="I20" s="742"/>
      <c r="J20" s="742">
        <v>0</v>
      </c>
      <c r="K20" s="740">
        <v>0</v>
      </c>
      <c r="L20" s="68">
        <f t="shared" si="4"/>
        <v>0</v>
      </c>
      <c r="M20" s="68">
        <v>0</v>
      </c>
      <c r="N20" s="736"/>
      <c r="O20" s="743">
        <v>0</v>
      </c>
      <c r="P20" s="68">
        <f t="shared" si="6"/>
        <v>0</v>
      </c>
      <c r="R20" s="25">
        <f t="shared" si="5"/>
        <v>13</v>
      </c>
      <c r="S20" s="37" t="s">
        <v>30</v>
      </c>
      <c r="T20" s="89"/>
      <c r="U20" s="87"/>
      <c r="V20" s="87"/>
      <c r="W20" s="87"/>
      <c r="X20" s="65"/>
      <c r="Y20" s="66"/>
      <c r="Z20" s="88"/>
      <c r="AA20" s="88"/>
      <c r="AB20" s="86"/>
      <c r="AC20" s="68"/>
      <c r="AD20" s="68"/>
      <c r="AE20" s="1036"/>
      <c r="AF20" s="89"/>
      <c r="AG20" s="68"/>
    </row>
    <row r="21" spans="1:33">
      <c r="A21" s="735">
        <f t="shared" si="2"/>
        <v>15</v>
      </c>
      <c r="B21" s="689" t="s">
        <v>29</v>
      </c>
      <c r="C21" s="70">
        <f>SUM(C22:C26)</f>
        <v>184503</v>
      </c>
      <c r="D21" s="71">
        <f>SUM(D22:D26)</f>
        <v>184108</v>
      </c>
      <c r="E21" s="71">
        <f>SUM(E22:E26)</f>
        <v>11</v>
      </c>
      <c r="F21" s="71">
        <f>SUM(F22:F26)</f>
        <v>11</v>
      </c>
      <c r="G21" s="71">
        <f t="shared" si="3"/>
        <v>184514</v>
      </c>
      <c r="H21" s="72">
        <f t="shared" si="3"/>
        <v>184119</v>
      </c>
      <c r="I21" s="90"/>
      <c r="J21" s="90">
        <f>SUM(J22:J26)</f>
        <v>93371</v>
      </c>
      <c r="K21" s="73">
        <f>SUM(K22:K26)</f>
        <v>993</v>
      </c>
      <c r="L21" s="74">
        <f>SUM(L22:L26)</f>
        <v>395</v>
      </c>
      <c r="M21" s="74">
        <f>SUM(M22:M26)</f>
        <v>357</v>
      </c>
      <c r="N21" s="736"/>
      <c r="O21" s="70">
        <f>SUM(O22:O26)</f>
        <v>5326</v>
      </c>
      <c r="P21" s="74">
        <f>H21+O21</f>
        <v>189445</v>
      </c>
      <c r="R21" s="24">
        <f t="shared" si="5"/>
        <v>14</v>
      </c>
      <c r="S21" s="38" t="s">
        <v>29</v>
      </c>
      <c r="T21" s="70">
        <v>184503</v>
      </c>
      <c r="U21" s="71">
        <v>184108</v>
      </c>
      <c r="V21" s="71">
        <v>11</v>
      </c>
      <c r="W21" s="71">
        <v>11</v>
      </c>
      <c r="X21" s="71">
        <v>184514</v>
      </c>
      <c r="Y21" s="72">
        <v>184119</v>
      </c>
      <c r="Z21" s="90"/>
      <c r="AA21" s="1252">
        <v>93371</v>
      </c>
      <c r="AB21" s="73">
        <v>993</v>
      </c>
      <c r="AC21" s="74">
        <v>395</v>
      </c>
      <c r="AD21" s="74">
        <v>357</v>
      </c>
      <c r="AE21" s="1036"/>
      <c r="AF21" s="70">
        <v>5326</v>
      </c>
      <c r="AG21" s="74">
        <v>189445</v>
      </c>
    </row>
    <row r="22" spans="1:33">
      <c r="A22" s="746">
        <f t="shared" si="2"/>
        <v>16</v>
      </c>
      <c r="B22" s="747" t="s">
        <v>395</v>
      </c>
      <c r="C22" s="65">
        <v>47</v>
      </c>
      <c r="D22" s="65">
        <v>47</v>
      </c>
      <c r="E22" s="65">
        <v>11</v>
      </c>
      <c r="F22" s="65">
        <v>11</v>
      </c>
      <c r="G22" s="65">
        <f t="shared" si="3"/>
        <v>58</v>
      </c>
      <c r="H22" s="66">
        <f t="shared" si="3"/>
        <v>58</v>
      </c>
      <c r="I22" s="80"/>
      <c r="J22" s="80">
        <v>0</v>
      </c>
      <c r="K22" s="67">
        <v>0</v>
      </c>
      <c r="L22" s="68">
        <f t="shared" si="4"/>
        <v>0</v>
      </c>
      <c r="M22" s="68">
        <f>+M23</f>
        <v>0</v>
      </c>
      <c r="N22" s="736"/>
      <c r="O22" s="64">
        <f>+O23</f>
        <v>0</v>
      </c>
      <c r="P22" s="68">
        <f t="shared" si="6"/>
        <v>58</v>
      </c>
      <c r="R22" s="46">
        <f t="shared" si="5"/>
        <v>15</v>
      </c>
      <c r="S22" s="43" t="s">
        <v>53</v>
      </c>
      <c r="T22" s="59"/>
      <c r="U22" s="60"/>
      <c r="V22" s="60"/>
      <c r="W22" s="60"/>
      <c r="X22" s="60"/>
      <c r="Y22" s="61"/>
      <c r="Z22" s="78"/>
      <c r="AA22" s="78"/>
      <c r="AB22" s="62"/>
      <c r="AC22" s="63"/>
      <c r="AD22" s="63"/>
      <c r="AE22" s="1036"/>
      <c r="AF22" s="59"/>
      <c r="AG22" s="63"/>
    </row>
    <row r="23" spans="1:33">
      <c r="A23" s="49">
        <f t="shared" si="2"/>
        <v>17</v>
      </c>
      <c r="B23" s="739" t="s">
        <v>396</v>
      </c>
      <c r="C23" s="740">
        <v>4220</v>
      </c>
      <c r="D23" s="741">
        <v>4220</v>
      </c>
      <c r="E23" s="741">
        <v>0</v>
      </c>
      <c r="F23" s="741">
        <v>0</v>
      </c>
      <c r="G23" s="65">
        <f t="shared" si="3"/>
        <v>4220</v>
      </c>
      <c r="H23" s="66">
        <f t="shared" si="3"/>
        <v>4220</v>
      </c>
      <c r="I23" s="742"/>
      <c r="J23" s="742">
        <v>0</v>
      </c>
      <c r="K23" s="740">
        <v>130</v>
      </c>
      <c r="L23" s="68">
        <f t="shared" si="4"/>
        <v>0</v>
      </c>
      <c r="M23" s="68">
        <v>0</v>
      </c>
      <c r="N23" s="736"/>
      <c r="O23" s="743">
        <v>0</v>
      </c>
      <c r="P23" s="68">
        <f t="shared" si="6"/>
        <v>4220</v>
      </c>
      <c r="R23" s="25">
        <f t="shared" si="5"/>
        <v>16</v>
      </c>
      <c r="S23" s="37" t="s">
        <v>60</v>
      </c>
      <c r="T23" s="89"/>
      <c r="U23" s="87"/>
      <c r="V23" s="87"/>
      <c r="W23" s="87"/>
      <c r="X23" s="65"/>
      <c r="Y23" s="66"/>
      <c r="Z23" s="88"/>
      <c r="AA23" s="88"/>
      <c r="AB23" s="86"/>
      <c r="AC23" s="68"/>
      <c r="AD23" s="68"/>
      <c r="AE23" s="1036"/>
      <c r="AF23" s="89"/>
      <c r="AG23" s="68"/>
    </row>
    <row r="24" spans="1:33">
      <c r="A24" s="49">
        <f t="shared" si="2"/>
        <v>18</v>
      </c>
      <c r="B24" s="748" t="s">
        <v>397</v>
      </c>
      <c r="C24" s="740">
        <v>4438</v>
      </c>
      <c r="D24" s="741">
        <v>4400</v>
      </c>
      <c r="E24" s="741">
        <v>0</v>
      </c>
      <c r="F24" s="741">
        <v>0</v>
      </c>
      <c r="G24" s="65">
        <f t="shared" si="3"/>
        <v>4438</v>
      </c>
      <c r="H24" s="66">
        <f t="shared" si="3"/>
        <v>4400</v>
      </c>
      <c r="I24" s="742"/>
      <c r="J24" s="742">
        <v>0</v>
      </c>
      <c r="K24" s="740">
        <v>24</v>
      </c>
      <c r="L24" s="68">
        <f t="shared" si="4"/>
        <v>38</v>
      </c>
      <c r="M24" s="68">
        <v>0</v>
      </c>
      <c r="N24" s="736"/>
      <c r="O24" s="743">
        <v>0</v>
      </c>
      <c r="P24" s="68">
        <f t="shared" si="6"/>
        <v>4400</v>
      </c>
      <c r="R24" s="46">
        <f t="shared" si="5"/>
        <v>17</v>
      </c>
      <c r="S24" s="47" t="s">
        <v>59</v>
      </c>
      <c r="T24" s="59">
        <v>31277</v>
      </c>
      <c r="U24" s="60">
        <v>30920</v>
      </c>
      <c r="V24" s="60">
        <v>0</v>
      </c>
      <c r="W24" s="60">
        <v>0</v>
      </c>
      <c r="X24" s="60">
        <v>31277</v>
      </c>
      <c r="Y24" s="61">
        <v>30920</v>
      </c>
      <c r="Z24" s="78"/>
      <c r="AA24" s="78">
        <v>4837</v>
      </c>
      <c r="AB24" s="62">
        <v>269</v>
      </c>
      <c r="AC24" s="63">
        <v>357</v>
      </c>
      <c r="AD24" s="63">
        <v>357</v>
      </c>
      <c r="AE24" s="1036"/>
      <c r="AF24" s="59">
        <v>0</v>
      </c>
      <c r="AG24" s="63">
        <v>30920</v>
      </c>
    </row>
    <row r="25" spans="1:33">
      <c r="A25" s="49">
        <f t="shared" si="2"/>
        <v>19</v>
      </c>
      <c r="B25" s="748" t="s">
        <v>398</v>
      </c>
      <c r="C25" s="740">
        <v>31277</v>
      </c>
      <c r="D25" s="741">
        <v>30920</v>
      </c>
      <c r="E25" s="741">
        <v>0</v>
      </c>
      <c r="F25" s="741">
        <v>0</v>
      </c>
      <c r="G25" s="65">
        <f t="shared" ref="G25:H29" si="7">+C25+E25</f>
        <v>31277</v>
      </c>
      <c r="H25" s="66">
        <f t="shared" si="7"/>
        <v>30920</v>
      </c>
      <c r="I25" s="742"/>
      <c r="J25" s="742">
        <v>4837</v>
      </c>
      <c r="K25" s="740">
        <v>269</v>
      </c>
      <c r="L25" s="68">
        <f t="shared" si="4"/>
        <v>357</v>
      </c>
      <c r="M25" s="68">
        <v>357</v>
      </c>
      <c r="N25" s="736"/>
      <c r="O25" s="743">
        <v>0</v>
      </c>
      <c r="P25" s="68">
        <f t="shared" si="6"/>
        <v>30920</v>
      </c>
      <c r="R25" s="25">
        <f t="shared" si="5"/>
        <v>18</v>
      </c>
      <c r="S25" s="37" t="s">
        <v>60</v>
      </c>
      <c r="T25" s="89"/>
      <c r="U25" s="87"/>
      <c r="V25" s="87"/>
      <c r="W25" s="87"/>
      <c r="X25" s="65"/>
      <c r="Y25" s="66"/>
      <c r="Z25" s="88"/>
      <c r="AA25" s="88"/>
      <c r="AB25" s="86"/>
      <c r="AC25" s="68"/>
      <c r="AD25" s="68"/>
      <c r="AE25" s="1036"/>
      <c r="AF25" s="89"/>
      <c r="AG25" s="68"/>
    </row>
    <row r="26" spans="1:33">
      <c r="A26" s="49">
        <f t="shared" si="2"/>
        <v>20</v>
      </c>
      <c r="B26" s="748" t="s">
        <v>399</v>
      </c>
      <c r="C26" s="740">
        <v>144521</v>
      </c>
      <c r="D26" s="741">
        <v>144521</v>
      </c>
      <c r="E26" s="741">
        <v>0</v>
      </c>
      <c r="F26" s="741">
        <v>0</v>
      </c>
      <c r="G26" s="65">
        <f t="shared" si="7"/>
        <v>144521</v>
      </c>
      <c r="H26" s="66">
        <f t="shared" si="7"/>
        <v>144521</v>
      </c>
      <c r="I26" s="742"/>
      <c r="J26" s="742">
        <v>88534</v>
      </c>
      <c r="K26" s="740">
        <v>570</v>
      </c>
      <c r="L26" s="68">
        <f t="shared" si="4"/>
        <v>0</v>
      </c>
      <c r="M26" s="68">
        <v>0</v>
      </c>
      <c r="N26" s="736"/>
      <c r="O26" s="743">
        <v>5326</v>
      </c>
      <c r="P26" s="68">
        <f t="shared" si="6"/>
        <v>149847</v>
      </c>
      <c r="R26" s="46">
        <f t="shared" si="5"/>
        <v>19</v>
      </c>
      <c r="S26" s="47" t="s">
        <v>54</v>
      </c>
      <c r="T26" s="59">
        <v>144521</v>
      </c>
      <c r="U26" s="60">
        <v>144521</v>
      </c>
      <c r="V26" s="60">
        <v>0</v>
      </c>
      <c r="W26" s="60">
        <v>0</v>
      </c>
      <c r="X26" s="60">
        <v>144521</v>
      </c>
      <c r="Y26" s="61">
        <v>144521</v>
      </c>
      <c r="Z26" s="78"/>
      <c r="AA26" s="78">
        <v>88534</v>
      </c>
      <c r="AB26" s="62">
        <v>570</v>
      </c>
      <c r="AC26" s="63">
        <v>0</v>
      </c>
      <c r="AD26" s="63">
        <v>0</v>
      </c>
      <c r="AE26" s="1036"/>
      <c r="AF26" s="59">
        <v>5326</v>
      </c>
      <c r="AG26" s="63">
        <v>149847</v>
      </c>
    </row>
    <row r="27" spans="1:33">
      <c r="A27" s="735">
        <f t="shared" si="2"/>
        <v>21</v>
      </c>
      <c r="B27" s="689" t="s">
        <v>27</v>
      </c>
      <c r="C27" s="70">
        <v>0</v>
      </c>
      <c r="D27" s="71">
        <v>0</v>
      </c>
      <c r="E27" s="71">
        <v>0</v>
      </c>
      <c r="F27" s="71">
        <v>0</v>
      </c>
      <c r="G27" s="71">
        <f t="shared" si="7"/>
        <v>0</v>
      </c>
      <c r="H27" s="72">
        <f t="shared" si="7"/>
        <v>0</v>
      </c>
      <c r="I27" s="90"/>
      <c r="J27" s="90">
        <v>0</v>
      </c>
      <c r="K27" s="73">
        <v>0</v>
      </c>
      <c r="L27" s="74">
        <f>+G27-H27</f>
        <v>0</v>
      </c>
      <c r="M27" s="74">
        <v>0</v>
      </c>
      <c r="N27" s="736"/>
      <c r="O27" s="70">
        <v>0</v>
      </c>
      <c r="P27" s="74">
        <f>H27+O27</f>
        <v>0</v>
      </c>
      <c r="R27" s="25">
        <f t="shared" si="5"/>
        <v>20</v>
      </c>
      <c r="S27" s="37" t="s">
        <v>60</v>
      </c>
      <c r="T27" s="94"/>
      <c r="U27" s="92"/>
      <c r="V27" s="92"/>
      <c r="W27" s="92"/>
      <c r="X27" s="65"/>
      <c r="Y27" s="66"/>
      <c r="Z27" s="93"/>
      <c r="AA27" s="93"/>
      <c r="AB27" s="91"/>
      <c r="AC27" s="68"/>
      <c r="AD27" s="68"/>
      <c r="AE27" s="1036"/>
      <c r="AF27" s="94"/>
      <c r="AG27" s="68"/>
    </row>
    <row r="28" spans="1:33">
      <c r="A28" s="735">
        <f t="shared" si="2"/>
        <v>22</v>
      </c>
      <c r="B28" s="689" t="s">
        <v>367</v>
      </c>
      <c r="C28" s="70">
        <f>+C29</f>
        <v>1317</v>
      </c>
      <c r="D28" s="71">
        <f>+D29</f>
        <v>1317</v>
      </c>
      <c r="E28" s="71">
        <f>+E29</f>
        <v>0</v>
      </c>
      <c r="F28" s="71">
        <f>+F29</f>
        <v>0</v>
      </c>
      <c r="G28" s="71">
        <f t="shared" si="7"/>
        <v>1317</v>
      </c>
      <c r="H28" s="72">
        <f t="shared" si="7"/>
        <v>1317</v>
      </c>
      <c r="I28" s="90"/>
      <c r="J28" s="90">
        <f>+J29</f>
        <v>0</v>
      </c>
      <c r="K28" s="73">
        <f>+K29</f>
        <v>0</v>
      </c>
      <c r="L28" s="74">
        <f>+G28-H28</f>
        <v>0</v>
      </c>
      <c r="M28" s="74">
        <f>+M29</f>
        <v>0</v>
      </c>
      <c r="N28" s="736"/>
      <c r="O28" s="70">
        <f>+O29</f>
        <v>0</v>
      </c>
      <c r="P28" s="74">
        <f>H28+O28</f>
        <v>1317</v>
      </c>
      <c r="R28" s="24">
        <f t="shared" si="5"/>
        <v>21</v>
      </c>
      <c r="S28" s="38" t="s">
        <v>27</v>
      </c>
      <c r="T28" s="70"/>
      <c r="U28" s="71"/>
      <c r="V28" s="71"/>
      <c r="W28" s="71"/>
      <c r="X28" s="71"/>
      <c r="Y28" s="72"/>
      <c r="Z28" s="90"/>
      <c r="AA28" s="90"/>
      <c r="AB28" s="73"/>
      <c r="AC28" s="74"/>
      <c r="AD28" s="74"/>
      <c r="AE28" s="1036"/>
      <c r="AF28" s="70"/>
      <c r="AG28" s="74"/>
    </row>
    <row r="29" spans="1:33" ht="15.75" thickBot="1">
      <c r="A29" s="749">
        <f t="shared" si="2"/>
        <v>23</v>
      </c>
      <c r="B29" s="750" t="s">
        <v>400</v>
      </c>
      <c r="C29" s="60">
        <v>1317</v>
      </c>
      <c r="D29" s="60">
        <v>1317</v>
      </c>
      <c r="E29" s="60">
        <v>0</v>
      </c>
      <c r="F29" s="60">
        <v>0</v>
      </c>
      <c r="G29" s="60">
        <f t="shared" si="7"/>
        <v>1317</v>
      </c>
      <c r="H29" s="61">
        <f t="shared" si="7"/>
        <v>1317</v>
      </c>
      <c r="I29" s="78">
        <v>100</v>
      </c>
      <c r="J29" s="78">
        <v>0</v>
      </c>
      <c r="K29" s="62">
        <v>0</v>
      </c>
      <c r="L29" s="63">
        <f>+G29-H29</f>
        <v>0</v>
      </c>
      <c r="M29" s="63">
        <v>0</v>
      </c>
      <c r="N29" s="736"/>
      <c r="O29" s="59">
        <v>0</v>
      </c>
      <c r="P29" s="63">
        <f t="shared" si="6"/>
        <v>1317</v>
      </c>
      <c r="R29" s="29">
        <f t="shared" si="5"/>
        <v>22</v>
      </c>
      <c r="S29" s="43" t="s">
        <v>34</v>
      </c>
      <c r="T29" s="59"/>
      <c r="U29" s="60"/>
      <c r="V29" s="60"/>
      <c r="W29" s="60"/>
      <c r="X29" s="60"/>
      <c r="Y29" s="61"/>
      <c r="Z29" s="78"/>
      <c r="AA29" s="78"/>
      <c r="AB29" s="62"/>
      <c r="AC29" s="63"/>
      <c r="AD29" s="63"/>
      <c r="AE29" s="1036"/>
      <c r="AF29" s="59"/>
      <c r="AG29" s="63"/>
    </row>
    <row r="30" spans="1:33" ht="15.75" thickBot="1">
      <c r="A30" s="751">
        <f t="shared" si="2"/>
        <v>24</v>
      </c>
      <c r="B30" s="752" t="s">
        <v>23</v>
      </c>
      <c r="C30" s="95">
        <f t="shared" ref="C30:H30" si="8">+C7+C21+C27+C28</f>
        <v>642225</v>
      </c>
      <c r="D30" s="96">
        <f t="shared" si="8"/>
        <v>641826</v>
      </c>
      <c r="E30" s="96">
        <f t="shared" si="8"/>
        <v>8859</v>
      </c>
      <c r="F30" s="96">
        <f t="shared" si="8"/>
        <v>8859</v>
      </c>
      <c r="G30" s="96">
        <f t="shared" si="8"/>
        <v>651084</v>
      </c>
      <c r="H30" s="97">
        <f t="shared" si="8"/>
        <v>650685</v>
      </c>
      <c r="I30" s="98"/>
      <c r="J30" s="98">
        <f>+J7+J21+J27+J28</f>
        <v>98439</v>
      </c>
      <c r="K30" s="99">
        <f>+K7+K21+K27+K28</f>
        <v>16481</v>
      </c>
      <c r="L30" s="100">
        <f>+L7+L21+L27+L28</f>
        <v>399</v>
      </c>
      <c r="M30" s="100">
        <f>+M7+M21+M27+M28</f>
        <v>361</v>
      </c>
      <c r="N30" s="753"/>
      <c r="O30" s="95">
        <f>+O7+O21+O27+O28</f>
        <v>7898</v>
      </c>
      <c r="P30" s="100">
        <f>+P7+P21+P27+P28</f>
        <v>658583</v>
      </c>
      <c r="R30" s="25">
        <f t="shared" si="5"/>
        <v>23</v>
      </c>
      <c r="S30" s="37" t="s">
        <v>60</v>
      </c>
      <c r="T30" s="94"/>
      <c r="U30" s="92"/>
      <c r="V30" s="92"/>
      <c r="W30" s="92"/>
      <c r="X30" s="65"/>
      <c r="Y30" s="66"/>
      <c r="Z30" s="93"/>
      <c r="AA30" s="93"/>
      <c r="AB30" s="91"/>
      <c r="AC30" s="68"/>
      <c r="AD30" s="68"/>
      <c r="AE30" s="1036"/>
      <c r="AF30" s="94"/>
      <c r="AG30" s="68"/>
    </row>
    <row r="31" spans="1:33">
      <c r="R31" s="24">
        <f t="shared" si="5"/>
        <v>24</v>
      </c>
      <c r="S31" s="38" t="s">
        <v>32</v>
      </c>
      <c r="T31" s="70">
        <v>1317</v>
      </c>
      <c r="U31" s="71">
        <v>1317</v>
      </c>
      <c r="V31" s="71">
        <v>0</v>
      </c>
      <c r="W31" s="71">
        <v>0</v>
      </c>
      <c r="X31" s="71">
        <v>1317</v>
      </c>
      <c r="Y31" s="72">
        <v>1317</v>
      </c>
      <c r="Z31" s="90"/>
      <c r="AA31" s="90">
        <v>0</v>
      </c>
      <c r="AB31" s="73">
        <v>0</v>
      </c>
      <c r="AC31" s="74">
        <v>0</v>
      </c>
      <c r="AD31" s="74">
        <v>0</v>
      </c>
      <c r="AE31" s="1036"/>
      <c r="AF31" s="70">
        <v>0</v>
      </c>
      <c r="AG31" s="74">
        <v>1317</v>
      </c>
    </row>
    <row r="32" spans="1:33">
      <c r="R32" s="46">
        <f t="shared" si="5"/>
        <v>25</v>
      </c>
      <c r="S32" s="47" t="s">
        <v>39</v>
      </c>
      <c r="T32" s="59"/>
      <c r="U32" s="60"/>
      <c r="V32" s="60"/>
      <c r="W32" s="60"/>
      <c r="X32" s="60"/>
      <c r="Y32" s="61"/>
      <c r="Z32" s="78"/>
      <c r="AA32" s="78"/>
      <c r="AB32" s="62"/>
      <c r="AC32" s="63"/>
      <c r="AD32" s="63"/>
      <c r="AE32" s="1036"/>
      <c r="AF32" s="59"/>
      <c r="AG32" s="63"/>
    </row>
    <row r="33" spans="18:33" ht="15.75" thickBot="1">
      <c r="R33" s="25">
        <f t="shared" si="5"/>
        <v>26</v>
      </c>
      <c r="S33" s="37" t="s">
        <v>60</v>
      </c>
      <c r="T33" s="89"/>
      <c r="U33" s="87"/>
      <c r="V33" s="87"/>
      <c r="W33" s="87"/>
      <c r="X33" s="65"/>
      <c r="Y33" s="66"/>
      <c r="Z33" s="88"/>
      <c r="AA33" s="88"/>
      <c r="AB33" s="86"/>
      <c r="AC33" s="68"/>
      <c r="AD33" s="68"/>
      <c r="AE33" s="1036"/>
      <c r="AF33" s="89"/>
      <c r="AG33" s="68"/>
    </row>
    <row r="34" spans="18:33" ht="15.75" thickBot="1">
      <c r="R34" s="31">
        <f t="shared" si="5"/>
        <v>27</v>
      </c>
      <c r="S34" s="39" t="s">
        <v>23</v>
      </c>
      <c r="T34" s="95">
        <v>642225</v>
      </c>
      <c r="U34" s="96">
        <v>641826</v>
      </c>
      <c r="V34" s="96">
        <v>8859</v>
      </c>
      <c r="W34" s="96">
        <v>8859</v>
      </c>
      <c r="X34" s="96">
        <v>651084</v>
      </c>
      <c r="Y34" s="97">
        <v>650685</v>
      </c>
      <c r="Z34" s="98"/>
      <c r="AA34" s="98">
        <v>98439</v>
      </c>
      <c r="AB34" s="99">
        <v>16481</v>
      </c>
      <c r="AC34" s="100">
        <v>399</v>
      </c>
      <c r="AD34" s="100">
        <v>361</v>
      </c>
      <c r="AE34" s="101"/>
      <c r="AF34" s="95">
        <v>7898</v>
      </c>
      <c r="AG34" s="100">
        <v>658583</v>
      </c>
    </row>
  </sheetData>
  <mergeCells count="24">
    <mergeCell ref="A4:A6"/>
    <mergeCell ref="B4:B6"/>
    <mergeCell ref="C4:D4"/>
    <mergeCell ref="E4:F4"/>
    <mergeCell ref="G4:H4"/>
    <mergeCell ref="I4:I5"/>
    <mergeCell ref="AA4:AA5"/>
    <mergeCell ref="AB4:AB5"/>
    <mergeCell ref="J4:J5"/>
    <mergeCell ref="K4:K5"/>
    <mergeCell ref="L4:L5"/>
    <mergeCell ref="M4:M5"/>
    <mergeCell ref="O4:O5"/>
    <mergeCell ref="P4:P5"/>
    <mergeCell ref="AC4:AC5"/>
    <mergeCell ref="AD4:AD5"/>
    <mergeCell ref="AF4:AF5"/>
    <mergeCell ref="AG4:AG5"/>
    <mergeCell ref="R4:R6"/>
    <mergeCell ref="S4:S6"/>
    <mergeCell ref="T4:U4"/>
    <mergeCell ref="V4:W4"/>
    <mergeCell ref="X4:Y4"/>
    <mergeCell ref="Z4:Z5"/>
  </mergeCells>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dimension ref="A1:AG39"/>
  <sheetViews>
    <sheetView zoomScale="85" zoomScaleNormal="85" workbookViewId="0">
      <selection activeCell="R1" sqref="R1:AG65536"/>
    </sheetView>
  </sheetViews>
  <sheetFormatPr defaultRowHeight="15"/>
  <cols>
    <col min="1" max="1" width="9.42578125" customWidth="1"/>
    <col min="2" max="2" width="45.85546875" customWidth="1"/>
    <col min="3" max="3" width="12.7109375" customWidth="1"/>
    <col min="4" max="4" width="11.5703125" customWidth="1"/>
    <col min="5" max="5" width="11.28515625" customWidth="1"/>
    <col min="6" max="6" width="11.5703125" customWidth="1"/>
    <col min="7" max="7" width="10.85546875" customWidth="1"/>
    <col min="8" max="9" width="10.42578125" customWidth="1"/>
    <col min="10" max="10" width="12.5703125" customWidth="1"/>
    <col min="11" max="11" width="10.5703125" customWidth="1"/>
    <col min="12" max="12" width="14" customWidth="1"/>
    <col min="13" max="13" width="12.42578125" customWidth="1"/>
    <col min="14" max="14" width="1.7109375" customWidth="1"/>
    <col min="15" max="15" width="11" customWidth="1"/>
    <col min="16" max="16" width="10.85546875" customWidth="1"/>
    <col min="18" max="18" width="9.42578125" hidden="1" customWidth="1"/>
    <col min="19" max="19" width="45.85546875" hidden="1" customWidth="1"/>
    <col min="20" max="20" width="12.7109375" hidden="1" customWidth="1"/>
    <col min="21" max="21" width="11.5703125" hidden="1" customWidth="1"/>
    <col min="22" max="22" width="11.28515625" hidden="1" customWidth="1"/>
    <col min="23" max="23" width="11.5703125" hidden="1" customWidth="1"/>
    <col min="24" max="25" width="12.140625" hidden="1" customWidth="1"/>
    <col min="26" max="26" width="10.42578125" hidden="1" customWidth="1"/>
    <col min="27" max="27" width="12.5703125" hidden="1" customWidth="1"/>
    <col min="28" max="28" width="10.5703125" hidden="1" customWidth="1"/>
    <col min="29" max="29" width="14" hidden="1" customWidth="1"/>
    <col min="30" max="30" width="12.42578125" hidden="1" customWidth="1"/>
    <col min="31" max="31" width="1.7109375" hidden="1" customWidth="1"/>
    <col min="32" max="32" width="11" hidden="1" customWidth="1"/>
    <col min="33" max="33" width="10.85546875" hidden="1" customWidth="1"/>
  </cols>
  <sheetData>
    <row r="1" spans="1:33" ht="15.75">
      <c r="A1" s="754" t="s">
        <v>44</v>
      </c>
      <c r="B1" s="755"/>
      <c r="C1" s="756"/>
      <c r="D1" s="756"/>
      <c r="E1" s="756"/>
      <c r="F1" s="756"/>
      <c r="G1" s="756"/>
      <c r="H1" s="756"/>
      <c r="I1" s="756"/>
      <c r="J1" s="756"/>
      <c r="K1" s="756"/>
      <c r="L1" s="756"/>
      <c r="M1" s="756"/>
      <c r="N1" s="757"/>
      <c r="O1" s="756"/>
      <c r="P1" s="756"/>
    </row>
    <row r="2" spans="1:33" ht="15.75">
      <c r="A2" s="758"/>
      <c r="B2" s="756" t="s">
        <v>43</v>
      </c>
      <c r="C2" s="756"/>
      <c r="D2" s="756"/>
      <c r="E2" s="756"/>
      <c r="F2" s="756"/>
      <c r="G2" s="756"/>
      <c r="H2" s="756"/>
      <c r="I2" s="756"/>
      <c r="J2" s="756"/>
      <c r="K2" s="756"/>
      <c r="L2" s="756"/>
      <c r="M2" s="756"/>
      <c r="N2" s="757"/>
      <c r="O2" s="756"/>
      <c r="P2" s="756"/>
    </row>
    <row r="3" spans="1:33" ht="16.5" thickBot="1">
      <c r="A3" s="756"/>
      <c r="B3" s="756"/>
      <c r="C3" s="756"/>
      <c r="D3" s="756"/>
      <c r="E3" s="756"/>
      <c r="F3" s="756"/>
      <c r="G3" s="756"/>
      <c r="H3" s="756"/>
      <c r="I3" s="756"/>
      <c r="J3" s="756"/>
      <c r="K3" s="756"/>
      <c r="L3" s="756"/>
      <c r="M3" s="756"/>
      <c r="N3" s="757"/>
      <c r="O3" s="756"/>
      <c r="P3" s="759" t="s">
        <v>2</v>
      </c>
    </row>
    <row r="4" spans="1:33" ht="15.75">
      <c r="A4" s="1535" t="s">
        <v>1</v>
      </c>
      <c r="B4" s="1538" t="s">
        <v>554</v>
      </c>
      <c r="C4" s="1541" t="s">
        <v>555</v>
      </c>
      <c r="D4" s="1542"/>
      <c r="E4" s="1542" t="s">
        <v>556</v>
      </c>
      <c r="F4" s="1542"/>
      <c r="G4" s="1543" t="s">
        <v>557</v>
      </c>
      <c r="H4" s="1544"/>
      <c r="I4" s="1523" t="s">
        <v>401</v>
      </c>
      <c r="J4" s="1523" t="s">
        <v>402</v>
      </c>
      <c r="K4" s="1525" t="s">
        <v>403</v>
      </c>
      <c r="L4" s="1527" t="s">
        <v>404</v>
      </c>
      <c r="M4" s="1529" t="s">
        <v>405</v>
      </c>
      <c r="N4" s="1323"/>
      <c r="O4" s="1531" t="s">
        <v>406</v>
      </c>
      <c r="P4" s="1533" t="s">
        <v>21</v>
      </c>
      <c r="R4" s="1357" t="s">
        <v>1</v>
      </c>
      <c r="S4" s="1354" t="s">
        <v>46</v>
      </c>
      <c r="T4" s="1360" t="s">
        <v>18</v>
      </c>
      <c r="U4" s="1361"/>
      <c r="V4" s="1361" t="s">
        <v>19</v>
      </c>
      <c r="W4" s="1361"/>
      <c r="X4" s="1364" t="s">
        <v>20</v>
      </c>
      <c r="Y4" s="1365"/>
      <c r="Z4" s="1349" t="s">
        <v>47</v>
      </c>
      <c r="AA4" s="1349" t="s">
        <v>48</v>
      </c>
      <c r="AB4" s="1351" t="s">
        <v>49</v>
      </c>
      <c r="AC4" s="1362" t="s">
        <v>62</v>
      </c>
      <c r="AD4" s="1370" t="s">
        <v>69</v>
      </c>
      <c r="AE4" s="1037"/>
      <c r="AF4" s="1366" t="s">
        <v>65</v>
      </c>
      <c r="AG4" s="1368" t="s">
        <v>21</v>
      </c>
    </row>
    <row r="5" spans="1:33" ht="15.75">
      <c r="A5" s="1536"/>
      <c r="B5" s="1539"/>
      <c r="C5" s="1324" t="s">
        <v>407</v>
      </c>
      <c r="D5" s="1325" t="s">
        <v>408</v>
      </c>
      <c r="E5" s="1324" t="s">
        <v>12</v>
      </c>
      <c r="F5" s="1325" t="s">
        <v>16</v>
      </c>
      <c r="G5" s="1325" t="s">
        <v>12</v>
      </c>
      <c r="H5" s="1326" t="s">
        <v>16</v>
      </c>
      <c r="I5" s="1524"/>
      <c r="J5" s="1524"/>
      <c r="K5" s="1526"/>
      <c r="L5" s="1528"/>
      <c r="M5" s="1530"/>
      <c r="N5" s="1323"/>
      <c r="O5" s="1532"/>
      <c r="P5" s="1534"/>
      <c r="R5" s="1358"/>
      <c r="S5" s="1355"/>
      <c r="T5" s="1077" t="s">
        <v>26</v>
      </c>
      <c r="U5" s="11" t="s">
        <v>50</v>
      </c>
      <c r="V5" s="10" t="s">
        <v>12</v>
      </c>
      <c r="W5" s="11" t="s">
        <v>16</v>
      </c>
      <c r="X5" s="11" t="s">
        <v>12</v>
      </c>
      <c r="Y5" s="33" t="s">
        <v>16</v>
      </c>
      <c r="Z5" s="1350"/>
      <c r="AA5" s="1350"/>
      <c r="AB5" s="1352"/>
      <c r="AC5" s="1363"/>
      <c r="AD5" s="1371"/>
      <c r="AE5" s="1037"/>
      <c r="AF5" s="1367"/>
      <c r="AG5" s="1369"/>
    </row>
    <row r="6" spans="1:33" ht="16.5" thickBot="1">
      <c r="A6" s="1537"/>
      <c r="B6" s="1540"/>
      <c r="C6" s="1327" t="s">
        <v>4</v>
      </c>
      <c r="D6" s="1328" t="s">
        <v>5</v>
      </c>
      <c r="E6" s="1328" t="s">
        <v>6</v>
      </c>
      <c r="F6" s="1328" t="s">
        <v>7</v>
      </c>
      <c r="G6" s="1328" t="s">
        <v>13</v>
      </c>
      <c r="H6" s="1329" t="s">
        <v>14</v>
      </c>
      <c r="I6" s="1330" t="s">
        <v>28</v>
      </c>
      <c r="J6" s="1330" t="s">
        <v>31</v>
      </c>
      <c r="K6" s="1331" t="s">
        <v>9</v>
      </c>
      <c r="L6" s="1332" t="s">
        <v>22</v>
      </c>
      <c r="M6" s="1332" t="s">
        <v>63</v>
      </c>
      <c r="N6" s="1323"/>
      <c r="O6" s="1333" t="s">
        <v>10</v>
      </c>
      <c r="P6" s="1332" t="s">
        <v>64</v>
      </c>
      <c r="R6" s="1359"/>
      <c r="S6" s="1356"/>
      <c r="T6" s="1078" t="s">
        <v>4</v>
      </c>
      <c r="U6" s="13" t="s">
        <v>5</v>
      </c>
      <c r="V6" s="13" t="s">
        <v>6</v>
      </c>
      <c r="W6" s="13" t="s">
        <v>7</v>
      </c>
      <c r="X6" s="13" t="s">
        <v>13</v>
      </c>
      <c r="Y6" s="34" t="s">
        <v>14</v>
      </c>
      <c r="Z6" s="45" t="s">
        <v>28</v>
      </c>
      <c r="AA6" s="45" t="s">
        <v>31</v>
      </c>
      <c r="AB6" s="32" t="s">
        <v>9</v>
      </c>
      <c r="AC6" s="14" t="s">
        <v>22</v>
      </c>
      <c r="AD6" s="14" t="s">
        <v>63</v>
      </c>
      <c r="AE6" s="1037"/>
      <c r="AF6" s="44" t="s">
        <v>10</v>
      </c>
      <c r="AG6" s="14" t="s">
        <v>64</v>
      </c>
    </row>
    <row r="7" spans="1:33" ht="15.75">
      <c r="A7" s="760">
        <v>1</v>
      </c>
      <c r="B7" s="761" t="s">
        <v>15</v>
      </c>
      <c r="C7" s="762">
        <f t="shared" ref="C7:L7" si="0">+C8+C12</f>
        <v>173079</v>
      </c>
      <c r="D7" s="762">
        <f t="shared" si="0"/>
        <v>172946</v>
      </c>
      <c r="E7" s="762">
        <f t="shared" si="0"/>
        <v>0</v>
      </c>
      <c r="F7" s="762">
        <f t="shared" si="0"/>
        <v>0</v>
      </c>
      <c r="G7" s="762">
        <f t="shared" si="0"/>
        <v>173079</v>
      </c>
      <c r="H7" s="763">
        <f t="shared" si="0"/>
        <v>172946</v>
      </c>
      <c r="I7" s="764"/>
      <c r="J7" s="764">
        <f t="shared" si="0"/>
        <v>696</v>
      </c>
      <c r="K7" s="765">
        <f t="shared" si="0"/>
        <v>3181</v>
      </c>
      <c r="L7" s="766">
        <f t="shared" si="0"/>
        <v>133</v>
      </c>
      <c r="M7" s="766">
        <f>+M8+M12</f>
        <v>0</v>
      </c>
      <c r="N7" s="767"/>
      <c r="O7" s="768">
        <f>+O8+O12</f>
        <v>0</v>
      </c>
      <c r="P7" s="762">
        <f>+P8+P12</f>
        <v>172946</v>
      </c>
      <c r="R7" s="24">
        <v>1</v>
      </c>
      <c r="S7" s="38" t="s">
        <v>15</v>
      </c>
      <c r="T7" s="54">
        <v>173079</v>
      </c>
      <c r="U7" s="55">
        <v>172946</v>
      </c>
      <c r="V7" s="55">
        <v>0</v>
      </c>
      <c r="W7" s="55">
        <v>0</v>
      </c>
      <c r="X7" s="55">
        <v>173079</v>
      </c>
      <c r="Y7" s="56">
        <v>172946</v>
      </c>
      <c r="Z7" s="75"/>
      <c r="AA7" s="75">
        <v>696</v>
      </c>
      <c r="AB7" s="57">
        <v>3181</v>
      </c>
      <c r="AC7" s="58">
        <v>133</v>
      </c>
      <c r="AD7" s="58">
        <v>0</v>
      </c>
      <c r="AE7" s="1036"/>
      <c r="AF7" s="54">
        <v>0</v>
      </c>
      <c r="AG7" s="58">
        <v>172946</v>
      </c>
    </row>
    <row r="8" spans="1:33" ht="15.75">
      <c r="A8" s="769">
        <f>A7+1</f>
        <v>2</v>
      </c>
      <c r="B8" s="770" t="s">
        <v>35</v>
      </c>
      <c r="C8" s="771">
        <f t="shared" ref="C8:L8" si="1">SUM(C9:C11)</f>
        <v>111540</v>
      </c>
      <c r="D8" s="771">
        <f t="shared" si="1"/>
        <v>111540</v>
      </c>
      <c r="E8" s="771">
        <f t="shared" si="1"/>
        <v>0</v>
      </c>
      <c r="F8" s="771">
        <f t="shared" si="1"/>
        <v>0</v>
      </c>
      <c r="G8" s="771">
        <f t="shared" si="1"/>
        <v>111540</v>
      </c>
      <c r="H8" s="772">
        <f t="shared" si="1"/>
        <v>111540</v>
      </c>
      <c r="I8" s="773"/>
      <c r="J8" s="774">
        <f t="shared" si="1"/>
        <v>0</v>
      </c>
      <c r="K8" s="775">
        <f t="shared" si="1"/>
        <v>1156</v>
      </c>
      <c r="L8" s="776">
        <f t="shared" si="1"/>
        <v>0</v>
      </c>
      <c r="M8" s="776">
        <f>SUM(M9:M11)</f>
        <v>0</v>
      </c>
      <c r="N8" s="767"/>
      <c r="O8" s="777">
        <f>SUM(O9:O11)</f>
        <v>0</v>
      </c>
      <c r="P8" s="776">
        <f>SUM(P9:P11)</f>
        <v>111540</v>
      </c>
      <c r="R8" s="48">
        <f>R7+1</f>
        <v>2</v>
      </c>
      <c r="S8" s="35" t="s">
        <v>35</v>
      </c>
      <c r="T8" s="59">
        <v>111540</v>
      </c>
      <c r="U8" s="60">
        <v>111540</v>
      </c>
      <c r="V8" s="60">
        <v>0</v>
      </c>
      <c r="W8" s="60">
        <v>0</v>
      </c>
      <c r="X8" s="60">
        <v>111540</v>
      </c>
      <c r="Y8" s="61">
        <v>111540</v>
      </c>
      <c r="Z8" s="77"/>
      <c r="AA8" s="78">
        <v>0</v>
      </c>
      <c r="AB8" s="62">
        <v>1156</v>
      </c>
      <c r="AC8" s="63">
        <v>0</v>
      </c>
      <c r="AD8" s="63">
        <v>0</v>
      </c>
      <c r="AE8" s="1036"/>
      <c r="AF8" s="59">
        <v>0</v>
      </c>
      <c r="AG8" s="63">
        <v>111540</v>
      </c>
    </row>
    <row r="9" spans="1:33" ht="15.75">
      <c r="A9" s="778">
        <f t="shared" ref="A9:A39" si="2">A8+1</f>
        <v>3</v>
      </c>
      <c r="B9" s="779" t="s">
        <v>58</v>
      </c>
      <c r="C9" s="780">
        <v>111476</v>
      </c>
      <c r="D9" s="780">
        <v>111476</v>
      </c>
      <c r="E9" s="780">
        <v>0</v>
      </c>
      <c r="F9" s="780">
        <v>0</v>
      </c>
      <c r="G9" s="780">
        <f t="shared" ref="G9:H20" si="3">+C9+E9</f>
        <v>111476</v>
      </c>
      <c r="H9" s="781">
        <f t="shared" si="3"/>
        <v>111476</v>
      </c>
      <c r="I9" s="782"/>
      <c r="J9" s="783"/>
      <c r="K9" s="784">
        <v>1156</v>
      </c>
      <c r="L9" s="785">
        <f t="shared" ref="L9:L20" si="4">+G9-H9</f>
        <v>0</v>
      </c>
      <c r="M9" s="785">
        <v>0</v>
      </c>
      <c r="N9" s="767"/>
      <c r="O9" s="786">
        <v>0</v>
      </c>
      <c r="P9" s="785">
        <f t="shared" ref="P9:P38" si="5">H9+O9</f>
        <v>111476</v>
      </c>
      <c r="R9" s="25">
        <f t="shared" ref="R9:R34" si="6">R8+1</f>
        <v>3</v>
      </c>
      <c r="S9" s="36" t="s">
        <v>58</v>
      </c>
      <c r="T9" s="64">
        <v>111476</v>
      </c>
      <c r="U9" s="65">
        <v>111476</v>
      </c>
      <c r="V9" s="65">
        <v>0</v>
      </c>
      <c r="W9" s="65">
        <v>0</v>
      </c>
      <c r="X9" s="65">
        <v>111476</v>
      </c>
      <c r="Y9" s="66">
        <v>111476</v>
      </c>
      <c r="Z9" s="80"/>
      <c r="AA9" s="80"/>
      <c r="AB9" s="67">
        <v>1156</v>
      </c>
      <c r="AC9" s="68">
        <v>0</v>
      </c>
      <c r="AD9" s="68">
        <v>0</v>
      </c>
      <c r="AE9" s="1036"/>
      <c r="AF9" s="64">
        <v>0</v>
      </c>
      <c r="AG9" s="68">
        <v>111476</v>
      </c>
    </row>
    <row r="10" spans="1:33" ht="15.75">
      <c r="A10" s="778">
        <f t="shared" si="2"/>
        <v>4</v>
      </c>
      <c r="B10" s="779" t="s">
        <v>409</v>
      </c>
      <c r="C10" s="780">
        <v>64</v>
      </c>
      <c r="D10" s="780">
        <v>64</v>
      </c>
      <c r="E10" s="780">
        <v>0</v>
      </c>
      <c r="F10" s="780">
        <v>0</v>
      </c>
      <c r="G10" s="780">
        <f t="shared" si="3"/>
        <v>64</v>
      </c>
      <c r="H10" s="781">
        <f t="shared" si="3"/>
        <v>64</v>
      </c>
      <c r="I10" s="782">
        <v>0</v>
      </c>
      <c r="J10" s="783">
        <v>0</v>
      </c>
      <c r="K10" s="784">
        <v>0</v>
      </c>
      <c r="L10" s="785">
        <f t="shared" si="4"/>
        <v>0</v>
      </c>
      <c r="M10" s="785">
        <v>0</v>
      </c>
      <c r="N10" s="767"/>
      <c r="O10" s="786"/>
      <c r="P10" s="785">
        <f t="shared" si="5"/>
        <v>64</v>
      </c>
      <c r="R10" s="25">
        <f t="shared" si="6"/>
        <v>4</v>
      </c>
      <c r="S10" s="36" t="s">
        <v>36</v>
      </c>
      <c r="T10" s="64">
        <v>64</v>
      </c>
      <c r="U10" s="65">
        <v>64</v>
      </c>
      <c r="V10" s="65">
        <v>0</v>
      </c>
      <c r="W10" s="65">
        <v>0</v>
      </c>
      <c r="X10" s="65">
        <v>64</v>
      </c>
      <c r="Y10" s="249">
        <v>64</v>
      </c>
      <c r="Z10" s="80">
        <v>0</v>
      </c>
      <c r="AA10" s="80">
        <v>0</v>
      </c>
      <c r="AB10" s="67">
        <v>0</v>
      </c>
      <c r="AC10" s="68">
        <v>0</v>
      </c>
      <c r="AD10" s="68">
        <v>0</v>
      </c>
      <c r="AE10" s="1036"/>
      <c r="AF10" s="64"/>
      <c r="AG10" s="68">
        <v>64</v>
      </c>
    </row>
    <row r="11" spans="1:33" ht="15.75">
      <c r="A11" s="778">
        <f t="shared" si="2"/>
        <v>5</v>
      </c>
      <c r="B11" s="787" t="s">
        <v>0</v>
      </c>
      <c r="C11" s="780">
        <v>0</v>
      </c>
      <c r="D11" s="780">
        <v>0</v>
      </c>
      <c r="E11" s="780">
        <v>0</v>
      </c>
      <c r="F11" s="780">
        <v>0</v>
      </c>
      <c r="G11" s="780">
        <f t="shared" si="3"/>
        <v>0</v>
      </c>
      <c r="H11" s="781">
        <f t="shared" si="3"/>
        <v>0</v>
      </c>
      <c r="I11" s="782">
        <v>0</v>
      </c>
      <c r="J11" s="783">
        <v>0</v>
      </c>
      <c r="K11" s="784">
        <v>0</v>
      </c>
      <c r="L11" s="785">
        <f t="shared" si="4"/>
        <v>0</v>
      </c>
      <c r="M11" s="785">
        <v>0</v>
      </c>
      <c r="N11" s="767"/>
      <c r="O11" s="786">
        <v>0</v>
      </c>
      <c r="P11" s="785">
        <f t="shared" si="5"/>
        <v>0</v>
      </c>
      <c r="R11" s="25">
        <f t="shared" si="6"/>
        <v>5</v>
      </c>
      <c r="S11" s="37" t="s">
        <v>30</v>
      </c>
      <c r="T11" s="64">
        <v>0</v>
      </c>
      <c r="U11" s="65">
        <v>0</v>
      </c>
      <c r="V11" s="65">
        <v>0</v>
      </c>
      <c r="W11" s="65">
        <v>0</v>
      </c>
      <c r="X11" s="65">
        <v>0</v>
      </c>
      <c r="Y11" s="66">
        <v>0</v>
      </c>
      <c r="Z11" s="79">
        <v>0</v>
      </c>
      <c r="AA11" s="80">
        <v>0</v>
      </c>
      <c r="AB11" s="67">
        <v>0</v>
      </c>
      <c r="AC11" s="68">
        <v>0</v>
      </c>
      <c r="AD11" s="68">
        <v>0</v>
      </c>
      <c r="AE11" s="1036"/>
      <c r="AF11" s="64">
        <v>0</v>
      </c>
      <c r="AG11" s="68">
        <v>0</v>
      </c>
    </row>
    <row r="12" spans="1:33" ht="15.75">
      <c r="A12" s="769">
        <f t="shared" si="2"/>
        <v>6</v>
      </c>
      <c r="B12" s="770" t="s">
        <v>42</v>
      </c>
      <c r="C12" s="771">
        <f>SUM(C13+C16+C18+C19)</f>
        <v>61539</v>
      </c>
      <c r="D12" s="771">
        <f>SUM(D13+D16+D18+D19)</f>
        <v>61406</v>
      </c>
      <c r="E12" s="771">
        <f>+E13+E16+E18+E19</f>
        <v>0</v>
      </c>
      <c r="F12" s="771">
        <f>+F13+F16+F18+F19</f>
        <v>0</v>
      </c>
      <c r="G12" s="771">
        <f t="shared" si="3"/>
        <v>61539</v>
      </c>
      <c r="H12" s="772">
        <f t="shared" si="3"/>
        <v>61406</v>
      </c>
      <c r="I12" s="774"/>
      <c r="J12" s="774">
        <f>SUM(J19+J18+J16+J14+J13)</f>
        <v>696</v>
      </c>
      <c r="K12" s="775">
        <f>+K13+K16+K18+K19</f>
        <v>2025</v>
      </c>
      <c r="L12" s="776">
        <f t="shared" si="4"/>
        <v>133</v>
      </c>
      <c r="M12" s="776">
        <f>+M13+M16+M18+M19</f>
        <v>0</v>
      </c>
      <c r="N12" s="767"/>
      <c r="O12" s="777">
        <f>+O13+O16+O18+O19</f>
        <v>0</v>
      </c>
      <c r="P12" s="776">
        <f t="shared" si="5"/>
        <v>61406</v>
      </c>
      <c r="R12" s="48">
        <f t="shared" si="6"/>
        <v>6</v>
      </c>
      <c r="S12" s="35" t="s">
        <v>42</v>
      </c>
      <c r="T12" s="59">
        <v>61539</v>
      </c>
      <c r="U12" s="60">
        <v>61406</v>
      </c>
      <c r="V12" s="60">
        <v>0</v>
      </c>
      <c r="W12" s="60">
        <v>0</v>
      </c>
      <c r="X12" s="60">
        <v>61539</v>
      </c>
      <c r="Y12" s="61">
        <v>61406</v>
      </c>
      <c r="Z12" s="78"/>
      <c r="AA12" s="78">
        <v>696</v>
      </c>
      <c r="AB12" s="62">
        <v>2025</v>
      </c>
      <c r="AC12" s="63">
        <v>133</v>
      </c>
      <c r="AD12" s="63">
        <v>0</v>
      </c>
      <c r="AE12" s="1036"/>
      <c r="AF12" s="59">
        <v>0</v>
      </c>
      <c r="AG12" s="63">
        <v>61406</v>
      </c>
    </row>
    <row r="13" spans="1:33" ht="15.75">
      <c r="A13" s="788">
        <f t="shared" si="2"/>
        <v>7</v>
      </c>
      <c r="B13" s="779" t="s">
        <v>51</v>
      </c>
      <c r="C13" s="789">
        <v>34955</v>
      </c>
      <c r="D13" s="790">
        <v>34955</v>
      </c>
      <c r="E13" s="790">
        <v>0</v>
      </c>
      <c r="F13" s="790">
        <v>0</v>
      </c>
      <c r="G13" s="780">
        <f t="shared" si="3"/>
        <v>34955</v>
      </c>
      <c r="H13" s="781">
        <f t="shared" si="3"/>
        <v>34955</v>
      </c>
      <c r="I13" s="782">
        <v>0</v>
      </c>
      <c r="J13" s="791">
        <v>0</v>
      </c>
      <c r="K13" s="789">
        <v>1516</v>
      </c>
      <c r="L13" s="785">
        <f t="shared" si="4"/>
        <v>0</v>
      </c>
      <c r="M13" s="785">
        <v>0</v>
      </c>
      <c r="N13" s="792"/>
      <c r="O13" s="793">
        <v>0</v>
      </c>
      <c r="P13" s="785">
        <f t="shared" si="5"/>
        <v>34955</v>
      </c>
      <c r="R13" s="29">
        <f t="shared" si="6"/>
        <v>7</v>
      </c>
      <c r="S13" s="36" t="s">
        <v>51</v>
      </c>
      <c r="T13" s="85">
        <v>34955</v>
      </c>
      <c r="U13" s="82">
        <v>34955</v>
      </c>
      <c r="V13" s="82">
        <v>0</v>
      </c>
      <c r="W13" s="82">
        <v>0</v>
      </c>
      <c r="X13" s="65">
        <v>34955</v>
      </c>
      <c r="Y13" s="66">
        <v>34955</v>
      </c>
      <c r="Z13" s="79">
        <v>0</v>
      </c>
      <c r="AA13" s="83">
        <v>0</v>
      </c>
      <c r="AB13" s="81">
        <v>1516</v>
      </c>
      <c r="AC13" s="68">
        <v>0</v>
      </c>
      <c r="AD13" s="68">
        <v>0</v>
      </c>
      <c r="AE13" s="706"/>
      <c r="AF13" s="85">
        <v>0</v>
      </c>
      <c r="AG13" s="68">
        <v>34955</v>
      </c>
    </row>
    <row r="14" spans="1:33" ht="15.75">
      <c r="A14" s="788"/>
      <c r="B14" s="794" t="s">
        <v>410</v>
      </c>
      <c r="C14" s="789">
        <v>34955</v>
      </c>
      <c r="D14" s="790">
        <v>34955</v>
      </c>
      <c r="E14" s="790">
        <v>0</v>
      </c>
      <c r="F14" s="790">
        <v>0</v>
      </c>
      <c r="G14" s="780">
        <f t="shared" si="3"/>
        <v>34955</v>
      </c>
      <c r="H14" s="781">
        <f t="shared" si="3"/>
        <v>34955</v>
      </c>
      <c r="I14" s="782">
        <v>0</v>
      </c>
      <c r="J14" s="791">
        <v>0</v>
      </c>
      <c r="K14" s="789">
        <v>1516</v>
      </c>
      <c r="L14" s="785">
        <f t="shared" si="4"/>
        <v>0</v>
      </c>
      <c r="M14" s="785">
        <v>0</v>
      </c>
      <c r="N14" s="792"/>
      <c r="O14" s="793">
        <v>0</v>
      </c>
      <c r="P14" s="785">
        <f t="shared" si="5"/>
        <v>34955</v>
      </c>
      <c r="R14" s="29"/>
      <c r="S14" s="36" t="s">
        <v>61</v>
      </c>
      <c r="T14" s="85">
        <v>34955</v>
      </c>
      <c r="U14" s="82">
        <v>34955</v>
      </c>
      <c r="V14" s="82">
        <v>0</v>
      </c>
      <c r="W14" s="82">
        <v>0</v>
      </c>
      <c r="X14" s="65">
        <v>34955</v>
      </c>
      <c r="Y14" s="66">
        <v>34955</v>
      </c>
      <c r="Z14" s="79">
        <v>0</v>
      </c>
      <c r="AA14" s="83">
        <v>0</v>
      </c>
      <c r="AB14" s="81">
        <v>1516</v>
      </c>
      <c r="AC14" s="68">
        <v>0</v>
      </c>
      <c r="AD14" s="68">
        <v>0</v>
      </c>
      <c r="AE14" s="706"/>
      <c r="AF14" s="85">
        <v>0</v>
      </c>
      <c r="AG14" s="68">
        <v>34955</v>
      </c>
    </row>
    <row r="15" spans="1:33" ht="15.75">
      <c r="A15" s="778">
        <f>A13+1</f>
        <v>8</v>
      </c>
      <c r="B15" s="787" t="s">
        <v>558</v>
      </c>
      <c r="C15" s="795"/>
      <c r="D15" s="796"/>
      <c r="E15" s="796"/>
      <c r="F15" s="796"/>
      <c r="G15" s="780">
        <f t="shared" si="3"/>
        <v>0</v>
      </c>
      <c r="H15" s="781">
        <f t="shared" si="3"/>
        <v>0</v>
      </c>
      <c r="I15" s="797"/>
      <c r="J15" s="797"/>
      <c r="K15" s="795"/>
      <c r="L15" s="785">
        <f t="shared" si="4"/>
        <v>0</v>
      </c>
      <c r="M15" s="785"/>
      <c r="N15" s="767"/>
      <c r="O15" s="798"/>
      <c r="P15" s="785">
        <f t="shared" si="5"/>
        <v>0</v>
      </c>
      <c r="R15" s="25">
        <f>R13+1</f>
        <v>8</v>
      </c>
      <c r="S15" s="37" t="s">
        <v>66</v>
      </c>
      <c r="T15" s="89"/>
      <c r="U15" s="87"/>
      <c r="V15" s="87"/>
      <c r="W15" s="87"/>
      <c r="X15" s="65">
        <v>0</v>
      </c>
      <c r="Y15" s="66">
        <v>0</v>
      </c>
      <c r="Z15" s="88"/>
      <c r="AA15" s="88"/>
      <c r="AB15" s="86"/>
      <c r="AC15" s="68">
        <v>0</v>
      </c>
      <c r="AD15" s="68"/>
      <c r="AE15" s="1036"/>
      <c r="AF15" s="89"/>
      <c r="AG15" s="68">
        <v>0</v>
      </c>
    </row>
    <row r="16" spans="1:33" ht="15.75">
      <c r="A16" s="788">
        <f t="shared" si="2"/>
        <v>9</v>
      </c>
      <c r="B16" s="779" t="s">
        <v>52</v>
      </c>
      <c r="C16" s="789">
        <v>1892</v>
      </c>
      <c r="D16" s="790">
        <v>1759</v>
      </c>
      <c r="E16" s="790">
        <v>0</v>
      </c>
      <c r="F16" s="790">
        <v>0</v>
      </c>
      <c r="G16" s="780">
        <f t="shared" si="3"/>
        <v>1892</v>
      </c>
      <c r="H16" s="781">
        <f t="shared" si="3"/>
        <v>1759</v>
      </c>
      <c r="I16" s="782">
        <v>0</v>
      </c>
      <c r="J16" s="791">
        <v>0</v>
      </c>
      <c r="K16" s="789">
        <v>0</v>
      </c>
      <c r="L16" s="785">
        <f t="shared" si="4"/>
        <v>133</v>
      </c>
      <c r="M16" s="785">
        <v>0</v>
      </c>
      <c r="N16" s="792"/>
      <c r="O16" s="793">
        <v>0</v>
      </c>
      <c r="P16" s="785">
        <f t="shared" si="5"/>
        <v>1759</v>
      </c>
      <c r="R16" s="29">
        <f t="shared" si="6"/>
        <v>9</v>
      </c>
      <c r="S16" s="36" t="s">
        <v>52</v>
      </c>
      <c r="T16" s="85">
        <v>1892</v>
      </c>
      <c r="U16" s="82">
        <v>1759</v>
      </c>
      <c r="V16" s="82">
        <v>0</v>
      </c>
      <c r="W16" s="82">
        <v>0</v>
      </c>
      <c r="X16" s="65">
        <v>1892</v>
      </c>
      <c r="Y16" s="66">
        <v>1759</v>
      </c>
      <c r="Z16" s="79">
        <v>0</v>
      </c>
      <c r="AA16" s="83">
        <v>0</v>
      </c>
      <c r="AB16" s="81">
        <v>0</v>
      </c>
      <c r="AC16" s="68">
        <v>133</v>
      </c>
      <c r="AD16" s="68">
        <v>0</v>
      </c>
      <c r="AE16" s="706"/>
      <c r="AF16" s="85">
        <v>0</v>
      </c>
      <c r="AG16" s="68">
        <v>1759</v>
      </c>
    </row>
    <row r="17" spans="1:33" ht="15.75">
      <c r="A17" s="778">
        <f t="shared" si="2"/>
        <v>10</v>
      </c>
      <c r="B17" s="787" t="s">
        <v>411</v>
      </c>
      <c r="C17" s="795">
        <v>1892</v>
      </c>
      <c r="D17" s="796">
        <v>1759</v>
      </c>
      <c r="E17" s="796">
        <v>0</v>
      </c>
      <c r="F17" s="796">
        <v>0</v>
      </c>
      <c r="G17" s="780">
        <f t="shared" si="3"/>
        <v>1892</v>
      </c>
      <c r="H17" s="781">
        <f t="shared" si="3"/>
        <v>1759</v>
      </c>
      <c r="I17" s="797">
        <v>0</v>
      </c>
      <c r="J17" s="797">
        <v>0</v>
      </c>
      <c r="K17" s="795">
        <v>0</v>
      </c>
      <c r="L17" s="785">
        <f t="shared" si="4"/>
        <v>133</v>
      </c>
      <c r="M17" s="785">
        <v>0</v>
      </c>
      <c r="N17" s="767"/>
      <c r="O17" s="798">
        <v>0</v>
      </c>
      <c r="P17" s="785">
        <f t="shared" si="5"/>
        <v>1759</v>
      </c>
      <c r="R17" s="25">
        <f t="shared" si="6"/>
        <v>10</v>
      </c>
      <c r="S17" s="37" t="s">
        <v>30</v>
      </c>
      <c r="T17" s="89">
        <v>1892</v>
      </c>
      <c r="U17" s="87">
        <v>1759</v>
      </c>
      <c r="V17" s="87">
        <v>0</v>
      </c>
      <c r="W17" s="87">
        <v>0</v>
      </c>
      <c r="X17" s="65">
        <v>1892</v>
      </c>
      <c r="Y17" s="66">
        <v>1759</v>
      </c>
      <c r="Z17" s="88">
        <v>0</v>
      </c>
      <c r="AA17" s="88">
        <v>0</v>
      </c>
      <c r="AB17" s="86">
        <v>0</v>
      </c>
      <c r="AC17" s="68">
        <v>133</v>
      </c>
      <c r="AD17" s="68">
        <v>0</v>
      </c>
      <c r="AE17" s="1036"/>
      <c r="AF17" s="89">
        <v>0</v>
      </c>
      <c r="AG17" s="68">
        <v>1759</v>
      </c>
    </row>
    <row r="18" spans="1:33" ht="15.75">
      <c r="A18" s="788">
        <f t="shared" si="2"/>
        <v>11</v>
      </c>
      <c r="B18" s="779" t="s">
        <v>37</v>
      </c>
      <c r="C18" s="789">
        <v>19967</v>
      </c>
      <c r="D18" s="790">
        <v>19967</v>
      </c>
      <c r="E18" s="790">
        <v>0</v>
      </c>
      <c r="F18" s="790">
        <v>0</v>
      </c>
      <c r="G18" s="780">
        <f t="shared" si="3"/>
        <v>19967</v>
      </c>
      <c r="H18" s="781">
        <f t="shared" si="3"/>
        <v>19967</v>
      </c>
      <c r="I18" s="791">
        <v>0</v>
      </c>
      <c r="J18" s="791">
        <v>0</v>
      </c>
      <c r="K18" s="789">
        <v>370</v>
      </c>
      <c r="L18" s="785">
        <f t="shared" si="4"/>
        <v>0</v>
      </c>
      <c r="M18" s="785">
        <v>0</v>
      </c>
      <c r="N18" s="792"/>
      <c r="O18" s="793">
        <v>0</v>
      </c>
      <c r="P18" s="785">
        <f t="shared" si="5"/>
        <v>19967</v>
      </c>
      <c r="R18" s="29">
        <f t="shared" si="6"/>
        <v>11</v>
      </c>
      <c r="S18" s="36" t="s">
        <v>37</v>
      </c>
      <c r="T18" s="85">
        <v>19967</v>
      </c>
      <c r="U18" s="82">
        <v>19967</v>
      </c>
      <c r="V18" s="82">
        <v>0</v>
      </c>
      <c r="W18" s="82">
        <v>0</v>
      </c>
      <c r="X18" s="65">
        <v>19967</v>
      </c>
      <c r="Y18" s="66">
        <v>19967</v>
      </c>
      <c r="Z18" s="83">
        <v>0</v>
      </c>
      <c r="AA18" s="83">
        <v>0</v>
      </c>
      <c r="AB18" s="81">
        <v>370</v>
      </c>
      <c r="AC18" s="68">
        <v>0</v>
      </c>
      <c r="AD18" s="68">
        <v>0</v>
      </c>
      <c r="AE18" s="706"/>
      <c r="AF18" s="85">
        <v>0</v>
      </c>
      <c r="AG18" s="68">
        <v>19967</v>
      </c>
    </row>
    <row r="19" spans="1:33" ht="15.75">
      <c r="A19" s="788">
        <f t="shared" si="2"/>
        <v>12</v>
      </c>
      <c r="B19" s="799" t="s">
        <v>38</v>
      </c>
      <c r="C19" s="789">
        <v>4725</v>
      </c>
      <c r="D19" s="790">
        <v>4725</v>
      </c>
      <c r="E19" s="790">
        <v>0</v>
      </c>
      <c r="F19" s="790">
        <v>0</v>
      </c>
      <c r="G19" s="780">
        <f t="shared" si="3"/>
        <v>4725</v>
      </c>
      <c r="H19" s="781">
        <f t="shared" si="3"/>
        <v>4725</v>
      </c>
      <c r="I19" s="791">
        <v>0</v>
      </c>
      <c r="J19" s="791">
        <f>SUM(J20)</f>
        <v>696</v>
      </c>
      <c r="K19" s="789">
        <v>139</v>
      </c>
      <c r="L19" s="785">
        <f t="shared" si="4"/>
        <v>0</v>
      </c>
      <c r="M19" s="785">
        <v>0</v>
      </c>
      <c r="N19" s="792"/>
      <c r="O19" s="793">
        <v>0</v>
      </c>
      <c r="P19" s="785">
        <f t="shared" si="5"/>
        <v>4725</v>
      </c>
      <c r="R19" s="29">
        <f t="shared" si="6"/>
        <v>12</v>
      </c>
      <c r="S19" s="50" t="s">
        <v>38</v>
      </c>
      <c r="T19" s="85">
        <v>4725</v>
      </c>
      <c r="U19" s="82">
        <v>4725</v>
      </c>
      <c r="V19" s="82">
        <v>0</v>
      </c>
      <c r="W19" s="82">
        <v>0</v>
      </c>
      <c r="X19" s="65">
        <v>4725</v>
      </c>
      <c r="Y19" s="66">
        <v>4725</v>
      </c>
      <c r="Z19" s="83">
        <v>0</v>
      </c>
      <c r="AA19" s="83">
        <v>696</v>
      </c>
      <c r="AB19" s="81">
        <v>139</v>
      </c>
      <c r="AC19" s="68">
        <v>0</v>
      </c>
      <c r="AD19" s="68">
        <v>0</v>
      </c>
      <c r="AE19" s="706"/>
      <c r="AF19" s="85">
        <v>0</v>
      </c>
      <c r="AG19" s="68">
        <v>4725</v>
      </c>
    </row>
    <row r="20" spans="1:33" ht="15.75">
      <c r="A20" s="800">
        <f t="shared" si="2"/>
        <v>13</v>
      </c>
      <c r="B20" s="801" t="s">
        <v>412</v>
      </c>
      <c r="C20" s="802">
        <v>4725</v>
      </c>
      <c r="D20" s="803">
        <v>4725</v>
      </c>
      <c r="E20" s="803">
        <v>0</v>
      </c>
      <c r="F20" s="803">
        <v>0</v>
      </c>
      <c r="G20" s="804">
        <f t="shared" si="3"/>
        <v>4725</v>
      </c>
      <c r="H20" s="805">
        <f t="shared" si="3"/>
        <v>4725</v>
      </c>
      <c r="I20" s="806">
        <v>0</v>
      </c>
      <c r="J20" s="806">
        <v>696</v>
      </c>
      <c r="K20" s="802">
        <v>139</v>
      </c>
      <c r="L20" s="807">
        <f t="shared" si="4"/>
        <v>0</v>
      </c>
      <c r="M20" s="807">
        <v>0</v>
      </c>
      <c r="N20" s="767"/>
      <c r="O20" s="808">
        <v>0</v>
      </c>
      <c r="P20" s="807">
        <f t="shared" si="5"/>
        <v>4725</v>
      </c>
      <c r="R20" s="25">
        <f t="shared" si="6"/>
        <v>13</v>
      </c>
      <c r="S20" s="37" t="s">
        <v>30</v>
      </c>
      <c r="T20" s="89">
        <v>4725</v>
      </c>
      <c r="U20" s="87">
        <v>4725</v>
      </c>
      <c r="V20" s="87">
        <v>0</v>
      </c>
      <c r="W20" s="87">
        <v>0</v>
      </c>
      <c r="X20" s="65">
        <v>4725</v>
      </c>
      <c r="Y20" s="66">
        <v>4725</v>
      </c>
      <c r="Z20" s="88">
        <v>0</v>
      </c>
      <c r="AA20" s="88">
        <v>696</v>
      </c>
      <c r="AB20" s="86">
        <v>139</v>
      </c>
      <c r="AC20" s="68">
        <v>0</v>
      </c>
      <c r="AD20" s="68">
        <v>0</v>
      </c>
      <c r="AE20" s="1036"/>
      <c r="AF20" s="89">
        <v>0</v>
      </c>
      <c r="AG20" s="68">
        <v>4725</v>
      </c>
    </row>
    <row r="21" spans="1:33" ht="15.75">
      <c r="A21" s="760">
        <f t="shared" si="2"/>
        <v>14</v>
      </c>
      <c r="B21" s="761" t="s">
        <v>29</v>
      </c>
      <c r="C21" s="809">
        <f>+C22+C24+C26+C28+C30</f>
        <v>70840</v>
      </c>
      <c r="D21" s="809">
        <f>SUM(D22+D24+D26+D28+D30)</f>
        <v>69950</v>
      </c>
      <c r="E21" s="809">
        <f t="shared" ref="E21:P21" si="7">+E22+E24+E26+E28+E30</f>
        <v>7490</v>
      </c>
      <c r="F21" s="809">
        <f t="shared" si="7"/>
        <v>7473</v>
      </c>
      <c r="G21" s="809">
        <f t="shared" si="7"/>
        <v>78330</v>
      </c>
      <c r="H21" s="810">
        <f t="shared" si="7"/>
        <v>77423</v>
      </c>
      <c r="I21" s="811">
        <f t="shared" si="7"/>
        <v>0</v>
      </c>
      <c r="J21" s="811">
        <f t="shared" si="7"/>
        <v>15705</v>
      </c>
      <c r="K21" s="812">
        <f t="shared" si="7"/>
        <v>789</v>
      </c>
      <c r="L21" s="813">
        <f t="shared" si="7"/>
        <v>1572</v>
      </c>
      <c r="M21" s="813">
        <f t="shared" si="7"/>
        <v>0</v>
      </c>
      <c r="N21" s="814">
        <f t="shared" si="7"/>
        <v>0</v>
      </c>
      <c r="O21" s="815">
        <f t="shared" si="7"/>
        <v>3881</v>
      </c>
      <c r="P21" s="809">
        <f t="shared" si="7"/>
        <v>81304</v>
      </c>
      <c r="R21" s="24">
        <f t="shared" si="6"/>
        <v>14</v>
      </c>
      <c r="S21" s="38" t="s">
        <v>29</v>
      </c>
      <c r="T21" s="70">
        <v>70840</v>
      </c>
      <c r="U21" s="71">
        <v>69950</v>
      </c>
      <c r="V21" s="71">
        <v>7490</v>
      </c>
      <c r="W21" s="71">
        <v>7473</v>
      </c>
      <c r="X21" s="71">
        <v>78330</v>
      </c>
      <c r="Y21" s="72">
        <v>77423</v>
      </c>
      <c r="Z21" s="90">
        <v>0</v>
      </c>
      <c r="AA21" s="1252">
        <v>15705</v>
      </c>
      <c r="AB21" s="73">
        <v>789</v>
      </c>
      <c r="AC21" s="74">
        <v>1572</v>
      </c>
      <c r="AD21" s="74">
        <v>0</v>
      </c>
      <c r="AE21" s="1036">
        <v>0</v>
      </c>
      <c r="AF21" s="70">
        <v>3881</v>
      </c>
      <c r="AG21" s="74">
        <v>81304</v>
      </c>
    </row>
    <row r="22" spans="1:33" ht="15.75">
      <c r="A22" s="816">
        <f t="shared" si="2"/>
        <v>15</v>
      </c>
      <c r="B22" s="817" t="s">
        <v>559</v>
      </c>
      <c r="C22" s="818">
        <f>+C23</f>
        <v>14050</v>
      </c>
      <c r="D22" s="818">
        <f t="shared" ref="D22:O26" si="8">+D23</f>
        <v>13514</v>
      </c>
      <c r="E22" s="818">
        <f t="shared" si="8"/>
        <v>7490</v>
      </c>
      <c r="F22" s="818">
        <f t="shared" si="8"/>
        <v>7473</v>
      </c>
      <c r="G22" s="818">
        <f t="shared" si="8"/>
        <v>21540</v>
      </c>
      <c r="H22" s="819">
        <f t="shared" si="8"/>
        <v>20987</v>
      </c>
      <c r="I22" s="820"/>
      <c r="J22" s="820">
        <f t="shared" si="8"/>
        <v>0</v>
      </c>
      <c r="K22" s="821">
        <f t="shared" si="8"/>
        <v>359</v>
      </c>
      <c r="L22" s="822">
        <f t="shared" si="8"/>
        <v>553</v>
      </c>
      <c r="M22" s="822">
        <f t="shared" si="8"/>
        <v>0</v>
      </c>
      <c r="N22" s="767"/>
      <c r="O22" s="823">
        <f t="shared" si="8"/>
        <v>0</v>
      </c>
      <c r="P22" s="822">
        <f t="shared" si="5"/>
        <v>20987</v>
      </c>
      <c r="R22" s="46">
        <f t="shared" si="6"/>
        <v>15</v>
      </c>
      <c r="S22" s="43" t="s">
        <v>53</v>
      </c>
      <c r="T22" s="59"/>
      <c r="U22" s="60"/>
      <c r="V22" s="60"/>
      <c r="W22" s="60"/>
      <c r="X22" s="60"/>
      <c r="Y22" s="61"/>
      <c r="Z22" s="78"/>
      <c r="AA22" s="78"/>
      <c r="AB22" s="62"/>
      <c r="AC22" s="63"/>
      <c r="AD22" s="63"/>
      <c r="AE22" s="1036"/>
      <c r="AF22" s="59"/>
      <c r="AG22" s="63"/>
    </row>
    <row r="23" spans="1:33" ht="15.75">
      <c r="A23" s="778">
        <f t="shared" si="2"/>
        <v>16</v>
      </c>
      <c r="B23" s="787" t="s">
        <v>201</v>
      </c>
      <c r="C23" s="795">
        <v>14050</v>
      </c>
      <c r="D23" s="796">
        <v>13514</v>
      </c>
      <c r="E23" s="796">
        <v>7490</v>
      </c>
      <c r="F23" s="796">
        <v>7473</v>
      </c>
      <c r="G23" s="780">
        <f>+C23+E23</f>
        <v>21540</v>
      </c>
      <c r="H23" s="781">
        <f>+D23+F23</f>
        <v>20987</v>
      </c>
      <c r="I23" s="797"/>
      <c r="J23" s="797"/>
      <c r="K23" s="795">
        <v>359</v>
      </c>
      <c r="L23" s="785">
        <f>+G23-H23</f>
        <v>553</v>
      </c>
      <c r="M23" s="785">
        <v>0</v>
      </c>
      <c r="N23" s="767"/>
      <c r="O23" s="798">
        <v>0</v>
      </c>
      <c r="P23" s="785">
        <f t="shared" si="5"/>
        <v>20987</v>
      </c>
      <c r="R23" s="25">
        <f t="shared" si="6"/>
        <v>16</v>
      </c>
      <c r="S23" s="37" t="s">
        <v>60</v>
      </c>
      <c r="T23" s="89"/>
      <c r="U23" s="87"/>
      <c r="V23" s="87"/>
      <c r="W23" s="87"/>
      <c r="X23" s="65"/>
      <c r="Y23" s="66"/>
      <c r="Z23" s="88"/>
      <c r="AA23" s="88"/>
      <c r="AB23" s="86"/>
      <c r="AC23" s="68"/>
      <c r="AD23" s="68"/>
      <c r="AE23" s="1036"/>
      <c r="AF23" s="89"/>
      <c r="AG23" s="68"/>
    </row>
    <row r="24" spans="1:33" ht="15.75">
      <c r="A24" s="778">
        <v>17</v>
      </c>
      <c r="B24" s="824" t="s">
        <v>559</v>
      </c>
      <c r="C24" s="771">
        <f>+C25</f>
        <v>2808</v>
      </c>
      <c r="D24" s="771">
        <f t="shared" si="8"/>
        <v>2051</v>
      </c>
      <c r="E24" s="771">
        <f t="shared" si="8"/>
        <v>0</v>
      </c>
      <c r="F24" s="771">
        <f t="shared" si="8"/>
        <v>0</v>
      </c>
      <c r="G24" s="771">
        <f t="shared" si="8"/>
        <v>2808</v>
      </c>
      <c r="H24" s="772">
        <f t="shared" si="8"/>
        <v>2051</v>
      </c>
      <c r="I24" s="774"/>
      <c r="J24" s="774">
        <f t="shared" si="8"/>
        <v>0</v>
      </c>
      <c r="K24" s="775">
        <f t="shared" si="8"/>
        <v>84</v>
      </c>
      <c r="L24" s="776">
        <f t="shared" si="8"/>
        <v>757</v>
      </c>
      <c r="M24" s="776">
        <f t="shared" si="8"/>
        <v>0</v>
      </c>
      <c r="N24" s="767"/>
      <c r="O24" s="777">
        <f t="shared" si="8"/>
        <v>0</v>
      </c>
      <c r="P24" s="776">
        <f>H24+O24</f>
        <v>2051</v>
      </c>
      <c r="R24" s="46">
        <f t="shared" si="6"/>
        <v>17</v>
      </c>
      <c r="S24" s="47" t="s">
        <v>59</v>
      </c>
      <c r="T24" s="59">
        <v>6619</v>
      </c>
      <c r="U24" s="60">
        <v>6619</v>
      </c>
      <c r="V24" s="60">
        <v>0</v>
      </c>
      <c r="W24" s="60">
        <v>0</v>
      </c>
      <c r="X24" s="60">
        <v>6619</v>
      </c>
      <c r="Y24" s="61">
        <v>6619</v>
      </c>
      <c r="Z24" s="78"/>
      <c r="AA24" s="78">
        <v>2163</v>
      </c>
      <c r="AB24" s="62">
        <v>85</v>
      </c>
      <c r="AC24" s="63">
        <v>0</v>
      </c>
      <c r="AD24" s="63">
        <v>0</v>
      </c>
      <c r="AE24" s="1036"/>
      <c r="AF24" s="59">
        <v>0</v>
      </c>
      <c r="AG24" s="63">
        <v>6619</v>
      </c>
    </row>
    <row r="25" spans="1:33" ht="15.75">
      <c r="A25" s="778">
        <v>18</v>
      </c>
      <c r="B25" s="825" t="s">
        <v>198</v>
      </c>
      <c r="C25" s="795">
        <v>2808</v>
      </c>
      <c r="D25" s="796">
        <v>2051</v>
      </c>
      <c r="E25" s="796">
        <v>0</v>
      </c>
      <c r="F25" s="796">
        <v>0</v>
      </c>
      <c r="G25" s="780">
        <f>SUM(C25)</f>
        <v>2808</v>
      </c>
      <c r="H25" s="781">
        <f>SUM(D25)</f>
        <v>2051</v>
      </c>
      <c r="I25" s="797"/>
      <c r="J25" s="797"/>
      <c r="K25" s="795">
        <v>84</v>
      </c>
      <c r="L25" s="785">
        <f>SUM(G25-H25)</f>
        <v>757</v>
      </c>
      <c r="M25" s="785"/>
      <c r="N25" s="767"/>
      <c r="O25" s="798"/>
      <c r="P25" s="785"/>
      <c r="R25" s="25">
        <f t="shared" si="6"/>
        <v>18</v>
      </c>
      <c r="S25" s="37" t="s">
        <v>60</v>
      </c>
      <c r="T25" s="89">
        <v>6619</v>
      </c>
      <c r="U25" s="87">
        <v>6619</v>
      </c>
      <c r="V25" s="87">
        <v>0</v>
      </c>
      <c r="W25" s="87">
        <v>0</v>
      </c>
      <c r="X25" s="65">
        <v>6619</v>
      </c>
      <c r="Y25" s="66">
        <v>6619</v>
      </c>
      <c r="Z25" s="88"/>
      <c r="AA25" s="88">
        <v>2163</v>
      </c>
      <c r="AB25" s="86">
        <v>85</v>
      </c>
      <c r="AC25" s="68">
        <v>0</v>
      </c>
      <c r="AD25" s="68"/>
      <c r="AE25" s="1036"/>
      <c r="AF25" s="89"/>
      <c r="AG25" s="68">
        <v>6619</v>
      </c>
    </row>
    <row r="26" spans="1:33" ht="15.75">
      <c r="A26" s="778">
        <v>19</v>
      </c>
      <c r="B26" s="824" t="s">
        <v>559</v>
      </c>
      <c r="C26" s="771">
        <f>+C27</f>
        <v>1424</v>
      </c>
      <c r="D26" s="771">
        <f t="shared" si="8"/>
        <v>1312</v>
      </c>
      <c r="E26" s="771">
        <f t="shared" si="8"/>
        <v>0</v>
      </c>
      <c r="F26" s="771">
        <f t="shared" si="8"/>
        <v>0</v>
      </c>
      <c r="G26" s="771">
        <f t="shared" si="8"/>
        <v>1424</v>
      </c>
      <c r="H26" s="772">
        <f t="shared" si="8"/>
        <v>1312</v>
      </c>
      <c r="I26" s="774"/>
      <c r="J26" s="774">
        <f t="shared" si="8"/>
        <v>0</v>
      </c>
      <c r="K26" s="775">
        <f t="shared" si="8"/>
        <v>0</v>
      </c>
      <c r="L26" s="776">
        <f t="shared" si="8"/>
        <v>112</v>
      </c>
      <c r="M26" s="776">
        <f t="shared" si="8"/>
        <v>0</v>
      </c>
      <c r="N26" s="767"/>
      <c r="O26" s="777">
        <f t="shared" si="8"/>
        <v>0</v>
      </c>
      <c r="P26" s="776">
        <f>H26+O26</f>
        <v>1312</v>
      </c>
      <c r="R26" s="46">
        <f t="shared" si="6"/>
        <v>19</v>
      </c>
      <c r="S26" s="47" t="s">
        <v>54</v>
      </c>
      <c r="T26" s="59">
        <v>45939</v>
      </c>
      <c r="U26" s="60">
        <v>46454</v>
      </c>
      <c r="V26" s="60">
        <v>0</v>
      </c>
      <c r="W26" s="60">
        <v>0</v>
      </c>
      <c r="X26" s="60">
        <v>45939</v>
      </c>
      <c r="Y26" s="61">
        <v>46454</v>
      </c>
      <c r="Z26" s="78"/>
      <c r="AA26" s="78">
        <v>13542</v>
      </c>
      <c r="AB26" s="62">
        <v>261</v>
      </c>
      <c r="AC26" s="63">
        <v>150</v>
      </c>
      <c r="AD26" s="63">
        <v>0</v>
      </c>
      <c r="AE26" s="1036"/>
      <c r="AF26" s="59">
        <v>3881</v>
      </c>
      <c r="AG26" s="63">
        <v>50335</v>
      </c>
    </row>
    <row r="27" spans="1:33" ht="15.75">
      <c r="A27" s="778">
        <v>20</v>
      </c>
      <c r="B27" s="825" t="s">
        <v>413</v>
      </c>
      <c r="C27" s="795">
        <v>1424</v>
      </c>
      <c r="D27" s="796">
        <v>1312</v>
      </c>
      <c r="E27" s="796">
        <v>0</v>
      </c>
      <c r="F27" s="796">
        <v>0</v>
      </c>
      <c r="G27" s="780">
        <f>SUM(C27)</f>
        <v>1424</v>
      </c>
      <c r="H27" s="781">
        <f>SUM(D27)</f>
        <v>1312</v>
      </c>
      <c r="I27" s="797"/>
      <c r="J27" s="797"/>
      <c r="K27" s="795"/>
      <c r="L27" s="785">
        <f>SUM(G27-H27)</f>
        <v>112</v>
      </c>
      <c r="M27" s="785"/>
      <c r="N27" s="767"/>
      <c r="O27" s="798"/>
      <c r="P27" s="785">
        <v>1312</v>
      </c>
      <c r="R27" s="25">
        <f t="shared" si="6"/>
        <v>20</v>
      </c>
      <c r="S27" s="37" t="s">
        <v>60</v>
      </c>
      <c r="T27" s="94">
        <v>45939</v>
      </c>
      <c r="U27" s="92">
        <v>46454</v>
      </c>
      <c r="V27" s="92">
        <v>0</v>
      </c>
      <c r="W27" s="92">
        <v>0</v>
      </c>
      <c r="X27" s="65">
        <v>45939</v>
      </c>
      <c r="Y27" s="66">
        <v>46454</v>
      </c>
      <c r="Z27" s="93"/>
      <c r="AA27" s="93">
        <v>13542</v>
      </c>
      <c r="AB27" s="91">
        <v>261</v>
      </c>
      <c r="AC27" s="68">
        <v>150</v>
      </c>
      <c r="AD27" s="68"/>
      <c r="AE27" s="1036"/>
      <c r="AF27" s="94">
        <v>3881</v>
      </c>
      <c r="AG27" s="68">
        <v>50335</v>
      </c>
    </row>
    <row r="28" spans="1:33" ht="15.75">
      <c r="A28" s="826">
        <v>21</v>
      </c>
      <c r="B28" s="817" t="s">
        <v>59</v>
      </c>
      <c r="C28" s="771">
        <f>+C29</f>
        <v>6619</v>
      </c>
      <c r="D28" s="771">
        <f t="shared" ref="D28:O28" si="9">+D29</f>
        <v>6619</v>
      </c>
      <c r="E28" s="771">
        <f t="shared" si="9"/>
        <v>0</v>
      </c>
      <c r="F28" s="771">
        <f t="shared" si="9"/>
        <v>0</v>
      </c>
      <c r="G28" s="771">
        <f t="shared" si="9"/>
        <v>6619</v>
      </c>
      <c r="H28" s="772">
        <f t="shared" si="9"/>
        <v>6619</v>
      </c>
      <c r="I28" s="774"/>
      <c r="J28" s="774">
        <f t="shared" si="9"/>
        <v>2163</v>
      </c>
      <c r="K28" s="775">
        <f t="shared" si="9"/>
        <v>85</v>
      </c>
      <c r="L28" s="776">
        <f t="shared" si="9"/>
        <v>0</v>
      </c>
      <c r="M28" s="776">
        <f t="shared" si="9"/>
        <v>0</v>
      </c>
      <c r="N28" s="767"/>
      <c r="O28" s="777">
        <f t="shared" si="9"/>
        <v>0</v>
      </c>
      <c r="P28" s="776">
        <f t="shared" si="5"/>
        <v>6619</v>
      </c>
      <c r="R28" s="24">
        <f t="shared" si="6"/>
        <v>21</v>
      </c>
      <c r="S28" s="38" t="s">
        <v>27</v>
      </c>
      <c r="T28" s="70">
        <v>0</v>
      </c>
      <c r="U28" s="71">
        <v>0</v>
      </c>
      <c r="V28" s="71">
        <v>0</v>
      </c>
      <c r="W28" s="71">
        <v>0</v>
      </c>
      <c r="X28" s="71">
        <v>0</v>
      </c>
      <c r="Y28" s="72">
        <v>0</v>
      </c>
      <c r="Z28" s="90"/>
      <c r="AA28" s="90">
        <v>0</v>
      </c>
      <c r="AB28" s="73">
        <v>0</v>
      </c>
      <c r="AC28" s="74">
        <v>0</v>
      </c>
      <c r="AD28" s="74">
        <v>0</v>
      </c>
      <c r="AE28" s="1036"/>
      <c r="AF28" s="70">
        <v>0</v>
      </c>
      <c r="AG28" s="74">
        <v>0</v>
      </c>
    </row>
    <row r="29" spans="1:33" ht="15.75">
      <c r="A29" s="778">
        <f t="shared" si="2"/>
        <v>22</v>
      </c>
      <c r="B29" s="787" t="s">
        <v>60</v>
      </c>
      <c r="C29" s="795">
        <v>6619</v>
      </c>
      <c r="D29" s="796">
        <v>6619</v>
      </c>
      <c r="E29" s="796">
        <v>0</v>
      </c>
      <c r="F29" s="796">
        <v>0</v>
      </c>
      <c r="G29" s="780">
        <f>+C29+E29</f>
        <v>6619</v>
      </c>
      <c r="H29" s="781">
        <f>+D29+F29</f>
        <v>6619</v>
      </c>
      <c r="I29" s="797"/>
      <c r="J29" s="797">
        <v>2163</v>
      </c>
      <c r="K29" s="795">
        <v>85</v>
      </c>
      <c r="L29" s="785">
        <f>+G29-H29</f>
        <v>0</v>
      </c>
      <c r="M29" s="785"/>
      <c r="N29" s="767"/>
      <c r="O29" s="798"/>
      <c r="P29" s="785">
        <f t="shared" si="5"/>
        <v>6619</v>
      </c>
      <c r="R29" s="29">
        <f t="shared" si="6"/>
        <v>22</v>
      </c>
      <c r="S29" s="43" t="s">
        <v>34</v>
      </c>
      <c r="T29" s="59"/>
      <c r="U29" s="60"/>
      <c r="V29" s="60"/>
      <c r="W29" s="60"/>
      <c r="X29" s="60"/>
      <c r="Y29" s="61"/>
      <c r="Z29" s="78"/>
      <c r="AA29" s="78"/>
      <c r="AB29" s="62"/>
      <c r="AC29" s="63"/>
      <c r="AD29" s="63"/>
      <c r="AE29" s="1036"/>
      <c r="AF29" s="59"/>
      <c r="AG29" s="63"/>
    </row>
    <row r="30" spans="1:33" ht="15.75">
      <c r="A30" s="826">
        <f t="shared" si="2"/>
        <v>23</v>
      </c>
      <c r="B30" s="817" t="s">
        <v>54</v>
      </c>
      <c r="C30" s="771">
        <f>+C31</f>
        <v>45939</v>
      </c>
      <c r="D30" s="771">
        <f>SUM(D31)</f>
        <v>46454</v>
      </c>
      <c r="E30" s="771">
        <f t="shared" ref="E30:O30" si="10">+E31</f>
        <v>0</v>
      </c>
      <c r="F30" s="771">
        <f t="shared" si="10"/>
        <v>0</v>
      </c>
      <c r="G30" s="771">
        <f t="shared" si="10"/>
        <v>45939</v>
      </c>
      <c r="H30" s="772">
        <f t="shared" si="10"/>
        <v>46454</v>
      </c>
      <c r="I30" s="774"/>
      <c r="J30" s="774">
        <f t="shared" si="10"/>
        <v>13542</v>
      </c>
      <c r="K30" s="775">
        <f t="shared" si="10"/>
        <v>261</v>
      </c>
      <c r="L30" s="776">
        <f t="shared" si="10"/>
        <v>150</v>
      </c>
      <c r="M30" s="776">
        <f t="shared" si="10"/>
        <v>0</v>
      </c>
      <c r="N30" s="767"/>
      <c r="O30" s="777">
        <f t="shared" si="10"/>
        <v>3881</v>
      </c>
      <c r="P30" s="776">
        <f t="shared" si="5"/>
        <v>50335</v>
      </c>
      <c r="R30" s="25">
        <f t="shared" si="6"/>
        <v>23</v>
      </c>
      <c r="S30" s="37" t="s">
        <v>60</v>
      </c>
      <c r="T30" s="94"/>
      <c r="U30" s="92"/>
      <c r="V30" s="92"/>
      <c r="W30" s="92"/>
      <c r="X30" s="65"/>
      <c r="Y30" s="66"/>
      <c r="Z30" s="93"/>
      <c r="AA30" s="93"/>
      <c r="AB30" s="91"/>
      <c r="AC30" s="68"/>
      <c r="AD30" s="68"/>
      <c r="AE30" s="1036"/>
      <c r="AF30" s="94"/>
      <c r="AG30" s="68"/>
    </row>
    <row r="31" spans="1:33" ht="15.75">
      <c r="A31" s="800">
        <f t="shared" si="2"/>
        <v>24</v>
      </c>
      <c r="B31" s="801" t="s">
        <v>60</v>
      </c>
      <c r="C31" s="802">
        <v>45939</v>
      </c>
      <c r="D31" s="803">
        <v>46454</v>
      </c>
      <c r="E31" s="803">
        <v>0</v>
      </c>
      <c r="F31" s="803">
        <v>0</v>
      </c>
      <c r="G31" s="804">
        <f>+C31+E31</f>
        <v>45939</v>
      </c>
      <c r="H31" s="805">
        <f>+D31+F31</f>
        <v>46454</v>
      </c>
      <c r="I31" s="806"/>
      <c r="J31" s="806">
        <v>13542</v>
      </c>
      <c r="K31" s="802">
        <v>261</v>
      </c>
      <c r="L31" s="807">
        <v>150</v>
      </c>
      <c r="M31" s="807"/>
      <c r="N31" s="767"/>
      <c r="O31" s="808">
        <v>3881</v>
      </c>
      <c r="P31" s="807">
        <f t="shared" si="5"/>
        <v>50335</v>
      </c>
      <c r="R31" s="24">
        <f t="shared" si="6"/>
        <v>24</v>
      </c>
      <c r="S31" s="38" t="s">
        <v>32</v>
      </c>
      <c r="T31" s="70">
        <v>573</v>
      </c>
      <c r="U31" s="71">
        <v>4388</v>
      </c>
      <c r="V31" s="71">
        <v>0</v>
      </c>
      <c r="W31" s="71">
        <v>0</v>
      </c>
      <c r="X31" s="71">
        <v>573</v>
      </c>
      <c r="Y31" s="72">
        <v>4388</v>
      </c>
      <c r="Z31" s="90"/>
      <c r="AA31" s="90">
        <v>0</v>
      </c>
      <c r="AB31" s="73">
        <v>0</v>
      </c>
      <c r="AC31" s="74">
        <v>0</v>
      </c>
      <c r="AD31" s="74">
        <v>0</v>
      </c>
      <c r="AE31" s="1036"/>
      <c r="AF31" s="70">
        <v>0</v>
      </c>
      <c r="AG31" s="74">
        <v>4388</v>
      </c>
    </row>
    <row r="32" spans="1:33" ht="15.75">
      <c r="A32" s="760">
        <f t="shared" si="2"/>
        <v>25</v>
      </c>
      <c r="B32" s="761" t="s">
        <v>27</v>
      </c>
      <c r="C32" s="809">
        <f>+C33</f>
        <v>0</v>
      </c>
      <c r="D32" s="809">
        <f t="shared" ref="D32:O33" si="11">+D33</f>
        <v>0</v>
      </c>
      <c r="E32" s="809">
        <f t="shared" si="11"/>
        <v>0</v>
      </c>
      <c r="F32" s="809">
        <f t="shared" si="11"/>
        <v>0</v>
      </c>
      <c r="G32" s="809">
        <f>+C32+E32</f>
        <v>0</v>
      </c>
      <c r="H32" s="810">
        <f>+D32+F32</f>
        <v>0</v>
      </c>
      <c r="I32" s="811"/>
      <c r="J32" s="811">
        <f>+J33</f>
        <v>0</v>
      </c>
      <c r="K32" s="812">
        <f>+K33</f>
        <v>0</v>
      </c>
      <c r="L32" s="813">
        <f>+G32-H32</f>
        <v>0</v>
      </c>
      <c r="M32" s="813">
        <f>+M33</f>
        <v>0</v>
      </c>
      <c r="N32" s="814"/>
      <c r="O32" s="815">
        <f>+O33</f>
        <v>0</v>
      </c>
      <c r="P32" s="809">
        <f>H32+O32</f>
        <v>0</v>
      </c>
      <c r="R32" s="46">
        <f t="shared" si="6"/>
        <v>25</v>
      </c>
      <c r="S32" s="47" t="s">
        <v>39</v>
      </c>
      <c r="T32" s="59"/>
      <c r="U32" s="60"/>
      <c r="V32" s="60"/>
      <c r="W32" s="60"/>
      <c r="X32" s="60"/>
      <c r="Y32" s="61"/>
      <c r="Z32" s="78"/>
      <c r="AA32" s="78"/>
      <c r="AB32" s="62"/>
      <c r="AC32" s="63"/>
      <c r="AD32" s="63"/>
      <c r="AE32" s="1036"/>
      <c r="AF32" s="59"/>
      <c r="AG32" s="63"/>
    </row>
    <row r="33" spans="1:33" ht="16.5" thickBot="1">
      <c r="A33" s="827">
        <f t="shared" si="2"/>
        <v>26</v>
      </c>
      <c r="B33" s="817" t="s">
        <v>34</v>
      </c>
      <c r="C33" s="818">
        <f>+C34</f>
        <v>0</v>
      </c>
      <c r="D33" s="818">
        <f t="shared" si="11"/>
        <v>0</v>
      </c>
      <c r="E33" s="818">
        <f t="shared" si="11"/>
        <v>0</v>
      </c>
      <c r="F33" s="818">
        <f t="shared" si="11"/>
        <v>0</v>
      </c>
      <c r="G33" s="818">
        <f t="shared" si="11"/>
        <v>0</v>
      </c>
      <c r="H33" s="819">
        <f t="shared" si="11"/>
        <v>0</v>
      </c>
      <c r="I33" s="820"/>
      <c r="J33" s="820">
        <f t="shared" si="11"/>
        <v>0</v>
      </c>
      <c r="K33" s="821">
        <f t="shared" si="11"/>
        <v>0</v>
      </c>
      <c r="L33" s="822">
        <f t="shared" si="11"/>
        <v>0</v>
      </c>
      <c r="M33" s="822">
        <f t="shared" si="11"/>
        <v>0</v>
      </c>
      <c r="N33" s="767"/>
      <c r="O33" s="823">
        <f t="shared" si="11"/>
        <v>0</v>
      </c>
      <c r="P33" s="822">
        <f t="shared" si="5"/>
        <v>0</v>
      </c>
      <c r="R33" s="25">
        <f t="shared" si="6"/>
        <v>26</v>
      </c>
      <c r="S33" s="37" t="s">
        <v>60</v>
      </c>
      <c r="T33" s="89"/>
      <c r="U33" s="87"/>
      <c r="V33" s="87"/>
      <c r="W33" s="87"/>
      <c r="X33" s="65"/>
      <c r="Y33" s="66"/>
      <c r="Z33" s="88"/>
      <c r="AA33" s="88"/>
      <c r="AB33" s="86"/>
      <c r="AC33" s="68"/>
      <c r="AD33" s="68"/>
      <c r="AE33" s="1036"/>
      <c r="AF33" s="89"/>
      <c r="AG33" s="68"/>
    </row>
    <row r="34" spans="1:33" ht="16.5" thickBot="1">
      <c r="A34" s="800">
        <f t="shared" si="2"/>
        <v>27</v>
      </c>
      <c r="B34" s="801" t="s">
        <v>60</v>
      </c>
      <c r="C34" s="802"/>
      <c r="D34" s="803"/>
      <c r="E34" s="803"/>
      <c r="F34" s="803"/>
      <c r="G34" s="804">
        <f>+C34+E34</f>
        <v>0</v>
      </c>
      <c r="H34" s="805">
        <f>+D34+F34</f>
        <v>0</v>
      </c>
      <c r="I34" s="806"/>
      <c r="J34" s="806"/>
      <c r="K34" s="802"/>
      <c r="L34" s="807">
        <f>+G34-H34</f>
        <v>0</v>
      </c>
      <c r="M34" s="807"/>
      <c r="N34" s="767"/>
      <c r="O34" s="808"/>
      <c r="P34" s="807">
        <f t="shared" si="5"/>
        <v>0</v>
      </c>
      <c r="R34" s="31">
        <f t="shared" si="6"/>
        <v>27</v>
      </c>
      <c r="S34" s="39" t="s">
        <v>23</v>
      </c>
      <c r="T34" s="95">
        <v>244492</v>
      </c>
      <c r="U34" s="96">
        <v>247284</v>
      </c>
      <c r="V34" s="96">
        <v>7490</v>
      </c>
      <c r="W34" s="96">
        <v>7473</v>
      </c>
      <c r="X34" s="96">
        <v>251982</v>
      </c>
      <c r="Y34" s="97">
        <v>254757</v>
      </c>
      <c r="Z34" s="98"/>
      <c r="AA34" s="98">
        <v>16401</v>
      </c>
      <c r="AB34" s="99">
        <v>3970</v>
      </c>
      <c r="AC34" s="100">
        <v>1705</v>
      </c>
      <c r="AD34" s="100">
        <v>0</v>
      </c>
      <c r="AE34" s="101"/>
      <c r="AF34" s="95">
        <v>3881</v>
      </c>
      <c r="AG34" s="100">
        <v>258638</v>
      </c>
    </row>
    <row r="35" spans="1:33" ht="15.75">
      <c r="A35" s="760">
        <f t="shared" si="2"/>
        <v>28</v>
      </c>
      <c r="B35" s="761" t="s">
        <v>560</v>
      </c>
      <c r="C35" s="809">
        <f>+C36</f>
        <v>573</v>
      </c>
      <c r="D35" s="809">
        <f>+D36</f>
        <v>4388</v>
      </c>
      <c r="E35" s="809">
        <f>+E36</f>
        <v>0</v>
      </c>
      <c r="F35" s="809">
        <f>+F36</f>
        <v>0</v>
      </c>
      <c r="G35" s="809">
        <f>+C35+E35</f>
        <v>573</v>
      </c>
      <c r="H35" s="810">
        <f>+D35+F35</f>
        <v>4388</v>
      </c>
      <c r="I35" s="811"/>
      <c r="J35" s="811">
        <f>+J36</f>
        <v>0</v>
      </c>
      <c r="K35" s="812">
        <f>+K36</f>
        <v>0</v>
      </c>
      <c r="L35" s="813">
        <v>0</v>
      </c>
      <c r="M35" s="813">
        <f>+M36</f>
        <v>0</v>
      </c>
      <c r="N35" s="814"/>
      <c r="O35" s="815">
        <f>+O36</f>
        <v>0</v>
      </c>
      <c r="P35" s="809">
        <f>H35+O35</f>
        <v>4388</v>
      </c>
    </row>
    <row r="36" spans="1:33" ht="15.75">
      <c r="A36" s="816">
        <f t="shared" si="2"/>
        <v>29</v>
      </c>
      <c r="B36" s="817" t="s">
        <v>39</v>
      </c>
      <c r="C36" s="818">
        <f>SUM(C37:C38)</f>
        <v>573</v>
      </c>
      <c r="D36" s="818">
        <f>SUM(D37:D38)</f>
        <v>4388</v>
      </c>
      <c r="E36" s="818">
        <f>+E38</f>
        <v>0</v>
      </c>
      <c r="F36" s="818">
        <f>+F38</f>
        <v>0</v>
      </c>
      <c r="G36" s="818">
        <f>+G38</f>
        <v>573</v>
      </c>
      <c r="H36" s="819">
        <f>SUM(D36)</f>
        <v>4388</v>
      </c>
      <c r="I36" s="820"/>
      <c r="J36" s="820">
        <f>+J38</f>
        <v>0</v>
      </c>
      <c r="K36" s="821">
        <f>+K38</f>
        <v>0</v>
      </c>
      <c r="L36" s="822">
        <v>0</v>
      </c>
      <c r="M36" s="822">
        <f>+M38</f>
        <v>0</v>
      </c>
      <c r="N36" s="767"/>
      <c r="O36" s="823">
        <f>+O38</f>
        <v>0</v>
      </c>
      <c r="P36" s="822">
        <f t="shared" si="5"/>
        <v>4388</v>
      </c>
    </row>
    <row r="37" spans="1:33" ht="15.75">
      <c r="A37" s="826"/>
      <c r="B37" s="828" t="s">
        <v>414</v>
      </c>
      <c r="C37" s="829">
        <v>0</v>
      </c>
      <c r="D37" s="830">
        <v>2593</v>
      </c>
      <c r="E37" s="830">
        <v>0</v>
      </c>
      <c r="F37" s="830">
        <v>0</v>
      </c>
      <c r="G37" s="830">
        <f>SUM(C37)</f>
        <v>0</v>
      </c>
      <c r="H37" s="781">
        <f>+D37+F37</f>
        <v>2593</v>
      </c>
      <c r="I37" s="831"/>
      <c r="J37" s="831"/>
      <c r="K37" s="829"/>
      <c r="L37" s="785">
        <v>0</v>
      </c>
      <c r="M37" s="832"/>
      <c r="N37" s="833"/>
      <c r="O37" s="834"/>
      <c r="P37" s="785">
        <f t="shared" si="5"/>
        <v>2593</v>
      </c>
    </row>
    <row r="38" spans="1:33" ht="16.5" thickBot="1">
      <c r="A38" s="778">
        <f>A36+1</f>
        <v>30</v>
      </c>
      <c r="B38" s="787" t="s">
        <v>415</v>
      </c>
      <c r="C38" s="795">
        <v>573</v>
      </c>
      <c r="D38" s="796">
        <v>1795</v>
      </c>
      <c r="E38" s="796">
        <v>0</v>
      </c>
      <c r="F38" s="796">
        <v>0</v>
      </c>
      <c r="G38" s="780">
        <f>+C38+E38</f>
        <v>573</v>
      </c>
      <c r="H38" s="781">
        <f>+D38+F38</f>
        <v>1795</v>
      </c>
      <c r="I38" s="797"/>
      <c r="J38" s="797"/>
      <c r="K38" s="795"/>
      <c r="L38" s="785">
        <v>0</v>
      </c>
      <c r="M38" s="785"/>
      <c r="N38" s="767"/>
      <c r="O38" s="798"/>
      <c r="P38" s="785">
        <f t="shared" si="5"/>
        <v>1795</v>
      </c>
    </row>
    <row r="39" spans="1:33" ht="16.5" thickBot="1">
      <c r="A39" s="835">
        <f t="shared" si="2"/>
        <v>31</v>
      </c>
      <c r="B39" s="836" t="s">
        <v>23</v>
      </c>
      <c r="C39" s="837">
        <f t="shared" ref="C39:H39" si="12">+C7+C21+C32+C35</f>
        <v>244492</v>
      </c>
      <c r="D39" s="838">
        <f t="shared" si="12"/>
        <v>247284</v>
      </c>
      <c r="E39" s="838">
        <f t="shared" si="12"/>
        <v>7490</v>
      </c>
      <c r="F39" s="838">
        <f t="shared" si="12"/>
        <v>7473</v>
      </c>
      <c r="G39" s="838">
        <f t="shared" si="12"/>
        <v>251982</v>
      </c>
      <c r="H39" s="839">
        <f t="shared" si="12"/>
        <v>254757</v>
      </c>
      <c r="I39" s="840"/>
      <c r="J39" s="840">
        <f>+J7+J21+J32+J35</f>
        <v>16401</v>
      </c>
      <c r="K39" s="841">
        <f>+K7+K21+K32+K35</f>
        <v>3970</v>
      </c>
      <c r="L39" s="842">
        <f>+L7+L21+L32+L35</f>
        <v>1705</v>
      </c>
      <c r="M39" s="842">
        <f>+M7+M21+M32+M35</f>
        <v>0</v>
      </c>
      <c r="N39" s="843"/>
      <c r="O39" s="837">
        <f>+O7+O21+O32+O35</f>
        <v>3881</v>
      </c>
      <c r="P39" s="842">
        <f>+P7+P21+P32+P35</f>
        <v>258638</v>
      </c>
    </row>
  </sheetData>
  <mergeCells count="24">
    <mergeCell ref="A4:A6"/>
    <mergeCell ref="B4:B6"/>
    <mergeCell ref="C4:D4"/>
    <mergeCell ref="E4:F4"/>
    <mergeCell ref="G4:H4"/>
    <mergeCell ref="I4:I5"/>
    <mergeCell ref="J4:J5"/>
    <mergeCell ref="K4:K5"/>
    <mergeCell ref="L4:L5"/>
    <mergeCell ref="M4:M5"/>
    <mergeCell ref="O4:O5"/>
    <mergeCell ref="P4:P5"/>
    <mergeCell ref="R4:R6"/>
    <mergeCell ref="S4:S6"/>
    <mergeCell ref="T4:U4"/>
    <mergeCell ref="V4:W4"/>
    <mergeCell ref="X4:Y4"/>
    <mergeCell ref="Z4:Z5"/>
    <mergeCell ref="AA4:AA5"/>
    <mergeCell ref="AB4:AB5"/>
    <mergeCell ref="AC4:AC5"/>
    <mergeCell ref="AD4:AD5"/>
    <mergeCell ref="AF4:AF5"/>
    <mergeCell ref="AG4:AG5"/>
  </mergeCells>
  <pageMargins left="0.7" right="0.7" top="0.78740157499999996" bottom="0.78740157499999996"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dimension ref="A1:AG42"/>
  <sheetViews>
    <sheetView zoomScale="85" zoomScaleNormal="85" workbookViewId="0">
      <selection activeCell="R1" sqref="R1:AG65536"/>
    </sheetView>
  </sheetViews>
  <sheetFormatPr defaultRowHeight="15"/>
  <cols>
    <col min="1" max="1" width="9.42578125" customWidth="1"/>
    <col min="2" max="2" width="59" bestFit="1" customWidth="1"/>
    <col min="3" max="3" width="12.7109375" customWidth="1"/>
    <col min="4" max="4" width="11.5703125" customWidth="1"/>
    <col min="5" max="5" width="11.28515625" customWidth="1"/>
    <col min="6" max="6" width="11.5703125" customWidth="1"/>
    <col min="7" max="7" width="10.85546875" customWidth="1"/>
    <col min="8" max="9" width="10.42578125" customWidth="1"/>
    <col min="10" max="10" width="12.5703125" customWidth="1"/>
    <col min="11" max="11" width="10.5703125" customWidth="1"/>
    <col min="12" max="12" width="14" customWidth="1"/>
    <col min="13" max="13" width="12.42578125" customWidth="1"/>
    <col min="14" max="14" width="1.7109375" customWidth="1"/>
    <col min="15" max="15" width="11" customWidth="1"/>
    <col min="16" max="16" width="10.85546875" customWidth="1"/>
    <col min="18" max="18" width="9.42578125" hidden="1" customWidth="1"/>
    <col min="19" max="19" width="45.85546875" hidden="1" customWidth="1"/>
    <col min="20" max="20" width="12.7109375" hidden="1" customWidth="1"/>
    <col min="21" max="21" width="11.5703125" hidden="1" customWidth="1"/>
    <col min="22" max="22" width="11.28515625" hidden="1" customWidth="1"/>
    <col min="23" max="23" width="11.5703125" hidden="1" customWidth="1"/>
    <col min="24" max="25" width="12.140625" hidden="1" customWidth="1"/>
    <col min="26" max="26" width="10.42578125" hidden="1" customWidth="1"/>
    <col min="27" max="27" width="12.5703125" hidden="1" customWidth="1"/>
    <col min="28" max="28" width="10.5703125" hidden="1" customWidth="1"/>
    <col min="29" max="29" width="14" hidden="1" customWidth="1"/>
    <col min="30" max="30" width="12.42578125" hidden="1" customWidth="1"/>
    <col min="31" max="31" width="1.7109375" hidden="1" customWidth="1"/>
    <col min="32" max="32" width="11" hidden="1" customWidth="1"/>
    <col min="33" max="33" width="10.85546875" hidden="1" customWidth="1"/>
  </cols>
  <sheetData>
    <row r="1" spans="1:33" ht="15.75">
      <c r="A1" s="102" t="s">
        <v>44</v>
      </c>
      <c r="B1" s="28"/>
      <c r="C1" s="20"/>
      <c r="D1" s="20"/>
      <c r="E1" s="20"/>
      <c r="F1" s="20"/>
      <c r="G1" s="20"/>
      <c r="H1" s="20"/>
      <c r="I1" s="20"/>
      <c r="J1" s="20"/>
      <c r="K1" s="20"/>
      <c r="L1" s="20"/>
      <c r="M1" s="20"/>
      <c r="N1" s="22"/>
      <c r="O1" s="20"/>
      <c r="P1" s="20"/>
    </row>
    <row r="2" spans="1:33" ht="15.75">
      <c r="A2" s="3"/>
      <c r="B2" s="2" t="s">
        <v>43</v>
      </c>
      <c r="C2" s="20"/>
      <c r="D2" s="20"/>
      <c r="E2" s="20"/>
      <c r="F2" s="20"/>
      <c r="G2" s="20"/>
      <c r="H2" s="20"/>
      <c r="I2" s="20"/>
      <c r="J2" s="20"/>
      <c r="K2" s="20"/>
      <c r="L2" s="20"/>
      <c r="M2" s="20"/>
      <c r="N2" s="22"/>
      <c r="O2" s="20"/>
      <c r="P2" s="20"/>
    </row>
    <row r="3" spans="1:33" ht="16.5" thickBot="1">
      <c r="A3" s="20"/>
      <c r="B3" s="19"/>
      <c r="C3" s="20"/>
      <c r="D3" s="20"/>
      <c r="E3" s="20"/>
      <c r="F3" s="20"/>
      <c r="G3" s="20"/>
      <c r="H3" s="20"/>
      <c r="I3" s="20"/>
      <c r="J3" s="20"/>
      <c r="K3" s="20"/>
      <c r="L3" s="20"/>
      <c r="M3" s="20"/>
      <c r="N3" s="22"/>
      <c r="O3" s="20"/>
      <c r="P3" s="23" t="s">
        <v>2</v>
      </c>
    </row>
    <row r="4" spans="1:33">
      <c r="A4" s="1357" t="s">
        <v>1</v>
      </c>
      <c r="B4" s="1354" t="s">
        <v>46</v>
      </c>
      <c r="C4" s="1394" t="s">
        <v>18</v>
      </c>
      <c r="D4" s="1361"/>
      <c r="E4" s="1361" t="s">
        <v>19</v>
      </c>
      <c r="F4" s="1361"/>
      <c r="G4" s="1364" t="s">
        <v>20</v>
      </c>
      <c r="H4" s="1365"/>
      <c r="I4" s="1349" t="s">
        <v>47</v>
      </c>
      <c r="J4" s="1349" t="s">
        <v>48</v>
      </c>
      <c r="K4" s="1351" t="s">
        <v>49</v>
      </c>
      <c r="L4" s="1362" t="s">
        <v>117</v>
      </c>
      <c r="M4" s="1370" t="s">
        <v>118</v>
      </c>
      <c r="N4" s="9"/>
      <c r="O4" s="1366" t="s">
        <v>65</v>
      </c>
      <c r="P4" s="1368" t="s">
        <v>21</v>
      </c>
      <c r="R4" s="1357" t="s">
        <v>1</v>
      </c>
      <c r="S4" s="1354" t="s">
        <v>46</v>
      </c>
      <c r="T4" s="1360" t="s">
        <v>18</v>
      </c>
      <c r="U4" s="1361"/>
      <c r="V4" s="1361" t="s">
        <v>19</v>
      </c>
      <c r="W4" s="1361"/>
      <c r="X4" s="1364" t="s">
        <v>20</v>
      </c>
      <c r="Y4" s="1365"/>
      <c r="Z4" s="1349" t="s">
        <v>47</v>
      </c>
      <c r="AA4" s="1349" t="s">
        <v>48</v>
      </c>
      <c r="AB4" s="1351" t="s">
        <v>49</v>
      </c>
      <c r="AC4" s="1362" t="s">
        <v>62</v>
      </c>
      <c r="AD4" s="1370" t="s">
        <v>69</v>
      </c>
      <c r="AE4" s="1037"/>
      <c r="AF4" s="1366" t="s">
        <v>65</v>
      </c>
      <c r="AG4" s="1368" t="s">
        <v>21</v>
      </c>
    </row>
    <row r="5" spans="1:33">
      <c r="A5" s="1358"/>
      <c r="B5" s="1355"/>
      <c r="C5" s="10" t="s">
        <v>26</v>
      </c>
      <c r="D5" s="11" t="s">
        <v>50</v>
      </c>
      <c r="E5" s="10" t="s">
        <v>12</v>
      </c>
      <c r="F5" s="11" t="s">
        <v>16</v>
      </c>
      <c r="G5" s="11" t="s">
        <v>12</v>
      </c>
      <c r="H5" s="33" t="s">
        <v>16</v>
      </c>
      <c r="I5" s="1350"/>
      <c r="J5" s="1350"/>
      <c r="K5" s="1352"/>
      <c r="L5" s="1363"/>
      <c r="M5" s="1371"/>
      <c r="N5" s="9"/>
      <c r="O5" s="1367"/>
      <c r="P5" s="1369"/>
      <c r="R5" s="1358"/>
      <c r="S5" s="1355"/>
      <c r="T5" s="1077" t="s">
        <v>26</v>
      </c>
      <c r="U5" s="11" t="s">
        <v>50</v>
      </c>
      <c r="V5" s="10" t="s">
        <v>12</v>
      </c>
      <c r="W5" s="11" t="s">
        <v>16</v>
      </c>
      <c r="X5" s="11" t="s">
        <v>12</v>
      </c>
      <c r="Y5" s="33" t="s">
        <v>16</v>
      </c>
      <c r="Z5" s="1350"/>
      <c r="AA5" s="1350"/>
      <c r="AB5" s="1352"/>
      <c r="AC5" s="1363"/>
      <c r="AD5" s="1371"/>
      <c r="AE5" s="1037"/>
      <c r="AF5" s="1367"/>
      <c r="AG5" s="1369"/>
    </row>
    <row r="6" spans="1:33" ht="15.75" thickBot="1">
      <c r="A6" s="1359"/>
      <c r="B6" s="1356"/>
      <c r="C6" s="12" t="s">
        <v>4</v>
      </c>
      <c r="D6" s="13" t="s">
        <v>5</v>
      </c>
      <c r="E6" s="13" t="s">
        <v>6</v>
      </c>
      <c r="F6" s="13" t="s">
        <v>7</v>
      </c>
      <c r="G6" s="13" t="s">
        <v>13</v>
      </c>
      <c r="H6" s="34" t="s">
        <v>14</v>
      </c>
      <c r="I6" s="45" t="s">
        <v>28</v>
      </c>
      <c r="J6" s="45" t="s">
        <v>31</v>
      </c>
      <c r="K6" s="32" t="s">
        <v>9</v>
      </c>
      <c r="L6" s="14" t="s">
        <v>22</v>
      </c>
      <c r="M6" s="14" t="s">
        <v>63</v>
      </c>
      <c r="N6" s="9"/>
      <c r="O6" s="44" t="s">
        <v>10</v>
      </c>
      <c r="P6" s="14" t="s">
        <v>64</v>
      </c>
      <c r="R6" s="1359"/>
      <c r="S6" s="1356"/>
      <c r="T6" s="1078" t="s">
        <v>4</v>
      </c>
      <c r="U6" s="13" t="s">
        <v>5</v>
      </c>
      <c r="V6" s="13" t="s">
        <v>6</v>
      </c>
      <c r="W6" s="13" t="s">
        <v>7</v>
      </c>
      <c r="X6" s="13" t="s">
        <v>13</v>
      </c>
      <c r="Y6" s="34" t="s">
        <v>14</v>
      </c>
      <c r="Z6" s="45" t="s">
        <v>28</v>
      </c>
      <c r="AA6" s="45" t="s">
        <v>31</v>
      </c>
      <c r="AB6" s="32" t="s">
        <v>9</v>
      </c>
      <c r="AC6" s="14" t="s">
        <v>22</v>
      </c>
      <c r="AD6" s="14" t="s">
        <v>63</v>
      </c>
      <c r="AE6" s="1037"/>
      <c r="AF6" s="44" t="s">
        <v>10</v>
      </c>
      <c r="AG6" s="14" t="s">
        <v>64</v>
      </c>
    </row>
    <row r="7" spans="1:33">
      <c r="A7" s="24">
        <v>1</v>
      </c>
      <c r="B7" s="38" t="s">
        <v>15</v>
      </c>
      <c r="C7" s="55">
        <f t="shared" ref="C7:K7" si="0">+C8+C12</f>
        <v>196793</v>
      </c>
      <c r="D7" s="55">
        <f t="shared" si="0"/>
        <v>196793</v>
      </c>
      <c r="E7" s="55">
        <f t="shared" si="0"/>
        <v>22000</v>
      </c>
      <c r="F7" s="55">
        <f t="shared" si="0"/>
        <v>22000</v>
      </c>
      <c r="G7" s="55">
        <f t="shared" si="0"/>
        <v>218793</v>
      </c>
      <c r="H7" s="56">
        <f t="shared" si="0"/>
        <v>218793</v>
      </c>
      <c r="I7" s="75"/>
      <c r="J7" s="75">
        <f t="shared" si="0"/>
        <v>0</v>
      </c>
      <c r="K7" s="57">
        <f t="shared" si="0"/>
        <v>1514</v>
      </c>
      <c r="L7" s="58">
        <f>+L8+L12</f>
        <v>0</v>
      </c>
      <c r="M7" s="58">
        <f>+M8+M12</f>
        <v>0</v>
      </c>
      <c r="N7" s="76"/>
      <c r="O7" s="54">
        <f>+O8+O12</f>
        <v>0</v>
      </c>
      <c r="P7" s="55">
        <f>+P8+P12</f>
        <v>218793</v>
      </c>
      <c r="R7" s="24">
        <v>1</v>
      </c>
      <c r="S7" s="38" t="s">
        <v>15</v>
      </c>
      <c r="T7" s="54">
        <v>196793</v>
      </c>
      <c r="U7" s="55">
        <v>196793</v>
      </c>
      <c r="V7" s="55">
        <v>22000</v>
      </c>
      <c r="W7" s="55">
        <v>22000</v>
      </c>
      <c r="X7" s="55">
        <v>218793</v>
      </c>
      <c r="Y7" s="56">
        <v>218793</v>
      </c>
      <c r="Z7" s="75"/>
      <c r="AA7" s="75">
        <v>0</v>
      </c>
      <c r="AB7" s="57">
        <v>1514</v>
      </c>
      <c r="AC7" s="58">
        <v>0</v>
      </c>
      <c r="AD7" s="58">
        <v>0</v>
      </c>
      <c r="AE7" s="1036"/>
      <c r="AF7" s="54">
        <v>0</v>
      </c>
      <c r="AG7" s="58">
        <v>218793</v>
      </c>
    </row>
    <row r="8" spans="1:33">
      <c r="A8" s="48">
        <f>A7+1</f>
        <v>2</v>
      </c>
      <c r="B8" s="35" t="s">
        <v>35</v>
      </c>
      <c r="C8" s="60">
        <f t="shared" ref="C8:H8" si="1">SUM(C9:C10)</f>
        <v>151992</v>
      </c>
      <c r="D8" s="60">
        <f t="shared" si="1"/>
        <v>151992</v>
      </c>
      <c r="E8" s="60">
        <f t="shared" si="1"/>
        <v>22000</v>
      </c>
      <c r="F8" s="60">
        <f t="shared" si="1"/>
        <v>22000</v>
      </c>
      <c r="G8" s="60">
        <f t="shared" si="1"/>
        <v>173992</v>
      </c>
      <c r="H8" s="61">
        <f t="shared" si="1"/>
        <v>173992</v>
      </c>
      <c r="I8" s="77">
        <v>0</v>
      </c>
      <c r="J8" s="78">
        <f>SUM(J9:J10)</f>
        <v>0</v>
      </c>
      <c r="K8" s="62">
        <f>SUM(K9:K10)</f>
        <v>1456</v>
      </c>
      <c r="L8" s="63">
        <f>SUM(L9:L10)</f>
        <v>0</v>
      </c>
      <c r="M8" s="63">
        <f>SUM(M9:M10)</f>
        <v>0</v>
      </c>
      <c r="N8" s="76"/>
      <c r="O8" s="59">
        <f>SUM(O9:O10)</f>
        <v>0</v>
      </c>
      <c r="P8" s="63">
        <f>SUM(P9:P10)</f>
        <v>173992</v>
      </c>
      <c r="R8" s="48">
        <f>R7+1</f>
        <v>2</v>
      </c>
      <c r="S8" s="35" t="s">
        <v>35</v>
      </c>
      <c r="T8" s="59">
        <v>151992</v>
      </c>
      <c r="U8" s="60">
        <v>151992</v>
      </c>
      <c r="V8" s="60">
        <v>22000</v>
      </c>
      <c r="W8" s="60">
        <v>22000</v>
      </c>
      <c r="X8" s="60">
        <v>173992</v>
      </c>
      <c r="Y8" s="61">
        <v>173992</v>
      </c>
      <c r="Z8" s="77">
        <v>0</v>
      </c>
      <c r="AA8" s="78">
        <v>0</v>
      </c>
      <c r="AB8" s="62">
        <v>1456</v>
      </c>
      <c r="AC8" s="63">
        <v>0</v>
      </c>
      <c r="AD8" s="63">
        <v>0</v>
      </c>
      <c r="AE8" s="1036"/>
      <c r="AF8" s="59">
        <v>0</v>
      </c>
      <c r="AG8" s="63">
        <v>173992</v>
      </c>
    </row>
    <row r="9" spans="1:33">
      <c r="A9" s="25">
        <f t="shared" ref="A9:A42" si="2">A8+1</f>
        <v>3</v>
      </c>
      <c r="B9" s="36" t="s">
        <v>58</v>
      </c>
      <c r="C9" s="65">
        <v>151939</v>
      </c>
      <c r="D9" s="65">
        <v>151939</v>
      </c>
      <c r="E9" s="65">
        <v>22000</v>
      </c>
      <c r="F9" s="65">
        <v>22000</v>
      </c>
      <c r="G9" s="65">
        <f t="shared" ref="G9:H24" si="3">+C9+E9</f>
        <v>173939</v>
      </c>
      <c r="H9" s="66">
        <f t="shared" si="3"/>
        <v>173939</v>
      </c>
      <c r="I9" s="79">
        <v>0</v>
      </c>
      <c r="J9" s="80">
        <v>0</v>
      </c>
      <c r="K9" s="67">
        <v>1456</v>
      </c>
      <c r="L9" s="68">
        <f t="shared" ref="L9:L21" si="4">+G9-H9</f>
        <v>0</v>
      </c>
      <c r="M9" s="68">
        <v>0</v>
      </c>
      <c r="N9" s="76"/>
      <c r="O9" s="64">
        <v>0</v>
      </c>
      <c r="P9" s="68">
        <f t="shared" ref="P9:P41" si="5">H9+O9</f>
        <v>173939</v>
      </c>
      <c r="R9" s="25">
        <f t="shared" ref="R9:R34" si="6">R8+1</f>
        <v>3</v>
      </c>
      <c r="S9" s="36" t="s">
        <v>58</v>
      </c>
      <c r="T9" s="64">
        <v>151939</v>
      </c>
      <c r="U9" s="65">
        <v>151939</v>
      </c>
      <c r="V9" s="65">
        <v>22000</v>
      </c>
      <c r="W9" s="65">
        <v>22000</v>
      </c>
      <c r="X9" s="65">
        <v>173939</v>
      </c>
      <c r="Y9" s="66">
        <v>173939</v>
      </c>
      <c r="Z9" s="80">
        <v>0</v>
      </c>
      <c r="AA9" s="80">
        <v>0</v>
      </c>
      <c r="AB9" s="67">
        <v>1456</v>
      </c>
      <c r="AC9" s="68">
        <v>0</v>
      </c>
      <c r="AD9" s="68">
        <v>0</v>
      </c>
      <c r="AE9" s="1036"/>
      <c r="AF9" s="64">
        <v>0</v>
      </c>
      <c r="AG9" s="68">
        <v>173939</v>
      </c>
    </row>
    <row r="10" spans="1:33">
      <c r="A10" s="25">
        <f t="shared" si="2"/>
        <v>4</v>
      </c>
      <c r="B10" s="36" t="s">
        <v>36</v>
      </c>
      <c r="C10" s="65">
        <f>C11</f>
        <v>53</v>
      </c>
      <c r="D10" s="65">
        <f>D11</f>
        <v>53</v>
      </c>
      <c r="E10" s="65">
        <f>E11</f>
        <v>0</v>
      </c>
      <c r="F10" s="65">
        <f>F11</f>
        <v>0</v>
      </c>
      <c r="G10" s="65">
        <f t="shared" si="3"/>
        <v>53</v>
      </c>
      <c r="H10" s="66">
        <f t="shared" si="3"/>
        <v>53</v>
      </c>
      <c r="I10" s="79">
        <v>0</v>
      </c>
      <c r="J10" s="80">
        <f>J11</f>
        <v>0</v>
      </c>
      <c r="K10" s="67">
        <f>K11</f>
        <v>0</v>
      </c>
      <c r="L10" s="68">
        <f>+G10-H10</f>
        <v>0</v>
      </c>
      <c r="M10" s="68">
        <f>M11</f>
        <v>0</v>
      </c>
      <c r="N10" s="76"/>
      <c r="O10" s="64">
        <f>O11</f>
        <v>0</v>
      </c>
      <c r="P10" s="68">
        <f t="shared" si="5"/>
        <v>53</v>
      </c>
      <c r="R10" s="25">
        <f t="shared" si="6"/>
        <v>4</v>
      </c>
      <c r="S10" s="36" t="s">
        <v>36</v>
      </c>
      <c r="T10" s="64">
        <v>53</v>
      </c>
      <c r="U10" s="65">
        <v>53</v>
      </c>
      <c r="V10" s="65">
        <v>0</v>
      </c>
      <c r="W10" s="65">
        <v>0</v>
      </c>
      <c r="X10" s="65">
        <v>53</v>
      </c>
      <c r="Y10" s="249">
        <v>53</v>
      </c>
      <c r="Z10" s="80">
        <v>0</v>
      </c>
      <c r="AA10" s="80">
        <v>0</v>
      </c>
      <c r="AB10" s="67">
        <v>0</v>
      </c>
      <c r="AC10" s="68">
        <v>0</v>
      </c>
      <c r="AD10" s="68">
        <v>0</v>
      </c>
      <c r="AE10" s="1036"/>
      <c r="AF10" s="64">
        <v>0</v>
      </c>
      <c r="AG10" s="68">
        <v>53</v>
      </c>
    </row>
    <row r="11" spans="1:33">
      <c r="A11" s="25">
        <f t="shared" si="2"/>
        <v>5</v>
      </c>
      <c r="B11" s="37" t="s">
        <v>416</v>
      </c>
      <c r="C11" s="65">
        <f>54-1</f>
        <v>53</v>
      </c>
      <c r="D11" s="65">
        <v>53</v>
      </c>
      <c r="E11" s="65">
        <v>0</v>
      </c>
      <c r="F11" s="65">
        <v>0</v>
      </c>
      <c r="G11" s="65">
        <f t="shared" si="3"/>
        <v>53</v>
      </c>
      <c r="H11" s="66">
        <f t="shared" si="3"/>
        <v>53</v>
      </c>
      <c r="I11" s="79">
        <v>0</v>
      </c>
      <c r="J11" s="80">
        <v>0</v>
      </c>
      <c r="K11" s="67">
        <v>0</v>
      </c>
      <c r="L11" s="68">
        <f t="shared" si="4"/>
        <v>0</v>
      </c>
      <c r="M11" s="68">
        <v>0</v>
      </c>
      <c r="N11" s="76"/>
      <c r="O11" s="64">
        <v>0</v>
      </c>
      <c r="P11" s="68">
        <f t="shared" si="5"/>
        <v>53</v>
      </c>
      <c r="R11" s="25">
        <f t="shared" si="6"/>
        <v>5</v>
      </c>
      <c r="S11" s="37" t="s">
        <v>30</v>
      </c>
      <c r="T11" s="64">
        <v>53</v>
      </c>
      <c r="U11" s="65">
        <v>53</v>
      </c>
      <c r="V11" s="65">
        <v>0</v>
      </c>
      <c r="W11" s="65">
        <v>0</v>
      </c>
      <c r="X11" s="65">
        <v>53</v>
      </c>
      <c r="Y11" s="66">
        <v>53</v>
      </c>
      <c r="Z11" s="79">
        <v>0</v>
      </c>
      <c r="AA11" s="80">
        <v>0</v>
      </c>
      <c r="AB11" s="67">
        <v>0</v>
      </c>
      <c r="AC11" s="68">
        <v>0</v>
      </c>
      <c r="AD11" s="68">
        <v>0</v>
      </c>
      <c r="AE11" s="1036"/>
      <c r="AF11" s="64">
        <v>0</v>
      </c>
      <c r="AG11" s="68">
        <v>53</v>
      </c>
    </row>
    <row r="12" spans="1:33">
      <c r="A12" s="48">
        <f t="shared" si="2"/>
        <v>6</v>
      </c>
      <c r="B12" s="35" t="s">
        <v>417</v>
      </c>
      <c r="C12" s="60">
        <f>+C13+C16+C19+C20</f>
        <v>44801</v>
      </c>
      <c r="D12" s="60">
        <f>+D13+D16+D19+D20</f>
        <v>44801</v>
      </c>
      <c r="E12" s="60">
        <f>+E13+E16+E19+E20</f>
        <v>0</v>
      </c>
      <c r="F12" s="60">
        <f>+F13+F16+F19+F20</f>
        <v>0</v>
      </c>
      <c r="G12" s="60">
        <f t="shared" si="3"/>
        <v>44801</v>
      </c>
      <c r="H12" s="61">
        <f t="shared" si="3"/>
        <v>44801</v>
      </c>
      <c r="I12" s="78"/>
      <c r="J12" s="78">
        <f>+J13+J16+J19+J20</f>
        <v>0</v>
      </c>
      <c r="K12" s="62">
        <f>+K13+K16+K19+K20</f>
        <v>58</v>
      </c>
      <c r="L12" s="63">
        <f>+G12-H12</f>
        <v>0</v>
      </c>
      <c r="M12" s="63">
        <f>+M13+M16+M19+M20</f>
        <v>0</v>
      </c>
      <c r="N12" s="76"/>
      <c r="O12" s="59">
        <f>+O13+O16+O19+O20</f>
        <v>0</v>
      </c>
      <c r="P12" s="63">
        <f t="shared" si="5"/>
        <v>44801</v>
      </c>
      <c r="R12" s="48">
        <f t="shared" si="6"/>
        <v>6</v>
      </c>
      <c r="S12" s="35" t="s">
        <v>42</v>
      </c>
      <c r="T12" s="59">
        <v>44801</v>
      </c>
      <c r="U12" s="60">
        <v>44801</v>
      </c>
      <c r="V12" s="60">
        <v>0</v>
      </c>
      <c r="W12" s="60">
        <v>0</v>
      </c>
      <c r="X12" s="60">
        <v>44801</v>
      </c>
      <c r="Y12" s="61">
        <v>44801</v>
      </c>
      <c r="Z12" s="78"/>
      <c r="AA12" s="78">
        <v>0</v>
      </c>
      <c r="AB12" s="62">
        <v>58</v>
      </c>
      <c r="AC12" s="63">
        <v>0</v>
      </c>
      <c r="AD12" s="63">
        <v>0</v>
      </c>
      <c r="AE12" s="1036"/>
      <c r="AF12" s="59">
        <v>0</v>
      </c>
      <c r="AG12" s="63">
        <v>44801</v>
      </c>
    </row>
    <row r="13" spans="1:33">
      <c r="A13" s="29">
        <f t="shared" si="2"/>
        <v>7</v>
      </c>
      <c r="B13" s="50" t="s">
        <v>51</v>
      </c>
      <c r="C13" s="81">
        <f>SUM(C14:C15)</f>
        <v>5892</v>
      </c>
      <c r="D13" s="82">
        <f>SUM(D14:D15)</f>
        <v>5892</v>
      </c>
      <c r="E13" s="82">
        <f>SUM(E14:E15)</f>
        <v>0</v>
      </c>
      <c r="F13" s="82">
        <f>SUM(F14:F15)</f>
        <v>0</v>
      </c>
      <c r="G13" s="65">
        <f t="shared" si="3"/>
        <v>5892</v>
      </c>
      <c r="H13" s="66">
        <f t="shared" si="3"/>
        <v>5892</v>
      </c>
      <c r="I13" s="83">
        <f>SUM(I14:I15)</f>
        <v>0</v>
      </c>
      <c r="J13" s="83">
        <f>SUM(J14:J15)</f>
        <v>0</v>
      </c>
      <c r="K13" s="81">
        <f>SUM(K14:K15)</f>
        <v>0</v>
      </c>
      <c r="L13" s="68">
        <f t="shared" si="4"/>
        <v>0</v>
      </c>
      <c r="M13" s="68">
        <f>SUM(M14:M15)</f>
        <v>0</v>
      </c>
      <c r="N13" s="84"/>
      <c r="O13" s="85">
        <v>0</v>
      </c>
      <c r="P13" s="68">
        <f t="shared" si="5"/>
        <v>5892</v>
      </c>
      <c r="R13" s="29">
        <f t="shared" si="6"/>
        <v>7</v>
      </c>
      <c r="S13" s="36" t="s">
        <v>51</v>
      </c>
      <c r="T13" s="85">
        <v>5892</v>
      </c>
      <c r="U13" s="82">
        <v>5892</v>
      </c>
      <c r="V13" s="82">
        <v>0</v>
      </c>
      <c r="W13" s="82">
        <v>0</v>
      </c>
      <c r="X13" s="65">
        <v>5892</v>
      </c>
      <c r="Y13" s="66">
        <v>5892</v>
      </c>
      <c r="Z13" s="79">
        <v>0</v>
      </c>
      <c r="AA13" s="83">
        <v>0</v>
      </c>
      <c r="AB13" s="81">
        <v>0</v>
      </c>
      <c r="AC13" s="68">
        <v>0</v>
      </c>
      <c r="AD13" s="68">
        <v>0</v>
      </c>
      <c r="AE13" s="706"/>
      <c r="AF13" s="85">
        <v>0</v>
      </c>
      <c r="AG13" s="68">
        <v>5892</v>
      </c>
    </row>
    <row r="14" spans="1:33">
      <c r="A14" s="25">
        <f>A13+1</f>
        <v>8</v>
      </c>
      <c r="B14" s="37" t="s">
        <v>61</v>
      </c>
      <c r="C14" s="86">
        <v>0</v>
      </c>
      <c r="D14" s="87">
        <v>0</v>
      </c>
      <c r="E14" s="87">
        <v>0</v>
      </c>
      <c r="F14" s="87">
        <v>0</v>
      </c>
      <c r="G14" s="65">
        <f t="shared" si="3"/>
        <v>0</v>
      </c>
      <c r="H14" s="66">
        <f t="shared" si="3"/>
        <v>0</v>
      </c>
      <c r="I14" s="79">
        <v>0</v>
      </c>
      <c r="J14" s="88">
        <v>0</v>
      </c>
      <c r="K14" s="86">
        <v>0</v>
      </c>
      <c r="L14" s="68">
        <f t="shared" si="4"/>
        <v>0</v>
      </c>
      <c r="M14" s="68">
        <v>0</v>
      </c>
      <c r="N14" s="76"/>
      <c r="O14" s="89">
        <v>0</v>
      </c>
      <c r="P14" s="68">
        <f t="shared" si="5"/>
        <v>0</v>
      </c>
      <c r="R14" s="29"/>
      <c r="S14" s="36" t="s">
        <v>61</v>
      </c>
      <c r="T14" s="85">
        <v>0</v>
      </c>
      <c r="U14" s="82">
        <v>0</v>
      </c>
      <c r="V14" s="82">
        <v>0</v>
      </c>
      <c r="W14" s="82">
        <v>0</v>
      </c>
      <c r="X14" s="65">
        <v>0</v>
      </c>
      <c r="Y14" s="66">
        <v>0</v>
      </c>
      <c r="Z14" s="79">
        <v>0</v>
      </c>
      <c r="AA14" s="83">
        <v>0</v>
      </c>
      <c r="AB14" s="81">
        <v>0</v>
      </c>
      <c r="AC14" s="68">
        <v>0</v>
      </c>
      <c r="AD14" s="68">
        <v>0</v>
      </c>
      <c r="AE14" s="706"/>
      <c r="AF14" s="85">
        <v>0</v>
      </c>
      <c r="AG14" s="68">
        <v>0</v>
      </c>
    </row>
    <row r="15" spans="1:33">
      <c r="A15" s="25">
        <f>A14+1</f>
        <v>9</v>
      </c>
      <c r="B15" s="37" t="s">
        <v>418</v>
      </c>
      <c r="C15" s="86">
        <v>5892</v>
      </c>
      <c r="D15" s="87">
        <v>5892</v>
      </c>
      <c r="E15" s="87">
        <v>0</v>
      </c>
      <c r="F15" s="87">
        <v>0</v>
      </c>
      <c r="G15" s="65">
        <f t="shared" si="3"/>
        <v>5892</v>
      </c>
      <c r="H15" s="66">
        <f t="shared" si="3"/>
        <v>5892</v>
      </c>
      <c r="I15" s="79">
        <v>0</v>
      </c>
      <c r="J15" s="88">
        <v>0</v>
      </c>
      <c r="K15" s="86">
        <v>0</v>
      </c>
      <c r="L15" s="68">
        <f t="shared" si="4"/>
        <v>0</v>
      </c>
      <c r="M15" s="68">
        <v>0</v>
      </c>
      <c r="N15" s="76"/>
      <c r="O15" s="89">
        <v>0</v>
      </c>
      <c r="P15" s="68">
        <f t="shared" si="5"/>
        <v>5892</v>
      </c>
      <c r="R15" s="25">
        <f>R13+1</f>
        <v>8</v>
      </c>
      <c r="S15" s="37" t="s">
        <v>66</v>
      </c>
      <c r="T15" s="89">
        <v>5892</v>
      </c>
      <c r="U15" s="87">
        <v>5892</v>
      </c>
      <c r="V15" s="87">
        <v>0</v>
      </c>
      <c r="W15" s="87">
        <v>0</v>
      </c>
      <c r="X15" s="65">
        <v>5892</v>
      </c>
      <c r="Y15" s="66">
        <v>5892</v>
      </c>
      <c r="Z15" s="88">
        <v>0</v>
      </c>
      <c r="AA15" s="88">
        <v>0</v>
      </c>
      <c r="AB15" s="86">
        <v>0</v>
      </c>
      <c r="AC15" s="68">
        <v>0</v>
      </c>
      <c r="AD15" s="68">
        <v>0</v>
      </c>
      <c r="AE15" s="1036"/>
      <c r="AF15" s="89">
        <v>0</v>
      </c>
      <c r="AG15" s="68">
        <v>5892</v>
      </c>
    </row>
    <row r="16" spans="1:33">
      <c r="A16" s="29">
        <f t="shared" si="2"/>
        <v>10</v>
      </c>
      <c r="B16" s="50" t="s">
        <v>52</v>
      </c>
      <c r="C16" s="81">
        <f>SUM(C17:C18)</f>
        <v>1266</v>
      </c>
      <c r="D16" s="82">
        <f>SUM(D17:D18)</f>
        <v>1266</v>
      </c>
      <c r="E16" s="82">
        <f>SUM(E17:E18)</f>
        <v>0</v>
      </c>
      <c r="F16" s="82">
        <f>SUM(F17:F18)</f>
        <v>0</v>
      </c>
      <c r="G16" s="65">
        <f t="shared" si="3"/>
        <v>1266</v>
      </c>
      <c r="H16" s="66">
        <f t="shared" si="3"/>
        <v>1266</v>
      </c>
      <c r="I16" s="83">
        <v>0</v>
      </c>
      <c r="J16" s="83">
        <f>SUM(J17:J18)</f>
        <v>0</v>
      </c>
      <c r="K16" s="81">
        <f>SUM(K17:K18)</f>
        <v>54</v>
      </c>
      <c r="L16" s="68">
        <f t="shared" si="4"/>
        <v>0</v>
      </c>
      <c r="M16" s="68">
        <f>SUM(M17:M18)</f>
        <v>0</v>
      </c>
      <c r="N16" s="84"/>
      <c r="O16" s="85">
        <f>SUM(O17:O18)</f>
        <v>0</v>
      </c>
      <c r="P16" s="68">
        <f>H16+O16</f>
        <v>1266</v>
      </c>
      <c r="R16" s="29">
        <f t="shared" si="6"/>
        <v>9</v>
      </c>
      <c r="S16" s="36" t="s">
        <v>52</v>
      </c>
      <c r="T16" s="85">
        <v>1266</v>
      </c>
      <c r="U16" s="82">
        <v>1266</v>
      </c>
      <c r="V16" s="82">
        <v>0</v>
      </c>
      <c r="W16" s="82">
        <v>0</v>
      </c>
      <c r="X16" s="65">
        <v>1266</v>
      </c>
      <c r="Y16" s="66">
        <v>1266</v>
      </c>
      <c r="Z16" s="79">
        <v>0</v>
      </c>
      <c r="AA16" s="83">
        <v>0</v>
      </c>
      <c r="AB16" s="81">
        <v>54</v>
      </c>
      <c r="AC16" s="68">
        <v>0</v>
      </c>
      <c r="AD16" s="68">
        <v>0</v>
      </c>
      <c r="AE16" s="706"/>
      <c r="AF16" s="85">
        <v>0</v>
      </c>
      <c r="AG16" s="68">
        <v>1266</v>
      </c>
    </row>
    <row r="17" spans="1:33">
      <c r="A17" s="25">
        <f t="shared" si="2"/>
        <v>11</v>
      </c>
      <c r="B17" s="37" t="s">
        <v>419</v>
      </c>
      <c r="C17" s="86">
        <f>222-43</f>
        <v>179</v>
      </c>
      <c r="D17" s="87">
        <v>179</v>
      </c>
      <c r="E17" s="87">
        <v>0</v>
      </c>
      <c r="F17" s="87">
        <v>0</v>
      </c>
      <c r="G17" s="65">
        <f t="shared" si="3"/>
        <v>179</v>
      </c>
      <c r="H17" s="66">
        <f t="shared" si="3"/>
        <v>179</v>
      </c>
      <c r="I17" s="88">
        <v>0</v>
      </c>
      <c r="J17" s="88">
        <v>0</v>
      </c>
      <c r="K17" s="86">
        <v>0</v>
      </c>
      <c r="L17" s="68">
        <f t="shared" si="4"/>
        <v>0</v>
      </c>
      <c r="M17" s="68">
        <v>0</v>
      </c>
      <c r="N17" s="76"/>
      <c r="O17" s="89">
        <v>0</v>
      </c>
      <c r="P17" s="68">
        <f t="shared" si="5"/>
        <v>179</v>
      </c>
      <c r="R17" s="25">
        <f t="shared" si="6"/>
        <v>10</v>
      </c>
      <c r="S17" s="37" t="s">
        <v>30</v>
      </c>
      <c r="T17" s="89"/>
      <c r="U17" s="87"/>
      <c r="V17" s="87"/>
      <c r="W17" s="87"/>
      <c r="X17" s="65"/>
      <c r="Y17" s="66"/>
      <c r="Z17" s="88"/>
      <c r="AA17" s="88"/>
      <c r="AB17" s="86"/>
      <c r="AC17" s="68"/>
      <c r="AD17" s="68"/>
      <c r="AE17" s="1036"/>
      <c r="AF17" s="89"/>
      <c r="AG17" s="68"/>
    </row>
    <row r="18" spans="1:33">
      <c r="A18" s="25">
        <f>A17+1</f>
        <v>12</v>
      </c>
      <c r="B18" s="37" t="s">
        <v>420</v>
      </c>
      <c r="C18" s="86">
        <v>1087</v>
      </c>
      <c r="D18" s="87">
        <v>1087</v>
      </c>
      <c r="E18" s="87">
        <v>0</v>
      </c>
      <c r="F18" s="87">
        <v>0</v>
      </c>
      <c r="G18" s="65">
        <f t="shared" si="3"/>
        <v>1087</v>
      </c>
      <c r="H18" s="66">
        <f t="shared" si="3"/>
        <v>1087</v>
      </c>
      <c r="I18" s="88">
        <v>0</v>
      </c>
      <c r="J18" s="88">
        <v>0</v>
      </c>
      <c r="K18" s="86">
        <v>54</v>
      </c>
      <c r="L18" s="68">
        <f t="shared" si="4"/>
        <v>0</v>
      </c>
      <c r="M18" s="68">
        <v>0</v>
      </c>
      <c r="N18" s="76"/>
      <c r="O18" s="89">
        <v>0</v>
      </c>
      <c r="P18" s="68">
        <f t="shared" si="5"/>
        <v>1087</v>
      </c>
      <c r="R18" s="29">
        <f t="shared" si="6"/>
        <v>11</v>
      </c>
      <c r="S18" s="36" t="s">
        <v>37</v>
      </c>
      <c r="T18" s="85">
        <v>30266</v>
      </c>
      <c r="U18" s="82">
        <v>30266</v>
      </c>
      <c r="V18" s="82">
        <v>0</v>
      </c>
      <c r="W18" s="82">
        <v>0</v>
      </c>
      <c r="X18" s="65">
        <v>30266</v>
      </c>
      <c r="Y18" s="66">
        <v>30266</v>
      </c>
      <c r="Z18" s="83">
        <v>0</v>
      </c>
      <c r="AA18" s="83">
        <v>0</v>
      </c>
      <c r="AB18" s="81">
        <v>0</v>
      </c>
      <c r="AC18" s="68">
        <v>0</v>
      </c>
      <c r="AD18" s="68">
        <v>0</v>
      </c>
      <c r="AE18" s="706"/>
      <c r="AF18" s="85">
        <v>0</v>
      </c>
      <c r="AG18" s="68">
        <v>30266</v>
      </c>
    </row>
    <row r="19" spans="1:33">
      <c r="A19" s="29">
        <f t="shared" si="2"/>
        <v>13</v>
      </c>
      <c r="B19" s="36" t="s">
        <v>37</v>
      </c>
      <c r="C19" s="81">
        <v>30266</v>
      </c>
      <c r="D19" s="82">
        <v>30266</v>
      </c>
      <c r="E19" s="82">
        <v>0</v>
      </c>
      <c r="F19" s="82">
        <v>0</v>
      </c>
      <c r="G19" s="65">
        <f t="shared" si="3"/>
        <v>30266</v>
      </c>
      <c r="H19" s="66">
        <f t="shared" si="3"/>
        <v>30266</v>
      </c>
      <c r="I19" s="83">
        <v>0</v>
      </c>
      <c r="J19" s="83">
        <v>0</v>
      </c>
      <c r="K19" s="81">
        <v>0</v>
      </c>
      <c r="L19" s="68">
        <f t="shared" si="4"/>
        <v>0</v>
      </c>
      <c r="M19" s="68">
        <v>0</v>
      </c>
      <c r="N19" s="84"/>
      <c r="O19" s="85">
        <v>0</v>
      </c>
      <c r="P19" s="68">
        <f t="shared" si="5"/>
        <v>30266</v>
      </c>
      <c r="R19" s="29">
        <f t="shared" si="6"/>
        <v>12</v>
      </c>
      <c r="S19" s="50" t="s">
        <v>38</v>
      </c>
      <c r="T19" s="85">
        <v>7377</v>
      </c>
      <c r="U19" s="82">
        <v>7377</v>
      </c>
      <c r="V19" s="82">
        <v>0</v>
      </c>
      <c r="W19" s="82">
        <v>0</v>
      </c>
      <c r="X19" s="65">
        <v>7377</v>
      </c>
      <c r="Y19" s="66">
        <v>7377</v>
      </c>
      <c r="Z19" s="83">
        <v>0</v>
      </c>
      <c r="AA19" s="83">
        <v>0</v>
      </c>
      <c r="AB19" s="81">
        <v>4</v>
      </c>
      <c r="AC19" s="68">
        <v>0</v>
      </c>
      <c r="AD19" s="68">
        <v>0</v>
      </c>
      <c r="AE19" s="706"/>
      <c r="AF19" s="85">
        <v>0</v>
      </c>
      <c r="AG19" s="68">
        <v>7377</v>
      </c>
    </row>
    <row r="20" spans="1:33">
      <c r="A20" s="29">
        <f t="shared" si="2"/>
        <v>14</v>
      </c>
      <c r="B20" s="50" t="s">
        <v>38</v>
      </c>
      <c r="C20" s="81">
        <f>C21</f>
        <v>7377</v>
      </c>
      <c r="D20" s="82">
        <f>D21</f>
        <v>7377</v>
      </c>
      <c r="E20" s="82">
        <f>E21</f>
        <v>0</v>
      </c>
      <c r="F20" s="82">
        <f>F21</f>
        <v>0</v>
      </c>
      <c r="G20" s="65">
        <f t="shared" si="3"/>
        <v>7377</v>
      </c>
      <c r="H20" s="66">
        <f t="shared" si="3"/>
        <v>7377</v>
      </c>
      <c r="I20" s="83">
        <f>I21</f>
        <v>0</v>
      </c>
      <c r="J20" s="83">
        <f>J21</f>
        <v>0</v>
      </c>
      <c r="K20" s="81">
        <f>K21</f>
        <v>4</v>
      </c>
      <c r="L20" s="68">
        <f t="shared" si="4"/>
        <v>0</v>
      </c>
      <c r="M20" s="68">
        <f>M21</f>
        <v>0</v>
      </c>
      <c r="N20" s="84"/>
      <c r="O20" s="85">
        <f>O21</f>
        <v>0</v>
      </c>
      <c r="P20" s="68">
        <f t="shared" si="5"/>
        <v>7377</v>
      </c>
      <c r="R20" s="25">
        <f t="shared" si="6"/>
        <v>13</v>
      </c>
      <c r="S20" s="37" t="s">
        <v>30</v>
      </c>
      <c r="T20" s="89">
        <v>7377</v>
      </c>
      <c r="U20" s="87">
        <v>7377</v>
      </c>
      <c r="V20" s="87">
        <v>0</v>
      </c>
      <c r="W20" s="87">
        <v>0</v>
      </c>
      <c r="X20" s="65">
        <v>7377</v>
      </c>
      <c r="Y20" s="66">
        <v>7377</v>
      </c>
      <c r="Z20" s="88">
        <v>0</v>
      </c>
      <c r="AA20" s="88">
        <v>0</v>
      </c>
      <c r="AB20" s="86">
        <v>4</v>
      </c>
      <c r="AC20" s="68">
        <v>0</v>
      </c>
      <c r="AD20" s="68">
        <v>0</v>
      </c>
      <c r="AE20" s="1036"/>
      <c r="AF20" s="89">
        <v>0</v>
      </c>
      <c r="AG20" s="68">
        <v>7377</v>
      </c>
    </row>
    <row r="21" spans="1:33">
      <c r="A21" s="25">
        <f t="shared" si="2"/>
        <v>15</v>
      </c>
      <c r="B21" s="37" t="s">
        <v>421</v>
      </c>
      <c r="C21" s="86">
        <v>7377</v>
      </c>
      <c r="D21" s="87">
        <v>7377</v>
      </c>
      <c r="E21" s="87">
        <v>0</v>
      </c>
      <c r="F21" s="87">
        <v>0</v>
      </c>
      <c r="G21" s="65">
        <f t="shared" si="3"/>
        <v>7377</v>
      </c>
      <c r="H21" s="66">
        <f t="shared" si="3"/>
        <v>7377</v>
      </c>
      <c r="I21" s="88">
        <v>0</v>
      </c>
      <c r="J21" s="88">
        <v>0</v>
      </c>
      <c r="K21" s="86">
        <v>4</v>
      </c>
      <c r="L21" s="68">
        <f t="shared" si="4"/>
        <v>0</v>
      </c>
      <c r="M21" s="68">
        <v>0</v>
      </c>
      <c r="N21" s="76"/>
      <c r="O21" s="89">
        <v>0</v>
      </c>
      <c r="P21" s="68">
        <f t="shared" si="5"/>
        <v>7377</v>
      </c>
      <c r="R21" s="24">
        <f t="shared" si="6"/>
        <v>14</v>
      </c>
      <c r="S21" s="38" t="s">
        <v>29</v>
      </c>
      <c r="T21" s="70">
        <v>67963</v>
      </c>
      <c r="U21" s="71">
        <v>67859</v>
      </c>
      <c r="V21" s="71">
        <v>1262</v>
      </c>
      <c r="W21" s="71">
        <v>1005</v>
      </c>
      <c r="X21" s="71">
        <v>69225</v>
      </c>
      <c r="Y21" s="72">
        <v>68864</v>
      </c>
      <c r="Z21" s="90">
        <v>0</v>
      </c>
      <c r="AA21" s="1252">
        <v>15865</v>
      </c>
      <c r="AB21" s="73">
        <v>781</v>
      </c>
      <c r="AC21" s="74">
        <v>361</v>
      </c>
      <c r="AD21" s="74">
        <v>0</v>
      </c>
      <c r="AE21" s="1036"/>
      <c r="AF21" s="70">
        <v>104</v>
      </c>
      <c r="AG21" s="74">
        <v>68968</v>
      </c>
    </row>
    <row r="22" spans="1:33">
      <c r="A22" s="24">
        <f t="shared" si="2"/>
        <v>16</v>
      </c>
      <c r="B22" s="38" t="s">
        <v>29</v>
      </c>
      <c r="C22" s="70">
        <f>+C23+C25+C28+C31</f>
        <v>67963</v>
      </c>
      <c r="D22" s="71">
        <f>+D23+D25+D28+D31</f>
        <v>67859</v>
      </c>
      <c r="E22" s="71">
        <f>+E23+E25+E28+E31</f>
        <v>1262</v>
      </c>
      <c r="F22" s="71">
        <f>+F23+F25+F28+F31</f>
        <v>1005</v>
      </c>
      <c r="G22" s="71">
        <f t="shared" si="3"/>
        <v>69225</v>
      </c>
      <c r="H22" s="72">
        <f t="shared" si="3"/>
        <v>68864</v>
      </c>
      <c r="I22" s="90">
        <v>0</v>
      </c>
      <c r="J22" s="90">
        <f>+J23+J25+J28+J31</f>
        <v>15865</v>
      </c>
      <c r="K22" s="73">
        <f>+K23+K25+K28+K31</f>
        <v>781</v>
      </c>
      <c r="L22" s="74">
        <f>+L23+L25+L28+L31</f>
        <v>361</v>
      </c>
      <c r="M22" s="74">
        <f>+M23+M25+M28+M31</f>
        <v>0</v>
      </c>
      <c r="N22" s="76"/>
      <c r="O22" s="70">
        <f>+O23+O25+O28+O31</f>
        <v>104</v>
      </c>
      <c r="P22" s="74">
        <f>H22+O22</f>
        <v>68968</v>
      </c>
      <c r="R22" s="46">
        <f t="shared" si="6"/>
        <v>15</v>
      </c>
      <c r="S22" s="43" t="s">
        <v>53</v>
      </c>
      <c r="T22" s="59"/>
      <c r="U22" s="60"/>
      <c r="V22" s="60"/>
      <c r="W22" s="60"/>
      <c r="X22" s="60"/>
      <c r="Y22" s="61"/>
      <c r="Z22" s="78"/>
      <c r="AA22" s="78"/>
      <c r="AB22" s="62"/>
      <c r="AC22" s="63"/>
      <c r="AD22" s="63"/>
      <c r="AE22" s="1036"/>
      <c r="AF22" s="59"/>
      <c r="AG22" s="63"/>
    </row>
    <row r="23" spans="1:33">
      <c r="A23" s="46">
        <f t="shared" si="2"/>
        <v>17</v>
      </c>
      <c r="B23" s="43" t="s">
        <v>422</v>
      </c>
      <c r="C23" s="60">
        <f>+C24</f>
        <v>13349</v>
      </c>
      <c r="D23" s="60">
        <f t="shared" ref="D23:O23" si="7">+D24</f>
        <v>13309</v>
      </c>
      <c r="E23" s="60">
        <f t="shared" si="7"/>
        <v>1000</v>
      </c>
      <c r="F23" s="60">
        <f t="shared" si="7"/>
        <v>768</v>
      </c>
      <c r="G23" s="60">
        <f t="shared" si="3"/>
        <v>14349</v>
      </c>
      <c r="H23" s="61">
        <f t="shared" si="3"/>
        <v>14077</v>
      </c>
      <c r="I23" s="78">
        <v>0</v>
      </c>
      <c r="J23" s="78">
        <f t="shared" si="7"/>
        <v>4864</v>
      </c>
      <c r="K23" s="62">
        <f t="shared" si="7"/>
        <v>316</v>
      </c>
      <c r="L23" s="63">
        <f t="shared" si="7"/>
        <v>272</v>
      </c>
      <c r="M23" s="63">
        <f t="shared" si="7"/>
        <v>0</v>
      </c>
      <c r="N23" s="76"/>
      <c r="O23" s="59">
        <f t="shared" si="7"/>
        <v>0</v>
      </c>
      <c r="P23" s="63">
        <f t="shared" si="5"/>
        <v>14077</v>
      </c>
      <c r="R23" s="25">
        <f t="shared" si="6"/>
        <v>16</v>
      </c>
      <c r="S23" s="37" t="s">
        <v>60</v>
      </c>
      <c r="T23" s="89"/>
      <c r="U23" s="87"/>
      <c r="V23" s="87"/>
      <c r="W23" s="87"/>
      <c r="X23" s="65"/>
      <c r="Y23" s="66"/>
      <c r="Z23" s="88"/>
      <c r="AA23" s="88"/>
      <c r="AB23" s="86"/>
      <c r="AC23" s="68"/>
      <c r="AD23" s="68"/>
      <c r="AE23" s="1036"/>
      <c r="AF23" s="89"/>
      <c r="AG23" s="68"/>
    </row>
    <row r="24" spans="1:33">
      <c r="A24" s="25">
        <f t="shared" si="2"/>
        <v>18</v>
      </c>
      <c r="B24" s="37" t="s">
        <v>423</v>
      </c>
      <c r="C24" s="86">
        <v>13349</v>
      </c>
      <c r="D24" s="87">
        <v>13309</v>
      </c>
      <c r="E24" s="87">
        <v>1000</v>
      </c>
      <c r="F24" s="87">
        <v>768</v>
      </c>
      <c r="G24" s="65">
        <f t="shared" si="3"/>
        <v>14349</v>
      </c>
      <c r="H24" s="66">
        <f>+D24+F24</f>
        <v>14077</v>
      </c>
      <c r="I24" s="88">
        <v>0</v>
      </c>
      <c r="J24" s="88">
        <f>3864+1000</f>
        <v>4864</v>
      </c>
      <c r="K24" s="86">
        <v>316</v>
      </c>
      <c r="L24" s="68">
        <f>+G24-H24</f>
        <v>272</v>
      </c>
      <c r="M24" s="68">
        <v>0</v>
      </c>
      <c r="N24" s="76"/>
      <c r="O24" s="89">
        <v>0</v>
      </c>
      <c r="P24" s="68">
        <f t="shared" si="5"/>
        <v>14077</v>
      </c>
      <c r="R24" s="46">
        <f t="shared" si="6"/>
        <v>17</v>
      </c>
      <c r="S24" s="47" t="s">
        <v>59</v>
      </c>
      <c r="T24" s="59">
        <v>32594</v>
      </c>
      <c r="U24" s="60">
        <v>32594</v>
      </c>
      <c r="V24" s="60">
        <v>0</v>
      </c>
      <c r="W24" s="60">
        <v>0</v>
      </c>
      <c r="X24" s="60">
        <v>32594</v>
      </c>
      <c r="Y24" s="61">
        <v>32594</v>
      </c>
      <c r="Z24" s="78">
        <v>0</v>
      </c>
      <c r="AA24" s="78">
        <v>4340</v>
      </c>
      <c r="AB24" s="62">
        <v>138</v>
      </c>
      <c r="AC24" s="63">
        <v>0</v>
      </c>
      <c r="AD24" s="63">
        <v>0</v>
      </c>
      <c r="AE24" s="1036"/>
      <c r="AF24" s="59">
        <v>0</v>
      </c>
      <c r="AG24" s="63">
        <v>32594</v>
      </c>
    </row>
    <row r="25" spans="1:33">
      <c r="A25" s="46">
        <f t="shared" si="2"/>
        <v>19</v>
      </c>
      <c r="B25" s="43" t="s">
        <v>424</v>
      </c>
      <c r="C25" s="60">
        <f>SUM(C26:C27)</f>
        <v>6249</v>
      </c>
      <c r="D25" s="60">
        <f>SUM(D26:D27)</f>
        <v>6185</v>
      </c>
      <c r="E25" s="60">
        <f>SUM(E26:E27)</f>
        <v>262</v>
      </c>
      <c r="F25" s="60">
        <f>SUM(F26:F27)</f>
        <v>237</v>
      </c>
      <c r="G25" s="60">
        <f t="shared" ref="G25:H41" si="8">+C25+E25</f>
        <v>6511</v>
      </c>
      <c r="H25" s="61">
        <f t="shared" si="8"/>
        <v>6422</v>
      </c>
      <c r="I25" s="78">
        <v>0</v>
      </c>
      <c r="J25" s="78">
        <f>SUM(J26:J27)</f>
        <v>0</v>
      </c>
      <c r="K25" s="62">
        <f>SUM(K26:K27)</f>
        <v>129</v>
      </c>
      <c r="L25" s="63">
        <f>SUM(L26:L27)</f>
        <v>89</v>
      </c>
      <c r="M25" s="63">
        <f>SUM(M26:M27)</f>
        <v>0</v>
      </c>
      <c r="N25" s="76"/>
      <c r="O25" s="59">
        <f>SUM(O26:O27)</f>
        <v>0</v>
      </c>
      <c r="P25" s="63">
        <f t="shared" si="5"/>
        <v>6422</v>
      </c>
      <c r="R25" s="25">
        <f t="shared" si="6"/>
        <v>18</v>
      </c>
      <c r="S25" s="37" t="s">
        <v>60</v>
      </c>
      <c r="T25" s="89"/>
      <c r="U25" s="87"/>
      <c r="V25" s="87"/>
      <c r="W25" s="87"/>
      <c r="X25" s="65"/>
      <c r="Y25" s="66"/>
      <c r="Z25" s="88"/>
      <c r="AA25" s="88"/>
      <c r="AB25" s="86"/>
      <c r="AC25" s="68"/>
      <c r="AD25" s="68"/>
      <c r="AE25" s="1036"/>
      <c r="AF25" s="89"/>
      <c r="AG25" s="68"/>
    </row>
    <row r="26" spans="1:33">
      <c r="A26" s="25">
        <f t="shared" si="2"/>
        <v>20</v>
      </c>
      <c r="B26" s="37" t="s">
        <v>425</v>
      </c>
      <c r="C26" s="86">
        <f>4257-163-3</f>
        <v>4091</v>
      </c>
      <c r="D26" s="87">
        <v>4027</v>
      </c>
      <c r="E26" s="87">
        <v>262</v>
      </c>
      <c r="F26" s="87">
        <v>237</v>
      </c>
      <c r="G26" s="65">
        <f t="shared" si="8"/>
        <v>4353</v>
      </c>
      <c r="H26" s="66">
        <f>+D26+F26</f>
        <v>4264</v>
      </c>
      <c r="I26" s="88">
        <v>0</v>
      </c>
      <c r="J26" s="88">
        <v>0</v>
      </c>
      <c r="K26" s="86">
        <f>39+56</f>
        <v>95</v>
      </c>
      <c r="L26" s="68">
        <f>+G26-H26</f>
        <v>89</v>
      </c>
      <c r="M26" s="68">
        <v>0</v>
      </c>
      <c r="N26" s="76"/>
      <c r="O26" s="89">
        <v>0</v>
      </c>
      <c r="P26" s="68">
        <f t="shared" si="5"/>
        <v>4264</v>
      </c>
      <c r="R26" s="46">
        <f t="shared" si="6"/>
        <v>19</v>
      </c>
      <c r="S26" s="47" t="s">
        <v>54</v>
      </c>
      <c r="T26" s="59">
        <v>15771</v>
      </c>
      <c r="U26" s="60">
        <v>15771</v>
      </c>
      <c r="V26" s="60">
        <v>0</v>
      </c>
      <c r="W26" s="60">
        <v>0</v>
      </c>
      <c r="X26" s="60">
        <v>15771</v>
      </c>
      <c r="Y26" s="61">
        <v>15771</v>
      </c>
      <c r="Z26" s="78">
        <v>0</v>
      </c>
      <c r="AA26" s="78">
        <v>6661</v>
      </c>
      <c r="AB26" s="62">
        <v>198</v>
      </c>
      <c r="AC26" s="63">
        <v>0</v>
      </c>
      <c r="AD26" s="63">
        <v>0</v>
      </c>
      <c r="AE26" s="1036"/>
      <c r="AF26" s="59">
        <v>104</v>
      </c>
      <c r="AG26" s="63">
        <v>15875</v>
      </c>
    </row>
    <row r="27" spans="1:33">
      <c r="A27" s="25">
        <f t="shared" si="2"/>
        <v>21</v>
      </c>
      <c r="B27" s="37" t="s">
        <v>426</v>
      </c>
      <c r="C27" s="86">
        <f>2222-64</f>
        <v>2158</v>
      </c>
      <c r="D27" s="87">
        <v>2158</v>
      </c>
      <c r="E27" s="87">
        <v>0</v>
      </c>
      <c r="F27" s="87">
        <v>0</v>
      </c>
      <c r="G27" s="65">
        <f t="shared" si="8"/>
        <v>2158</v>
      </c>
      <c r="H27" s="66">
        <f>+D27+F27</f>
        <v>2158</v>
      </c>
      <c r="I27" s="88">
        <v>0</v>
      </c>
      <c r="J27" s="88">
        <v>0</v>
      </c>
      <c r="K27" s="86">
        <f>33+1</f>
        <v>34</v>
      </c>
      <c r="L27" s="68">
        <f>+G27-H27</f>
        <v>0</v>
      </c>
      <c r="M27" s="68">
        <v>0</v>
      </c>
      <c r="N27" s="76"/>
      <c r="O27" s="89">
        <v>0</v>
      </c>
      <c r="P27" s="68">
        <f t="shared" si="5"/>
        <v>2158</v>
      </c>
      <c r="R27" s="25">
        <f t="shared" si="6"/>
        <v>20</v>
      </c>
      <c r="S27" s="37" t="s">
        <v>60</v>
      </c>
      <c r="T27" s="94"/>
      <c r="U27" s="92"/>
      <c r="V27" s="92"/>
      <c r="W27" s="92"/>
      <c r="X27" s="65"/>
      <c r="Y27" s="66"/>
      <c r="Z27" s="93"/>
      <c r="AA27" s="93"/>
      <c r="AB27" s="91"/>
      <c r="AC27" s="68"/>
      <c r="AD27" s="68"/>
      <c r="AE27" s="1036"/>
      <c r="AF27" s="94"/>
      <c r="AG27" s="68"/>
    </row>
    <row r="28" spans="1:33">
      <c r="A28" s="46">
        <f t="shared" si="2"/>
        <v>22</v>
      </c>
      <c r="B28" s="47" t="s">
        <v>260</v>
      </c>
      <c r="C28" s="60">
        <f>SUM(C29:C30)</f>
        <v>32594</v>
      </c>
      <c r="D28" s="60">
        <f>SUM(D29:D30)</f>
        <v>32594</v>
      </c>
      <c r="E28" s="60">
        <f>SUM(E29:E30)</f>
        <v>0</v>
      </c>
      <c r="F28" s="60">
        <f>+F30</f>
        <v>0</v>
      </c>
      <c r="G28" s="60">
        <f t="shared" si="8"/>
        <v>32594</v>
      </c>
      <c r="H28" s="61">
        <f t="shared" si="8"/>
        <v>32594</v>
      </c>
      <c r="I28" s="78">
        <v>0</v>
      </c>
      <c r="J28" s="78">
        <f>SUM(J29:J30)</f>
        <v>4340</v>
      </c>
      <c r="K28" s="62">
        <f>SUM(K29:K30)</f>
        <v>138</v>
      </c>
      <c r="L28" s="63">
        <f>SUM(L29:L30)</f>
        <v>0</v>
      </c>
      <c r="M28" s="63">
        <f>SUM(M29:M30)</f>
        <v>0</v>
      </c>
      <c r="N28" s="76"/>
      <c r="O28" s="59">
        <f>SUM(O29:O30)</f>
        <v>0</v>
      </c>
      <c r="P28" s="63">
        <f t="shared" si="5"/>
        <v>32594</v>
      </c>
      <c r="R28" s="24">
        <f t="shared" si="6"/>
        <v>21</v>
      </c>
      <c r="S28" s="38" t="s">
        <v>27</v>
      </c>
      <c r="T28" s="70"/>
      <c r="U28" s="71"/>
      <c r="V28" s="71"/>
      <c r="W28" s="71"/>
      <c r="X28" s="71"/>
      <c r="Y28" s="72"/>
      <c r="Z28" s="90"/>
      <c r="AA28" s="90"/>
      <c r="AB28" s="73"/>
      <c r="AC28" s="74"/>
      <c r="AD28" s="74"/>
      <c r="AE28" s="1036"/>
      <c r="AF28" s="70"/>
      <c r="AG28" s="74"/>
    </row>
    <row r="29" spans="1:33">
      <c r="A29" s="25">
        <f t="shared" si="2"/>
        <v>23</v>
      </c>
      <c r="B29" s="37" t="s">
        <v>427</v>
      </c>
      <c r="C29" s="86">
        <v>32332</v>
      </c>
      <c r="D29" s="87">
        <v>32332</v>
      </c>
      <c r="E29" s="87">
        <v>0</v>
      </c>
      <c r="F29" s="87">
        <v>0</v>
      </c>
      <c r="G29" s="65">
        <f t="shared" si="8"/>
        <v>32332</v>
      </c>
      <c r="H29" s="66">
        <f>+D29+F29</f>
        <v>32332</v>
      </c>
      <c r="I29" s="88">
        <v>0</v>
      </c>
      <c r="J29" s="88">
        <v>4340</v>
      </c>
      <c r="K29" s="91">
        <v>138</v>
      </c>
      <c r="L29" s="68">
        <f>+G29-H29</f>
        <v>0</v>
      </c>
      <c r="M29" s="68">
        <v>0</v>
      </c>
      <c r="N29" s="76"/>
      <c r="O29" s="89">
        <v>0</v>
      </c>
      <c r="P29" s="68">
        <f t="shared" si="5"/>
        <v>32332</v>
      </c>
      <c r="R29" s="29">
        <f t="shared" si="6"/>
        <v>22</v>
      </c>
      <c r="S29" s="43" t="s">
        <v>34</v>
      </c>
      <c r="T29" s="59"/>
      <c r="U29" s="60"/>
      <c r="V29" s="60"/>
      <c r="W29" s="60"/>
      <c r="X29" s="60"/>
      <c r="Y29" s="61"/>
      <c r="Z29" s="78"/>
      <c r="AA29" s="78"/>
      <c r="AB29" s="62"/>
      <c r="AC29" s="63"/>
      <c r="AD29" s="63"/>
      <c r="AE29" s="1036"/>
      <c r="AF29" s="59"/>
      <c r="AG29" s="63"/>
    </row>
    <row r="30" spans="1:33">
      <c r="A30" s="25">
        <f t="shared" si="2"/>
        <v>24</v>
      </c>
      <c r="B30" s="37" t="s">
        <v>428</v>
      </c>
      <c r="C30" s="86">
        <v>262</v>
      </c>
      <c r="D30" s="87">
        <v>262</v>
      </c>
      <c r="E30" s="87">
        <v>0</v>
      </c>
      <c r="F30" s="87">
        <v>0</v>
      </c>
      <c r="G30" s="65">
        <f t="shared" si="8"/>
        <v>262</v>
      </c>
      <c r="H30" s="66">
        <f>+D30+F30</f>
        <v>262</v>
      </c>
      <c r="I30" s="88">
        <v>0</v>
      </c>
      <c r="J30" s="88">
        <v>0</v>
      </c>
      <c r="K30" s="86">
        <v>0</v>
      </c>
      <c r="L30" s="68">
        <f>+G30-H30</f>
        <v>0</v>
      </c>
      <c r="M30" s="68">
        <v>0</v>
      </c>
      <c r="N30" s="76"/>
      <c r="O30" s="89">
        <v>0</v>
      </c>
      <c r="P30" s="68">
        <f t="shared" si="5"/>
        <v>262</v>
      </c>
      <c r="R30" s="25">
        <f t="shared" si="6"/>
        <v>23</v>
      </c>
      <c r="S30" s="37" t="s">
        <v>60</v>
      </c>
      <c r="T30" s="94"/>
      <c r="U30" s="92"/>
      <c r="V30" s="92"/>
      <c r="W30" s="92"/>
      <c r="X30" s="65"/>
      <c r="Y30" s="66"/>
      <c r="Z30" s="93"/>
      <c r="AA30" s="93"/>
      <c r="AB30" s="91"/>
      <c r="AC30" s="68"/>
      <c r="AD30" s="68"/>
      <c r="AE30" s="1036"/>
      <c r="AF30" s="94"/>
      <c r="AG30" s="68"/>
    </row>
    <row r="31" spans="1:33">
      <c r="A31" s="46">
        <f t="shared" si="2"/>
        <v>25</v>
      </c>
      <c r="B31" s="47" t="s">
        <v>262</v>
      </c>
      <c r="C31" s="60">
        <f>SUM(C32:C34)</f>
        <v>15771</v>
      </c>
      <c r="D31" s="60">
        <f>SUM(D32:D34)</f>
        <v>15771</v>
      </c>
      <c r="E31" s="60">
        <f>SUM(E32:E34)</f>
        <v>0</v>
      </c>
      <c r="F31" s="60">
        <f>+F34</f>
        <v>0</v>
      </c>
      <c r="G31" s="60">
        <f t="shared" si="8"/>
        <v>15771</v>
      </c>
      <c r="H31" s="61">
        <f t="shared" si="8"/>
        <v>15771</v>
      </c>
      <c r="I31" s="78">
        <v>0</v>
      </c>
      <c r="J31" s="78">
        <f>SUM(J32:J34)</f>
        <v>6661</v>
      </c>
      <c r="K31" s="62">
        <f>SUM(K32:K34)</f>
        <v>198</v>
      </c>
      <c r="L31" s="63">
        <f>SUM(L32:L34)</f>
        <v>0</v>
      </c>
      <c r="M31" s="63">
        <f>SUM(M32:M34)</f>
        <v>0</v>
      </c>
      <c r="N31" s="76"/>
      <c r="O31" s="59">
        <f>SUM(O32:O34)</f>
        <v>104</v>
      </c>
      <c r="P31" s="63">
        <f t="shared" si="5"/>
        <v>15875</v>
      </c>
      <c r="R31" s="24">
        <f t="shared" si="6"/>
        <v>24</v>
      </c>
      <c r="S31" s="38" t="s">
        <v>32</v>
      </c>
      <c r="T31" s="70">
        <v>2874</v>
      </c>
      <c r="U31" s="71">
        <v>2874</v>
      </c>
      <c r="V31" s="71">
        <v>0</v>
      </c>
      <c r="W31" s="71">
        <v>0</v>
      </c>
      <c r="X31" s="71">
        <v>2874</v>
      </c>
      <c r="Y31" s="72">
        <v>2874</v>
      </c>
      <c r="Z31" s="90">
        <v>100</v>
      </c>
      <c r="AA31" s="90">
        <v>0</v>
      </c>
      <c r="AB31" s="73">
        <v>0</v>
      </c>
      <c r="AC31" s="74">
        <v>0</v>
      </c>
      <c r="AD31" s="74">
        <v>0</v>
      </c>
      <c r="AE31" s="1036"/>
      <c r="AF31" s="70">
        <v>0</v>
      </c>
      <c r="AG31" s="74">
        <v>2874</v>
      </c>
    </row>
    <row r="32" spans="1:33">
      <c r="A32" s="25">
        <f t="shared" si="2"/>
        <v>26</v>
      </c>
      <c r="B32" s="37" t="s">
        <v>429</v>
      </c>
      <c r="C32" s="91">
        <v>7431</v>
      </c>
      <c r="D32" s="92">
        <v>7431</v>
      </c>
      <c r="E32" s="87">
        <v>0</v>
      </c>
      <c r="F32" s="87">
        <v>0</v>
      </c>
      <c r="G32" s="65">
        <f t="shared" si="8"/>
        <v>7431</v>
      </c>
      <c r="H32" s="66">
        <f>+D32+F32</f>
        <v>7431</v>
      </c>
      <c r="I32" s="93">
        <v>0</v>
      </c>
      <c r="J32" s="93">
        <v>6321</v>
      </c>
      <c r="K32" s="91">
        <v>0</v>
      </c>
      <c r="L32" s="68">
        <f>+G32-H32</f>
        <v>0</v>
      </c>
      <c r="M32" s="68">
        <v>0</v>
      </c>
      <c r="N32" s="76"/>
      <c r="O32" s="94">
        <v>0</v>
      </c>
      <c r="P32" s="68">
        <f t="shared" si="5"/>
        <v>7431</v>
      </c>
      <c r="R32" s="46">
        <f t="shared" si="6"/>
        <v>25</v>
      </c>
      <c r="S32" s="47" t="s">
        <v>39</v>
      </c>
      <c r="T32" s="59"/>
      <c r="U32" s="60"/>
      <c r="V32" s="60"/>
      <c r="W32" s="60"/>
      <c r="X32" s="60"/>
      <c r="Y32" s="61"/>
      <c r="Z32" s="78"/>
      <c r="AA32" s="78"/>
      <c r="AB32" s="62"/>
      <c r="AC32" s="63"/>
      <c r="AD32" s="63"/>
      <c r="AE32" s="1036"/>
      <c r="AF32" s="59"/>
      <c r="AG32" s="63"/>
    </row>
    <row r="33" spans="1:33" ht="15.75" thickBot="1">
      <c r="A33" s="25">
        <f t="shared" si="2"/>
        <v>27</v>
      </c>
      <c r="B33" s="37" t="s">
        <v>430</v>
      </c>
      <c r="C33" s="91">
        <v>1060</v>
      </c>
      <c r="D33" s="92">
        <v>1060</v>
      </c>
      <c r="E33" s="87">
        <v>0</v>
      </c>
      <c r="F33" s="87">
        <v>0</v>
      </c>
      <c r="G33" s="65">
        <f t="shared" si="8"/>
        <v>1060</v>
      </c>
      <c r="H33" s="66">
        <f>+D33+F33</f>
        <v>1060</v>
      </c>
      <c r="I33" s="93">
        <v>0</v>
      </c>
      <c r="J33" s="93">
        <v>340</v>
      </c>
      <c r="K33" s="91">
        <v>0</v>
      </c>
      <c r="L33" s="68">
        <f>+G33-H33</f>
        <v>0</v>
      </c>
      <c r="M33" s="68">
        <v>0</v>
      </c>
      <c r="N33" s="76"/>
      <c r="O33" s="94">
        <v>104</v>
      </c>
      <c r="P33" s="68">
        <f t="shared" si="5"/>
        <v>1164</v>
      </c>
      <c r="R33" s="25">
        <f t="shared" si="6"/>
        <v>26</v>
      </c>
      <c r="S33" s="37" t="s">
        <v>60</v>
      </c>
      <c r="T33" s="89"/>
      <c r="U33" s="87"/>
      <c r="V33" s="87"/>
      <c r="W33" s="87"/>
      <c r="X33" s="65"/>
      <c r="Y33" s="66"/>
      <c r="Z33" s="88"/>
      <c r="AA33" s="88"/>
      <c r="AB33" s="86"/>
      <c r="AC33" s="68"/>
      <c r="AD33" s="68"/>
      <c r="AE33" s="1036"/>
      <c r="AF33" s="89"/>
      <c r="AG33" s="68"/>
    </row>
    <row r="34" spans="1:33" ht="15.75" thickBot="1">
      <c r="A34" s="25">
        <f t="shared" si="2"/>
        <v>28</v>
      </c>
      <c r="B34" s="37" t="s">
        <v>431</v>
      </c>
      <c r="C34" s="91">
        <v>7280</v>
      </c>
      <c r="D34" s="92">
        <v>7280</v>
      </c>
      <c r="E34" s="87">
        <v>0</v>
      </c>
      <c r="F34" s="87">
        <v>0</v>
      </c>
      <c r="G34" s="65">
        <f t="shared" si="8"/>
        <v>7280</v>
      </c>
      <c r="H34" s="66">
        <f>+D34+F34</f>
        <v>7280</v>
      </c>
      <c r="I34" s="93">
        <v>0</v>
      </c>
      <c r="J34" s="93">
        <v>0</v>
      </c>
      <c r="K34" s="91">
        <v>198</v>
      </c>
      <c r="L34" s="68">
        <f>+G34-H34</f>
        <v>0</v>
      </c>
      <c r="M34" s="68">
        <v>0</v>
      </c>
      <c r="N34" s="76"/>
      <c r="O34" s="94">
        <v>0</v>
      </c>
      <c r="P34" s="68">
        <f t="shared" si="5"/>
        <v>7280</v>
      </c>
      <c r="R34" s="31">
        <f t="shared" si="6"/>
        <v>27</v>
      </c>
      <c r="S34" s="39" t="s">
        <v>23</v>
      </c>
      <c r="T34" s="95">
        <v>267630</v>
      </c>
      <c r="U34" s="96">
        <v>267526</v>
      </c>
      <c r="V34" s="96">
        <v>23262</v>
      </c>
      <c r="W34" s="96">
        <v>23005</v>
      </c>
      <c r="X34" s="96">
        <v>290892</v>
      </c>
      <c r="Y34" s="97">
        <v>290531</v>
      </c>
      <c r="Z34" s="98"/>
      <c r="AA34" s="98">
        <v>15865</v>
      </c>
      <c r="AB34" s="99">
        <v>2295</v>
      </c>
      <c r="AC34" s="100">
        <v>361</v>
      </c>
      <c r="AD34" s="100">
        <v>0</v>
      </c>
      <c r="AE34" s="101"/>
      <c r="AF34" s="95">
        <v>104</v>
      </c>
      <c r="AG34" s="100">
        <v>290635</v>
      </c>
    </row>
    <row r="35" spans="1:33">
      <c r="A35" s="24">
        <f t="shared" si="2"/>
        <v>29</v>
      </c>
      <c r="B35" s="38" t="s">
        <v>27</v>
      </c>
      <c r="C35" s="70">
        <v>0</v>
      </c>
      <c r="D35" s="71">
        <v>0</v>
      </c>
      <c r="E35" s="71">
        <v>0</v>
      </c>
      <c r="F35" s="71">
        <v>0</v>
      </c>
      <c r="G35" s="71">
        <f t="shared" si="8"/>
        <v>0</v>
      </c>
      <c r="H35" s="72">
        <f>+D35+F35</f>
        <v>0</v>
      </c>
      <c r="I35" s="90">
        <v>0</v>
      </c>
      <c r="J35" s="90">
        <v>0</v>
      </c>
      <c r="K35" s="73">
        <v>0</v>
      </c>
      <c r="L35" s="74">
        <f>+G35-H35</f>
        <v>0</v>
      </c>
      <c r="M35" s="74">
        <v>0</v>
      </c>
      <c r="N35" s="76"/>
      <c r="O35" s="70">
        <v>0</v>
      </c>
      <c r="P35" s="74">
        <f>H35+O35</f>
        <v>0</v>
      </c>
    </row>
    <row r="36" spans="1:33">
      <c r="A36" s="24">
        <f t="shared" si="2"/>
        <v>30</v>
      </c>
      <c r="B36" s="38" t="s">
        <v>32</v>
      </c>
      <c r="C36" s="70">
        <f>+C37+C40</f>
        <v>2874</v>
      </c>
      <c r="D36" s="71">
        <f>+D37+D40</f>
        <v>2874</v>
      </c>
      <c r="E36" s="71">
        <f>+E37+E40</f>
        <v>0</v>
      </c>
      <c r="F36" s="71">
        <f>+F37+F40</f>
        <v>0</v>
      </c>
      <c r="G36" s="71">
        <f t="shared" si="8"/>
        <v>2874</v>
      </c>
      <c r="H36" s="72">
        <f>+D36+F36</f>
        <v>2874</v>
      </c>
      <c r="I36" s="90">
        <v>100</v>
      </c>
      <c r="J36" s="90">
        <f t="shared" ref="J36:O36" si="9">+J37+J40</f>
        <v>0</v>
      </c>
      <c r="K36" s="73">
        <f t="shared" si="9"/>
        <v>0</v>
      </c>
      <c r="L36" s="74">
        <f t="shared" si="9"/>
        <v>0</v>
      </c>
      <c r="M36" s="74">
        <f t="shared" si="9"/>
        <v>0</v>
      </c>
      <c r="N36" s="76"/>
      <c r="O36" s="70">
        <f t="shared" si="9"/>
        <v>0</v>
      </c>
      <c r="P36" s="74">
        <f>H36+O36</f>
        <v>2874</v>
      </c>
    </row>
    <row r="37" spans="1:33">
      <c r="A37" s="46">
        <f t="shared" si="2"/>
        <v>31</v>
      </c>
      <c r="B37" s="47" t="s">
        <v>432</v>
      </c>
      <c r="C37" s="60">
        <f>SUM(C38:C39)</f>
        <v>2830</v>
      </c>
      <c r="D37" s="60">
        <f>SUM(D38:D39)</f>
        <v>2830</v>
      </c>
      <c r="E37" s="60">
        <f>SUM(E38:E39)</f>
        <v>0</v>
      </c>
      <c r="F37" s="60">
        <f>+F39</f>
        <v>0</v>
      </c>
      <c r="G37" s="60">
        <f t="shared" si="8"/>
        <v>2830</v>
      </c>
      <c r="H37" s="61">
        <f t="shared" si="8"/>
        <v>2830</v>
      </c>
      <c r="I37" s="78">
        <v>100</v>
      </c>
      <c r="J37" s="78">
        <f>SUM(J38:J39)</f>
        <v>0</v>
      </c>
      <c r="K37" s="62">
        <f>SUM(K38:K39)</f>
        <v>0</v>
      </c>
      <c r="L37" s="63">
        <f>SUM(L38:L39)</f>
        <v>0</v>
      </c>
      <c r="M37" s="63">
        <f>SUM(M38:M39)</f>
        <v>0</v>
      </c>
      <c r="N37" s="76"/>
      <c r="O37" s="59">
        <f>SUM(O38:O39)</f>
        <v>0</v>
      </c>
      <c r="P37" s="63">
        <f>H37+O37</f>
        <v>2830</v>
      </c>
    </row>
    <row r="38" spans="1:33">
      <c r="A38" s="25">
        <f t="shared" si="2"/>
        <v>32</v>
      </c>
      <c r="B38" s="37" t="s">
        <v>433</v>
      </c>
      <c r="C38" s="86">
        <v>2801</v>
      </c>
      <c r="D38" s="87">
        <v>2801</v>
      </c>
      <c r="E38" s="87">
        <v>0</v>
      </c>
      <c r="F38" s="87">
        <v>0</v>
      </c>
      <c r="G38" s="65">
        <f t="shared" si="8"/>
        <v>2801</v>
      </c>
      <c r="H38" s="66">
        <f>+D38+F38</f>
        <v>2801</v>
      </c>
      <c r="I38" s="88">
        <v>100</v>
      </c>
      <c r="J38" s="88">
        <v>0</v>
      </c>
      <c r="K38" s="86">
        <v>0</v>
      </c>
      <c r="L38" s="68">
        <f>+G38-H38</f>
        <v>0</v>
      </c>
      <c r="M38" s="68">
        <v>0</v>
      </c>
      <c r="N38" s="76"/>
      <c r="O38" s="89">
        <v>0</v>
      </c>
      <c r="P38" s="68">
        <f t="shared" si="5"/>
        <v>2801</v>
      </c>
    </row>
    <row r="39" spans="1:33">
      <c r="A39" s="25">
        <f t="shared" si="2"/>
        <v>33</v>
      </c>
      <c r="B39" s="37" t="s">
        <v>434</v>
      </c>
      <c r="C39" s="86">
        <v>29</v>
      </c>
      <c r="D39" s="87">
        <v>29</v>
      </c>
      <c r="E39" s="87">
        <v>0</v>
      </c>
      <c r="F39" s="87">
        <v>0</v>
      </c>
      <c r="G39" s="65">
        <f t="shared" si="8"/>
        <v>29</v>
      </c>
      <c r="H39" s="66">
        <f>+D39+F39</f>
        <v>29</v>
      </c>
      <c r="I39" s="88">
        <v>100</v>
      </c>
      <c r="J39" s="88">
        <v>0</v>
      </c>
      <c r="K39" s="86">
        <v>0</v>
      </c>
      <c r="L39" s="68">
        <f>+G39-H39</f>
        <v>0</v>
      </c>
      <c r="M39" s="68">
        <v>0</v>
      </c>
      <c r="N39" s="76"/>
      <c r="O39" s="89">
        <v>0</v>
      </c>
      <c r="P39" s="68">
        <f t="shared" si="5"/>
        <v>29</v>
      </c>
    </row>
    <row r="40" spans="1:33">
      <c r="A40" s="46">
        <f t="shared" si="2"/>
        <v>34</v>
      </c>
      <c r="B40" s="43" t="s">
        <v>435</v>
      </c>
      <c r="C40" s="60">
        <f>+C41</f>
        <v>44</v>
      </c>
      <c r="D40" s="60">
        <f t="shared" ref="D40:O40" si="10">+D41</f>
        <v>44</v>
      </c>
      <c r="E40" s="60">
        <f t="shared" si="10"/>
        <v>0</v>
      </c>
      <c r="F40" s="60">
        <f t="shared" si="10"/>
        <v>0</v>
      </c>
      <c r="G40" s="60">
        <f t="shared" si="8"/>
        <v>44</v>
      </c>
      <c r="H40" s="61">
        <f t="shared" si="8"/>
        <v>44</v>
      </c>
      <c r="I40" s="78">
        <v>100</v>
      </c>
      <c r="J40" s="78">
        <f t="shared" si="10"/>
        <v>0</v>
      </c>
      <c r="K40" s="62">
        <f t="shared" si="10"/>
        <v>0</v>
      </c>
      <c r="L40" s="63">
        <f t="shared" si="10"/>
        <v>0</v>
      </c>
      <c r="M40" s="63">
        <f t="shared" si="10"/>
        <v>0</v>
      </c>
      <c r="N40" s="76"/>
      <c r="O40" s="59">
        <f t="shared" si="10"/>
        <v>0</v>
      </c>
      <c r="P40" s="63">
        <f t="shared" si="5"/>
        <v>44</v>
      </c>
    </row>
    <row r="41" spans="1:33" ht="15.75" thickBot="1">
      <c r="A41" s="25">
        <f t="shared" si="2"/>
        <v>35</v>
      </c>
      <c r="B41" s="37" t="s">
        <v>436</v>
      </c>
      <c r="C41" s="86">
        <v>44</v>
      </c>
      <c r="D41" s="87">
        <v>44</v>
      </c>
      <c r="E41" s="87">
        <v>0</v>
      </c>
      <c r="F41" s="87">
        <v>0</v>
      </c>
      <c r="G41" s="65">
        <f t="shared" si="8"/>
        <v>44</v>
      </c>
      <c r="H41" s="66">
        <f>+D41+F41</f>
        <v>44</v>
      </c>
      <c r="I41" s="88">
        <v>100</v>
      </c>
      <c r="J41" s="88">
        <v>0</v>
      </c>
      <c r="K41" s="86">
        <v>0</v>
      </c>
      <c r="L41" s="68">
        <f>+G41-H41</f>
        <v>0</v>
      </c>
      <c r="M41" s="68">
        <v>0</v>
      </c>
      <c r="N41" s="76"/>
      <c r="O41" s="89">
        <v>0</v>
      </c>
      <c r="P41" s="68">
        <f t="shared" si="5"/>
        <v>44</v>
      </c>
    </row>
    <row r="42" spans="1:33" ht="15.75" thickBot="1">
      <c r="A42" s="31">
        <f t="shared" si="2"/>
        <v>36</v>
      </c>
      <c r="B42" s="39" t="s">
        <v>23</v>
      </c>
      <c r="C42" s="95">
        <f t="shared" ref="C42:H42" si="11">+C7+C22+C35+C36</f>
        <v>267630</v>
      </c>
      <c r="D42" s="96">
        <f t="shared" si="11"/>
        <v>267526</v>
      </c>
      <c r="E42" s="96">
        <f t="shared" si="11"/>
        <v>23262</v>
      </c>
      <c r="F42" s="96">
        <f t="shared" si="11"/>
        <v>23005</v>
      </c>
      <c r="G42" s="96">
        <f t="shared" si="11"/>
        <v>290892</v>
      </c>
      <c r="H42" s="97">
        <f t="shared" si="11"/>
        <v>290531</v>
      </c>
      <c r="I42" s="98"/>
      <c r="J42" s="98">
        <f>+J7+J22+J35+J36</f>
        <v>15865</v>
      </c>
      <c r="K42" s="99">
        <f>+K7+K22+K35+K36</f>
        <v>2295</v>
      </c>
      <c r="L42" s="100">
        <f>+L7+L22+L35+L36</f>
        <v>361</v>
      </c>
      <c r="M42" s="100">
        <f>+M7+M22+M35+M36</f>
        <v>0</v>
      </c>
      <c r="N42" s="101"/>
      <c r="O42" s="95">
        <f>+O7+O22+O35+O36</f>
        <v>104</v>
      </c>
      <c r="P42" s="100">
        <f>+P7+P22+P35+P36</f>
        <v>290635</v>
      </c>
    </row>
  </sheetData>
  <mergeCells count="24">
    <mergeCell ref="A4:A6"/>
    <mergeCell ref="B4:B6"/>
    <mergeCell ref="C4:D4"/>
    <mergeCell ref="E4:F4"/>
    <mergeCell ref="G4:H4"/>
    <mergeCell ref="I4:I5"/>
    <mergeCell ref="J4:J5"/>
    <mergeCell ref="K4:K5"/>
    <mergeCell ref="L4:L5"/>
    <mergeCell ref="M4:M5"/>
    <mergeCell ref="O4:O5"/>
    <mergeCell ref="P4:P5"/>
    <mergeCell ref="R4:R6"/>
    <mergeCell ref="S4:S6"/>
    <mergeCell ref="T4:U4"/>
    <mergeCell ref="V4:W4"/>
    <mergeCell ref="X4:Y4"/>
    <mergeCell ref="Z4:Z5"/>
    <mergeCell ref="AA4:AA5"/>
    <mergeCell ref="AB4:AB5"/>
    <mergeCell ref="AC4:AC5"/>
    <mergeCell ref="AD4:AD5"/>
    <mergeCell ref="AF4:AF5"/>
    <mergeCell ref="AG4:AG5"/>
  </mergeCells>
  <pageMargins left="0.7" right="0.7" top="0.78740157499999996" bottom="0.78740157499999996"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dimension ref="A1:AG41"/>
  <sheetViews>
    <sheetView zoomScale="85" zoomScaleNormal="85" workbookViewId="0">
      <selection activeCell="R1" sqref="R1:AG65536"/>
    </sheetView>
  </sheetViews>
  <sheetFormatPr defaultRowHeight="15"/>
  <cols>
    <col min="1" max="1" width="9.42578125" customWidth="1"/>
    <col min="2" max="2" width="45.85546875" customWidth="1"/>
    <col min="3" max="3" width="12.7109375" customWidth="1"/>
    <col min="4" max="4" width="11.5703125" customWidth="1"/>
    <col min="5" max="5" width="11.28515625" customWidth="1"/>
    <col min="6" max="6" width="11.5703125" customWidth="1"/>
    <col min="7" max="7" width="10.85546875" customWidth="1"/>
    <col min="8" max="9" width="10.42578125" customWidth="1"/>
    <col min="10" max="10" width="12.5703125" customWidth="1"/>
    <col min="11" max="11" width="10.5703125" customWidth="1"/>
    <col min="12" max="12" width="14" customWidth="1"/>
    <col min="13" max="13" width="12.42578125" customWidth="1"/>
    <col min="14" max="14" width="1.7109375" customWidth="1"/>
    <col min="15" max="15" width="11" customWidth="1"/>
    <col min="16" max="16" width="10.85546875" customWidth="1"/>
    <col min="18" max="18" width="9.42578125" hidden="1" customWidth="1"/>
    <col min="19" max="19" width="45.85546875" hidden="1" customWidth="1"/>
    <col min="20" max="20" width="12.7109375" hidden="1" customWidth="1"/>
    <col min="21" max="21" width="11.5703125" hidden="1" customWidth="1"/>
    <col min="22" max="22" width="11.28515625" hidden="1" customWidth="1"/>
    <col min="23" max="23" width="11.5703125" hidden="1" customWidth="1"/>
    <col min="24" max="25" width="12.140625" hidden="1" customWidth="1"/>
    <col min="26" max="26" width="10.42578125" hidden="1" customWidth="1"/>
    <col min="27" max="27" width="12.5703125" hidden="1" customWidth="1"/>
    <col min="28" max="28" width="10.5703125" hidden="1" customWidth="1"/>
    <col min="29" max="29" width="14" hidden="1" customWidth="1"/>
    <col min="30" max="30" width="12.42578125" hidden="1" customWidth="1"/>
    <col min="31" max="31" width="1.7109375" hidden="1" customWidth="1"/>
    <col min="32" max="32" width="11" hidden="1" customWidth="1"/>
    <col min="33" max="33" width="10.85546875" hidden="1" customWidth="1"/>
  </cols>
  <sheetData>
    <row r="1" spans="1:33" ht="15.75">
      <c r="A1" s="844" t="s">
        <v>44</v>
      </c>
      <c r="B1" s="313"/>
      <c r="C1" s="313"/>
      <c r="D1" s="313"/>
      <c r="E1" s="313"/>
      <c r="F1" s="313"/>
      <c r="G1" s="313"/>
      <c r="H1" s="313"/>
      <c r="I1" s="313"/>
      <c r="J1" s="845"/>
      <c r="K1" s="313"/>
      <c r="L1" s="313"/>
      <c r="M1" s="313"/>
      <c r="N1" s="315"/>
      <c r="O1" s="313"/>
      <c r="P1" s="313"/>
    </row>
    <row r="2" spans="1:33" ht="15.75">
      <c r="A2" s="844"/>
      <c r="B2" s="846" t="s">
        <v>43</v>
      </c>
      <c r="C2" s="313"/>
      <c r="D2" s="313"/>
      <c r="E2" s="313"/>
      <c r="F2" s="313"/>
      <c r="G2" s="313"/>
      <c r="H2" s="313"/>
      <c r="I2" s="313"/>
      <c r="J2" s="845"/>
      <c r="K2" s="313"/>
      <c r="L2" s="313"/>
      <c r="M2" s="313"/>
      <c r="N2" s="315"/>
      <c r="O2" s="313"/>
      <c r="P2" s="313"/>
    </row>
    <row r="3" spans="1:33" ht="16.5" thickBot="1">
      <c r="A3" s="313"/>
      <c r="B3" s="314"/>
      <c r="C3" s="313"/>
      <c r="D3" s="313"/>
      <c r="E3" s="313"/>
      <c r="F3" s="313"/>
      <c r="G3" s="313"/>
      <c r="H3" s="313"/>
      <c r="I3" s="313"/>
      <c r="J3" s="845"/>
      <c r="K3" s="313"/>
      <c r="L3" s="313"/>
      <c r="M3" s="313"/>
      <c r="N3" s="315"/>
      <c r="O3" s="313"/>
      <c r="P3" s="316" t="s">
        <v>2</v>
      </c>
    </row>
    <row r="4" spans="1:33">
      <c r="A4" s="1357" t="s">
        <v>1</v>
      </c>
      <c r="B4" s="1354" t="s">
        <v>316</v>
      </c>
      <c r="C4" s="1394" t="s">
        <v>18</v>
      </c>
      <c r="D4" s="1361"/>
      <c r="E4" s="1361" t="s">
        <v>19</v>
      </c>
      <c r="F4" s="1361"/>
      <c r="G4" s="1364" t="s">
        <v>20</v>
      </c>
      <c r="H4" s="1365"/>
      <c r="I4" s="1547" t="s">
        <v>437</v>
      </c>
      <c r="J4" s="1503" t="s">
        <v>389</v>
      </c>
      <c r="K4" s="1499" t="s">
        <v>322</v>
      </c>
      <c r="L4" s="1362" t="s">
        <v>24</v>
      </c>
      <c r="M4" s="1545" t="s">
        <v>391</v>
      </c>
      <c r="N4" s="9"/>
      <c r="O4" s="1366" t="s">
        <v>306</v>
      </c>
      <c r="P4" s="1368" t="s">
        <v>21</v>
      </c>
      <c r="R4" s="1357" t="s">
        <v>1</v>
      </c>
      <c r="S4" s="1354" t="s">
        <v>46</v>
      </c>
      <c r="T4" s="1360" t="s">
        <v>18</v>
      </c>
      <c r="U4" s="1361"/>
      <c r="V4" s="1361" t="s">
        <v>19</v>
      </c>
      <c r="W4" s="1361"/>
      <c r="X4" s="1364" t="s">
        <v>20</v>
      </c>
      <c r="Y4" s="1365"/>
      <c r="Z4" s="1349" t="s">
        <v>47</v>
      </c>
      <c r="AA4" s="1349" t="s">
        <v>48</v>
      </c>
      <c r="AB4" s="1351" t="s">
        <v>49</v>
      </c>
      <c r="AC4" s="1362" t="s">
        <v>62</v>
      </c>
      <c r="AD4" s="1370" t="s">
        <v>69</v>
      </c>
      <c r="AE4" s="1037"/>
      <c r="AF4" s="1366" t="s">
        <v>65</v>
      </c>
      <c r="AG4" s="1368" t="s">
        <v>21</v>
      </c>
    </row>
    <row r="5" spans="1:33">
      <c r="A5" s="1358"/>
      <c r="B5" s="1355"/>
      <c r="C5" s="10" t="s">
        <v>12</v>
      </c>
      <c r="D5" s="11" t="s">
        <v>16</v>
      </c>
      <c r="E5" s="10" t="s">
        <v>12</v>
      </c>
      <c r="F5" s="11" t="s">
        <v>16</v>
      </c>
      <c r="G5" s="11" t="s">
        <v>12</v>
      </c>
      <c r="H5" s="33" t="s">
        <v>16</v>
      </c>
      <c r="I5" s="1548"/>
      <c r="J5" s="1504"/>
      <c r="K5" s="1500"/>
      <c r="L5" s="1363"/>
      <c r="M5" s="1546"/>
      <c r="N5" s="9"/>
      <c r="O5" s="1367"/>
      <c r="P5" s="1369"/>
      <c r="R5" s="1358"/>
      <c r="S5" s="1355"/>
      <c r="T5" s="1077" t="s">
        <v>26</v>
      </c>
      <c r="U5" s="11" t="s">
        <v>50</v>
      </c>
      <c r="V5" s="10" t="s">
        <v>12</v>
      </c>
      <c r="W5" s="11" t="s">
        <v>16</v>
      </c>
      <c r="X5" s="11" t="s">
        <v>12</v>
      </c>
      <c r="Y5" s="33" t="s">
        <v>16</v>
      </c>
      <c r="Z5" s="1350"/>
      <c r="AA5" s="1350"/>
      <c r="AB5" s="1352"/>
      <c r="AC5" s="1363"/>
      <c r="AD5" s="1371"/>
      <c r="AE5" s="1037"/>
      <c r="AF5" s="1367"/>
      <c r="AG5" s="1369"/>
    </row>
    <row r="6" spans="1:33" ht="15.75" thickBot="1">
      <c r="A6" s="1359"/>
      <c r="B6" s="1356"/>
      <c r="C6" s="12" t="s">
        <v>4</v>
      </c>
      <c r="D6" s="13" t="s">
        <v>5</v>
      </c>
      <c r="E6" s="13" t="s">
        <v>6</v>
      </c>
      <c r="F6" s="13" t="s">
        <v>7</v>
      </c>
      <c r="G6" s="13" t="s">
        <v>13</v>
      </c>
      <c r="H6" s="34" t="s">
        <v>14</v>
      </c>
      <c r="I6" s="45" t="s">
        <v>28</v>
      </c>
      <c r="J6" s="732" t="s">
        <v>31</v>
      </c>
      <c r="K6" s="32" t="s">
        <v>9</v>
      </c>
      <c r="L6" s="14" t="s">
        <v>22</v>
      </c>
      <c r="M6" s="14" t="s">
        <v>63</v>
      </c>
      <c r="N6" s="9"/>
      <c r="O6" s="44" t="s">
        <v>10</v>
      </c>
      <c r="P6" s="14" t="s">
        <v>64</v>
      </c>
      <c r="R6" s="1359"/>
      <c r="S6" s="1356"/>
      <c r="T6" s="1078" t="s">
        <v>4</v>
      </c>
      <c r="U6" s="13" t="s">
        <v>5</v>
      </c>
      <c r="V6" s="13" t="s">
        <v>6</v>
      </c>
      <c r="W6" s="13" t="s">
        <v>7</v>
      </c>
      <c r="X6" s="13" t="s">
        <v>13</v>
      </c>
      <c r="Y6" s="34" t="s">
        <v>14</v>
      </c>
      <c r="Z6" s="45" t="s">
        <v>28</v>
      </c>
      <c r="AA6" s="45" t="s">
        <v>31</v>
      </c>
      <c r="AB6" s="32" t="s">
        <v>9</v>
      </c>
      <c r="AC6" s="14" t="s">
        <v>22</v>
      </c>
      <c r="AD6" s="14" t="s">
        <v>63</v>
      </c>
      <c r="AE6" s="1037"/>
      <c r="AF6" s="44" t="s">
        <v>10</v>
      </c>
      <c r="AG6" s="14" t="s">
        <v>64</v>
      </c>
    </row>
    <row r="7" spans="1:33">
      <c r="A7" s="24">
        <v>1</v>
      </c>
      <c r="B7" s="38" t="s">
        <v>15</v>
      </c>
      <c r="C7" s="219">
        <f t="shared" ref="C7:H7" si="0">+C8+C16</f>
        <v>701346</v>
      </c>
      <c r="D7" s="219">
        <f t="shared" si="0"/>
        <v>701306</v>
      </c>
      <c r="E7" s="219">
        <f t="shared" si="0"/>
        <v>170</v>
      </c>
      <c r="F7" s="219">
        <f t="shared" si="0"/>
        <v>170</v>
      </c>
      <c r="G7" s="219">
        <f t="shared" si="0"/>
        <v>701516</v>
      </c>
      <c r="H7" s="220">
        <f t="shared" si="0"/>
        <v>701476</v>
      </c>
      <c r="I7" s="221"/>
      <c r="J7" s="221">
        <f>+J8+J16</f>
        <v>859</v>
      </c>
      <c r="K7" s="222">
        <f>+K8+K16</f>
        <v>10746</v>
      </c>
      <c r="L7" s="223">
        <f>+L8+L16</f>
        <v>40</v>
      </c>
      <c r="M7" s="223">
        <f>+M8+M16</f>
        <v>6.1849999999999996</v>
      </c>
      <c r="N7" s="84"/>
      <c r="O7" s="224">
        <f>+O8+O16</f>
        <v>397</v>
      </c>
      <c r="P7" s="219">
        <f>+P8+P16</f>
        <v>701873</v>
      </c>
      <c r="R7" s="24">
        <v>1</v>
      </c>
      <c r="S7" s="38" t="s">
        <v>15</v>
      </c>
      <c r="T7" s="54">
        <v>701346</v>
      </c>
      <c r="U7" s="55">
        <v>701306</v>
      </c>
      <c r="V7" s="55">
        <v>170</v>
      </c>
      <c r="W7" s="55">
        <v>170</v>
      </c>
      <c r="X7" s="55">
        <v>701516</v>
      </c>
      <c r="Y7" s="56">
        <v>701476</v>
      </c>
      <c r="Z7" s="75"/>
      <c r="AA7" s="75">
        <v>859</v>
      </c>
      <c r="AB7" s="57">
        <v>10746</v>
      </c>
      <c r="AC7" s="58">
        <v>40</v>
      </c>
      <c r="AD7" s="58">
        <v>6.1849999999999996</v>
      </c>
      <c r="AE7" s="1036"/>
      <c r="AF7" s="54">
        <v>397</v>
      </c>
      <c r="AG7" s="58">
        <v>701873</v>
      </c>
    </row>
    <row r="8" spans="1:33">
      <c r="A8" s="48">
        <f>A7+1</f>
        <v>2</v>
      </c>
      <c r="B8" s="35" t="s">
        <v>35</v>
      </c>
      <c r="C8" s="60">
        <f t="shared" ref="C8:H8" si="1">SUM(C9:C10)</f>
        <v>427101</v>
      </c>
      <c r="D8" s="60">
        <f t="shared" si="1"/>
        <v>427071</v>
      </c>
      <c r="E8" s="60">
        <f t="shared" si="1"/>
        <v>0</v>
      </c>
      <c r="F8" s="60">
        <f t="shared" si="1"/>
        <v>0</v>
      </c>
      <c r="G8" s="60">
        <f t="shared" si="1"/>
        <v>427101</v>
      </c>
      <c r="H8" s="61">
        <f t="shared" si="1"/>
        <v>427071</v>
      </c>
      <c r="I8" s="77"/>
      <c r="J8" s="78">
        <f>SUM(J9:J10)</f>
        <v>849</v>
      </c>
      <c r="K8" s="62">
        <f>SUM(K9:K10)</f>
        <v>7093</v>
      </c>
      <c r="L8" s="63">
        <f>SUM(L9:L10)</f>
        <v>30</v>
      </c>
      <c r="M8" s="63">
        <f>SUM(M9:M10)</f>
        <v>6</v>
      </c>
      <c r="N8" s="76"/>
      <c r="O8" s="59">
        <f>SUM(O9:O10)</f>
        <v>5</v>
      </c>
      <c r="P8" s="63">
        <f>SUM(P9:P10)</f>
        <v>427076</v>
      </c>
      <c r="R8" s="48">
        <f>R7+1</f>
        <v>2</v>
      </c>
      <c r="S8" s="35" t="s">
        <v>35</v>
      </c>
      <c r="T8" s="59">
        <v>427101</v>
      </c>
      <c r="U8" s="60">
        <v>427071</v>
      </c>
      <c r="V8" s="60">
        <v>0</v>
      </c>
      <c r="W8" s="60">
        <v>0</v>
      </c>
      <c r="X8" s="60">
        <v>427101</v>
      </c>
      <c r="Y8" s="61">
        <v>427071</v>
      </c>
      <c r="Z8" s="77"/>
      <c r="AA8" s="78">
        <v>849</v>
      </c>
      <c r="AB8" s="62">
        <v>7093</v>
      </c>
      <c r="AC8" s="63">
        <v>30</v>
      </c>
      <c r="AD8" s="63">
        <v>6</v>
      </c>
      <c r="AE8" s="1036"/>
      <c r="AF8" s="59">
        <v>5</v>
      </c>
      <c r="AG8" s="63">
        <v>427076</v>
      </c>
    </row>
    <row r="9" spans="1:33">
      <c r="A9" s="847">
        <f t="shared" ref="A9:A41" si="2">A8+1</f>
        <v>3</v>
      </c>
      <c r="B9" s="848" t="s">
        <v>58</v>
      </c>
      <c r="C9" s="849">
        <v>408456</v>
      </c>
      <c r="D9" s="849">
        <f>412613-4157</f>
        <v>408456</v>
      </c>
      <c r="E9" s="849"/>
      <c r="F9" s="849"/>
      <c r="G9" s="849">
        <f t="shared" ref="G9:H16" si="3">+C9+E9</f>
        <v>408456</v>
      </c>
      <c r="H9" s="850">
        <f t="shared" si="3"/>
        <v>408456</v>
      </c>
      <c r="I9" s="851"/>
      <c r="J9" s="852"/>
      <c r="K9" s="853">
        <v>6508</v>
      </c>
      <c r="L9" s="854">
        <f t="shared" ref="L9:L24" si="4">+G9-H9</f>
        <v>0</v>
      </c>
      <c r="M9" s="854">
        <v>0</v>
      </c>
      <c r="N9" s="855"/>
      <c r="O9" s="856">
        <v>0</v>
      </c>
      <c r="P9" s="854">
        <f t="shared" ref="P9:P40" si="5">H9+O9</f>
        <v>408456</v>
      </c>
      <c r="R9" s="25">
        <f t="shared" ref="R9:R34" si="6">R8+1</f>
        <v>3</v>
      </c>
      <c r="S9" s="36" t="s">
        <v>58</v>
      </c>
      <c r="T9" s="64">
        <v>408456</v>
      </c>
      <c r="U9" s="65">
        <v>408456</v>
      </c>
      <c r="V9" s="65"/>
      <c r="W9" s="65"/>
      <c r="X9" s="65">
        <v>408456</v>
      </c>
      <c r="Y9" s="66">
        <v>408456</v>
      </c>
      <c r="Z9" s="80"/>
      <c r="AA9" s="80"/>
      <c r="AB9" s="67">
        <v>6508</v>
      </c>
      <c r="AC9" s="68">
        <v>0</v>
      </c>
      <c r="AD9" s="68">
        <v>0</v>
      </c>
      <c r="AE9" s="1036"/>
      <c r="AF9" s="64">
        <v>0</v>
      </c>
      <c r="AG9" s="68">
        <v>408456</v>
      </c>
    </row>
    <row r="10" spans="1:33">
      <c r="A10" s="857">
        <f t="shared" si="2"/>
        <v>4</v>
      </c>
      <c r="B10" s="858" t="s">
        <v>36</v>
      </c>
      <c r="C10" s="53">
        <f>SUM(C11:C15)</f>
        <v>18645</v>
      </c>
      <c r="D10" s="53">
        <f>SUM(D11:D15)</f>
        <v>18615</v>
      </c>
      <c r="E10" s="53">
        <f>SUM(E11:E15)</f>
        <v>0</v>
      </c>
      <c r="F10" s="53">
        <f>SUM(F11:F15)</f>
        <v>0</v>
      </c>
      <c r="G10" s="53">
        <f>+C10+E10</f>
        <v>18645</v>
      </c>
      <c r="H10" s="859">
        <f>+D10+F10</f>
        <v>18615</v>
      </c>
      <c r="I10" s="860"/>
      <c r="J10" s="861">
        <f>SUM(J11:J15)</f>
        <v>849</v>
      </c>
      <c r="K10" s="862">
        <f>SUM(K11:K15)</f>
        <v>585</v>
      </c>
      <c r="L10" s="863">
        <f>+G10-H10</f>
        <v>30</v>
      </c>
      <c r="M10" s="863">
        <f>SUM(M11:M15)</f>
        <v>6</v>
      </c>
      <c r="N10" s="864"/>
      <c r="O10" s="865">
        <f>SUM(O11:O15)</f>
        <v>5</v>
      </c>
      <c r="P10" s="863">
        <f>H10+O10</f>
        <v>18620</v>
      </c>
      <c r="R10" s="25">
        <f t="shared" si="6"/>
        <v>4</v>
      </c>
      <c r="S10" s="36" t="s">
        <v>36</v>
      </c>
      <c r="T10" s="64">
        <v>18645</v>
      </c>
      <c r="U10" s="65">
        <v>18615</v>
      </c>
      <c r="V10" s="65">
        <v>0</v>
      </c>
      <c r="W10" s="65">
        <v>0</v>
      </c>
      <c r="X10" s="65">
        <v>18645</v>
      </c>
      <c r="Y10" s="249">
        <v>18615</v>
      </c>
      <c r="Z10" s="80"/>
      <c r="AA10" s="80">
        <v>849</v>
      </c>
      <c r="AB10" s="67">
        <v>585</v>
      </c>
      <c r="AC10" s="68">
        <v>30</v>
      </c>
      <c r="AD10" s="68">
        <v>6</v>
      </c>
      <c r="AE10" s="1036"/>
      <c r="AF10" s="64">
        <v>5</v>
      </c>
      <c r="AG10" s="68">
        <v>18620</v>
      </c>
    </row>
    <row r="11" spans="1:33">
      <c r="A11" s="866">
        <f t="shared" si="2"/>
        <v>5</v>
      </c>
      <c r="B11" s="867" t="s">
        <v>438</v>
      </c>
      <c r="C11" s="868">
        <v>16234</v>
      </c>
      <c r="D11" s="868">
        <f>16724-490</f>
        <v>16234</v>
      </c>
      <c r="E11" s="868"/>
      <c r="F11" s="868"/>
      <c r="G11" s="868">
        <f t="shared" si="3"/>
        <v>16234</v>
      </c>
      <c r="H11" s="869">
        <f t="shared" si="3"/>
        <v>16234</v>
      </c>
      <c r="I11" s="870"/>
      <c r="J11" s="871"/>
      <c r="K11" s="872">
        <v>583</v>
      </c>
      <c r="L11" s="873">
        <f t="shared" si="4"/>
        <v>0</v>
      </c>
      <c r="M11" s="873">
        <v>0</v>
      </c>
      <c r="N11" s="874"/>
      <c r="O11" s="875">
        <v>0</v>
      </c>
      <c r="P11" s="873">
        <f t="shared" si="5"/>
        <v>16234</v>
      </c>
      <c r="R11" s="25">
        <f t="shared" si="6"/>
        <v>5</v>
      </c>
      <c r="S11" s="37" t="s">
        <v>30</v>
      </c>
      <c r="T11" s="64"/>
      <c r="U11" s="65"/>
      <c r="V11" s="65"/>
      <c r="W11" s="65"/>
      <c r="X11" s="65"/>
      <c r="Y11" s="66"/>
      <c r="Z11" s="79"/>
      <c r="AA11" s="80"/>
      <c r="AB11" s="67"/>
      <c r="AC11" s="68"/>
      <c r="AD11" s="68"/>
      <c r="AE11" s="1036"/>
      <c r="AF11" s="64"/>
      <c r="AG11" s="68"/>
    </row>
    <row r="12" spans="1:33">
      <c r="A12" s="866">
        <f t="shared" si="2"/>
        <v>6</v>
      </c>
      <c r="B12" s="867" t="s">
        <v>439</v>
      </c>
      <c r="C12" s="868">
        <v>104</v>
      </c>
      <c r="D12" s="876">
        <f>98</f>
        <v>98</v>
      </c>
      <c r="E12" s="868"/>
      <c r="F12" s="868"/>
      <c r="G12" s="868">
        <f t="shared" si="3"/>
        <v>104</v>
      </c>
      <c r="H12" s="869">
        <f t="shared" si="3"/>
        <v>98</v>
      </c>
      <c r="I12" s="870"/>
      <c r="J12" s="871"/>
      <c r="K12" s="872"/>
      <c r="L12" s="877">
        <f t="shared" si="4"/>
        <v>6</v>
      </c>
      <c r="M12" s="873">
        <v>6</v>
      </c>
      <c r="N12" s="878"/>
      <c r="O12" s="875">
        <v>5</v>
      </c>
      <c r="P12" s="873">
        <f>H12+O12</f>
        <v>103</v>
      </c>
      <c r="R12" s="48">
        <f t="shared" si="6"/>
        <v>6</v>
      </c>
      <c r="S12" s="35" t="s">
        <v>42</v>
      </c>
      <c r="T12" s="59">
        <v>274245</v>
      </c>
      <c r="U12" s="60">
        <v>274235</v>
      </c>
      <c r="V12" s="60">
        <v>170</v>
      </c>
      <c r="W12" s="60">
        <v>170</v>
      </c>
      <c r="X12" s="60">
        <v>274415</v>
      </c>
      <c r="Y12" s="61">
        <v>274405</v>
      </c>
      <c r="Z12" s="78"/>
      <c r="AA12" s="78">
        <v>10</v>
      </c>
      <c r="AB12" s="62">
        <v>3653</v>
      </c>
      <c r="AC12" s="63">
        <v>10</v>
      </c>
      <c r="AD12" s="63">
        <v>0.185</v>
      </c>
      <c r="AE12" s="1036"/>
      <c r="AF12" s="59">
        <v>392</v>
      </c>
      <c r="AG12" s="63">
        <v>274797</v>
      </c>
    </row>
    <row r="13" spans="1:33">
      <c r="A13" s="866">
        <f t="shared" si="2"/>
        <v>7</v>
      </c>
      <c r="B13" s="867" t="s">
        <v>440</v>
      </c>
      <c r="C13" s="868">
        <f>1780</f>
        <v>1780</v>
      </c>
      <c r="D13" s="868">
        <f>930+850</f>
        <v>1780</v>
      </c>
      <c r="E13" s="868"/>
      <c r="F13" s="868"/>
      <c r="G13" s="868">
        <f t="shared" si="3"/>
        <v>1780</v>
      </c>
      <c r="H13" s="869">
        <f t="shared" si="3"/>
        <v>1780</v>
      </c>
      <c r="I13" s="870"/>
      <c r="J13" s="879">
        <v>849</v>
      </c>
      <c r="K13" s="872"/>
      <c r="L13" s="873">
        <f t="shared" si="4"/>
        <v>0</v>
      </c>
      <c r="M13" s="873">
        <v>0</v>
      </c>
      <c r="N13" s="874"/>
      <c r="O13" s="875">
        <v>0</v>
      </c>
      <c r="P13" s="873">
        <f t="shared" si="5"/>
        <v>1780</v>
      </c>
      <c r="R13" s="29">
        <f t="shared" si="6"/>
        <v>7</v>
      </c>
      <c r="S13" s="36" t="s">
        <v>51</v>
      </c>
      <c r="T13" s="85">
        <v>145459</v>
      </c>
      <c r="U13" s="82">
        <v>145459</v>
      </c>
      <c r="V13" s="82">
        <v>170</v>
      </c>
      <c r="W13" s="82">
        <v>170</v>
      </c>
      <c r="X13" s="65">
        <v>145629</v>
      </c>
      <c r="Y13" s="66">
        <v>145629</v>
      </c>
      <c r="Z13" s="79"/>
      <c r="AA13" s="83"/>
      <c r="AB13" s="81">
        <v>2968</v>
      </c>
      <c r="AC13" s="68">
        <v>0</v>
      </c>
      <c r="AD13" s="68">
        <v>0</v>
      </c>
      <c r="AE13" s="706"/>
      <c r="AF13" s="85">
        <v>391</v>
      </c>
      <c r="AG13" s="68">
        <v>146020</v>
      </c>
    </row>
    <row r="14" spans="1:33">
      <c r="A14" s="866">
        <f t="shared" si="2"/>
        <v>8</v>
      </c>
      <c r="B14" s="867" t="s">
        <v>441</v>
      </c>
      <c r="C14" s="868">
        <v>352</v>
      </c>
      <c r="D14" s="876">
        <f>333-1</f>
        <v>332</v>
      </c>
      <c r="E14" s="868"/>
      <c r="F14" s="868"/>
      <c r="G14" s="868">
        <f t="shared" si="3"/>
        <v>352</v>
      </c>
      <c r="H14" s="869">
        <f t="shared" si="3"/>
        <v>332</v>
      </c>
      <c r="I14" s="870"/>
      <c r="J14" s="871"/>
      <c r="K14" s="872"/>
      <c r="L14" s="877">
        <f t="shared" si="4"/>
        <v>20</v>
      </c>
      <c r="M14" s="873">
        <v>0</v>
      </c>
      <c r="N14" s="874"/>
      <c r="O14" s="875">
        <v>0</v>
      </c>
      <c r="P14" s="873">
        <f t="shared" si="5"/>
        <v>332</v>
      </c>
      <c r="R14" s="29"/>
      <c r="S14" s="36" t="s">
        <v>61</v>
      </c>
      <c r="T14" s="85">
        <v>145459</v>
      </c>
      <c r="U14" s="82">
        <v>145459</v>
      </c>
      <c r="V14" s="82">
        <v>170</v>
      </c>
      <c r="W14" s="82">
        <v>170</v>
      </c>
      <c r="X14" s="65">
        <v>145629</v>
      </c>
      <c r="Y14" s="66">
        <v>145629</v>
      </c>
      <c r="Z14" s="79"/>
      <c r="AA14" s="83"/>
      <c r="AB14" s="81">
        <v>2968</v>
      </c>
      <c r="AC14" s="68">
        <v>0</v>
      </c>
      <c r="AD14" s="68">
        <v>0</v>
      </c>
      <c r="AE14" s="706"/>
      <c r="AF14" s="85">
        <v>391</v>
      </c>
      <c r="AG14" s="68">
        <v>146020</v>
      </c>
    </row>
    <row r="15" spans="1:33">
      <c r="A15" s="880">
        <f t="shared" si="2"/>
        <v>9</v>
      </c>
      <c r="B15" s="881" t="s">
        <v>442</v>
      </c>
      <c r="C15" s="882">
        <v>175</v>
      </c>
      <c r="D15" s="882">
        <f>118+53</f>
        <v>171</v>
      </c>
      <c r="E15" s="882"/>
      <c r="F15" s="882"/>
      <c r="G15" s="882">
        <f t="shared" si="3"/>
        <v>175</v>
      </c>
      <c r="H15" s="883">
        <f t="shared" si="3"/>
        <v>171</v>
      </c>
      <c r="I15" s="884"/>
      <c r="J15" s="885"/>
      <c r="K15" s="886">
        <v>2</v>
      </c>
      <c r="L15" s="887">
        <f t="shared" si="4"/>
        <v>4</v>
      </c>
      <c r="M15" s="887">
        <v>0</v>
      </c>
      <c r="N15" s="888"/>
      <c r="O15" s="889">
        <v>0</v>
      </c>
      <c r="P15" s="887">
        <f t="shared" si="5"/>
        <v>171</v>
      </c>
      <c r="R15" s="25">
        <f>R13+1</f>
        <v>8</v>
      </c>
      <c r="S15" s="37" t="s">
        <v>66</v>
      </c>
      <c r="T15" s="89"/>
      <c r="U15" s="87"/>
      <c r="V15" s="87"/>
      <c r="W15" s="87"/>
      <c r="X15" s="65"/>
      <c r="Y15" s="66"/>
      <c r="Z15" s="88"/>
      <c r="AA15" s="88"/>
      <c r="AB15" s="86"/>
      <c r="AC15" s="68"/>
      <c r="AD15" s="68"/>
      <c r="AE15" s="1036"/>
      <c r="AF15" s="89"/>
      <c r="AG15" s="68"/>
    </row>
    <row r="16" spans="1:33">
      <c r="A16" s="737">
        <f t="shared" si="2"/>
        <v>10</v>
      </c>
      <c r="B16" s="35" t="s">
        <v>42</v>
      </c>
      <c r="C16" s="60">
        <f>+C17+C19+C23+C24</f>
        <v>274245</v>
      </c>
      <c r="D16" s="60">
        <f>+D17+D19+D23+D24</f>
        <v>274235</v>
      </c>
      <c r="E16" s="60">
        <f>+E17+E19+E23+E24</f>
        <v>170</v>
      </c>
      <c r="F16" s="60">
        <f>+F17+F19+F23+F24</f>
        <v>170</v>
      </c>
      <c r="G16" s="60">
        <f t="shared" si="3"/>
        <v>274415</v>
      </c>
      <c r="H16" s="61">
        <f>+D16+F16</f>
        <v>274405</v>
      </c>
      <c r="I16" s="78"/>
      <c r="J16" s="78">
        <f>+J17+J19+J23+J24</f>
        <v>10</v>
      </c>
      <c r="K16" s="62">
        <f>+K17+K19+K23+K24</f>
        <v>3653</v>
      </c>
      <c r="L16" s="63">
        <f>+G16-H16</f>
        <v>10</v>
      </c>
      <c r="M16" s="63">
        <f>+M17+M19+M23+M24</f>
        <v>0.185</v>
      </c>
      <c r="N16" s="76"/>
      <c r="O16" s="59">
        <f>+O17+O19+O23+O24</f>
        <v>392</v>
      </c>
      <c r="P16" s="63">
        <f t="shared" si="5"/>
        <v>274797</v>
      </c>
      <c r="R16" s="29">
        <f t="shared" si="6"/>
        <v>9</v>
      </c>
      <c r="S16" s="36" t="s">
        <v>52</v>
      </c>
      <c r="T16" s="85">
        <v>12285</v>
      </c>
      <c r="U16" s="82">
        <v>12275</v>
      </c>
      <c r="V16" s="82">
        <v>0</v>
      </c>
      <c r="W16" s="82">
        <v>0</v>
      </c>
      <c r="X16" s="65">
        <v>12285</v>
      </c>
      <c r="Y16" s="66">
        <v>12275</v>
      </c>
      <c r="Z16" s="79"/>
      <c r="AA16" s="83">
        <v>0</v>
      </c>
      <c r="AB16" s="81">
        <v>95</v>
      </c>
      <c r="AC16" s="68">
        <v>10</v>
      </c>
      <c r="AD16" s="68">
        <v>0.185</v>
      </c>
      <c r="AE16" s="706"/>
      <c r="AF16" s="85">
        <v>1</v>
      </c>
      <c r="AG16" s="68">
        <v>12276</v>
      </c>
    </row>
    <row r="17" spans="1:33">
      <c r="A17" s="847">
        <f t="shared" si="2"/>
        <v>11</v>
      </c>
      <c r="B17" s="890" t="s">
        <v>51</v>
      </c>
      <c r="C17" s="891">
        <f>C18</f>
        <v>145459</v>
      </c>
      <c r="D17" s="891">
        <f>D18</f>
        <v>145459</v>
      </c>
      <c r="E17" s="891">
        <f>E18</f>
        <v>170</v>
      </c>
      <c r="F17" s="891">
        <f>F18</f>
        <v>170</v>
      </c>
      <c r="G17" s="849">
        <f>+C17+E17</f>
        <v>145629</v>
      </c>
      <c r="H17" s="850">
        <f>+D17+F17</f>
        <v>145629</v>
      </c>
      <c r="I17" s="851"/>
      <c r="J17" s="892"/>
      <c r="K17" s="893">
        <f>+K18</f>
        <v>2968</v>
      </c>
      <c r="L17" s="854">
        <f t="shared" si="4"/>
        <v>0</v>
      </c>
      <c r="M17" s="854">
        <f>+M18</f>
        <v>0</v>
      </c>
      <c r="N17" s="894"/>
      <c r="O17" s="895">
        <f>+O18</f>
        <v>391</v>
      </c>
      <c r="P17" s="854">
        <f t="shared" si="5"/>
        <v>146020</v>
      </c>
      <c r="R17" s="25">
        <f t="shared" si="6"/>
        <v>10</v>
      </c>
      <c r="S17" s="37" t="s">
        <v>30</v>
      </c>
      <c r="T17" s="89"/>
      <c r="U17" s="87"/>
      <c r="V17" s="87"/>
      <c r="W17" s="87"/>
      <c r="X17" s="65"/>
      <c r="Y17" s="66"/>
      <c r="Z17" s="88"/>
      <c r="AA17" s="88"/>
      <c r="AB17" s="86"/>
      <c r="AC17" s="68"/>
      <c r="AD17" s="68"/>
      <c r="AE17" s="1036"/>
      <c r="AF17" s="89"/>
      <c r="AG17" s="68"/>
    </row>
    <row r="18" spans="1:33">
      <c r="A18" s="866">
        <f t="shared" si="2"/>
        <v>12</v>
      </c>
      <c r="B18" s="867" t="s">
        <v>443</v>
      </c>
      <c r="C18" s="896">
        <v>145459</v>
      </c>
      <c r="D18" s="897">
        <f>148787-3328</f>
        <v>145459</v>
      </c>
      <c r="E18" s="897">
        <v>170</v>
      </c>
      <c r="F18" s="897">
        <v>170</v>
      </c>
      <c r="G18" s="868">
        <f>+C18+E18</f>
        <v>145629</v>
      </c>
      <c r="H18" s="869">
        <f>+D18+F18</f>
        <v>145629</v>
      </c>
      <c r="I18" s="898"/>
      <c r="J18" s="898"/>
      <c r="K18" s="896">
        <v>2968</v>
      </c>
      <c r="L18" s="873">
        <f t="shared" si="4"/>
        <v>0</v>
      </c>
      <c r="M18" s="873">
        <v>0</v>
      </c>
      <c r="N18" s="874"/>
      <c r="O18" s="899">
        <v>391</v>
      </c>
      <c r="P18" s="873">
        <f t="shared" si="5"/>
        <v>146020</v>
      </c>
      <c r="R18" s="29">
        <f t="shared" si="6"/>
        <v>11</v>
      </c>
      <c r="S18" s="36" t="s">
        <v>37</v>
      </c>
      <c r="T18" s="85">
        <v>86865</v>
      </c>
      <c r="U18" s="82">
        <v>86865</v>
      </c>
      <c r="V18" s="82">
        <v>0</v>
      </c>
      <c r="W18" s="82">
        <v>0</v>
      </c>
      <c r="X18" s="65">
        <v>86865</v>
      </c>
      <c r="Y18" s="66">
        <v>86865</v>
      </c>
      <c r="Z18" s="83"/>
      <c r="AA18" s="83"/>
      <c r="AB18" s="81">
        <v>1</v>
      </c>
      <c r="AC18" s="68">
        <v>0</v>
      </c>
      <c r="AD18" s="68">
        <v>0</v>
      </c>
      <c r="AE18" s="706"/>
      <c r="AF18" s="85">
        <v>0</v>
      </c>
      <c r="AG18" s="68">
        <v>86865</v>
      </c>
    </row>
    <row r="19" spans="1:33">
      <c r="A19" s="900">
        <f t="shared" si="2"/>
        <v>13</v>
      </c>
      <c r="B19" s="858" t="s">
        <v>52</v>
      </c>
      <c r="C19" s="901">
        <f>C20+C21+C22</f>
        <v>12285</v>
      </c>
      <c r="D19" s="901">
        <f>D20+D21+D22</f>
        <v>12275</v>
      </c>
      <c r="E19" s="901">
        <f>E20+E21+E22</f>
        <v>0</v>
      </c>
      <c r="F19" s="901">
        <f>F20+F21+F22</f>
        <v>0</v>
      </c>
      <c r="G19" s="53">
        <f t="shared" ref="G19:H34" si="7">+C19+E19</f>
        <v>12285</v>
      </c>
      <c r="H19" s="859">
        <f t="shared" si="7"/>
        <v>12275</v>
      </c>
      <c r="I19" s="860"/>
      <c r="J19" s="902">
        <f>J20+J21+J22</f>
        <v>0</v>
      </c>
      <c r="K19" s="901">
        <f>K20+K21+K22</f>
        <v>95</v>
      </c>
      <c r="L19" s="863">
        <f t="shared" si="4"/>
        <v>10</v>
      </c>
      <c r="M19" s="863">
        <f>M20+M21+M22</f>
        <v>0.185</v>
      </c>
      <c r="N19" s="864"/>
      <c r="O19" s="903">
        <f>O20+O21+O22</f>
        <v>1</v>
      </c>
      <c r="P19" s="863">
        <f t="shared" si="5"/>
        <v>12276</v>
      </c>
      <c r="R19" s="29">
        <f t="shared" si="6"/>
        <v>12</v>
      </c>
      <c r="S19" s="50" t="s">
        <v>38</v>
      </c>
      <c r="T19" s="85">
        <v>29636</v>
      </c>
      <c r="U19" s="82">
        <v>29636</v>
      </c>
      <c r="V19" s="82">
        <v>0</v>
      </c>
      <c r="W19" s="82">
        <v>0</v>
      </c>
      <c r="X19" s="65">
        <v>29636</v>
      </c>
      <c r="Y19" s="66">
        <v>29636</v>
      </c>
      <c r="Z19" s="83"/>
      <c r="AA19" s="83">
        <v>10</v>
      </c>
      <c r="AB19" s="81">
        <v>589</v>
      </c>
      <c r="AC19" s="68">
        <v>0</v>
      </c>
      <c r="AD19" s="68">
        <v>0</v>
      </c>
      <c r="AE19" s="706"/>
      <c r="AF19" s="85">
        <v>0</v>
      </c>
      <c r="AG19" s="68">
        <v>29636</v>
      </c>
    </row>
    <row r="20" spans="1:33">
      <c r="A20" s="866">
        <f t="shared" si="2"/>
        <v>14</v>
      </c>
      <c r="B20" s="867" t="s">
        <v>444</v>
      </c>
      <c r="C20" s="896">
        <v>7338</v>
      </c>
      <c r="D20" s="897">
        <f>7417-80</f>
        <v>7337</v>
      </c>
      <c r="E20" s="897"/>
      <c r="F20" s="897"/>
      <c r="G20" s="868">
        <f t="shared" si="7"/>
        <v>7338</v>
      </c>
      <c r="H20" s="869">
        <f t="shared" si="7"/>
        <v>7337</v>
      </c>
      <c r="I20" s="904"/>
      <c r="J20" s="898"/>
      <c r="K20" s="896">
        <v>45</v>
      </c>
      <c r="L20" s="873">
        <f t="shared" si="4"/>
        <v>1</v>
      </c>
      <c r="M20" s="873">
        <v>0</v>
      </c>
      <c r="N20" s="878"/>
      <c r="O20" s="899">
        <v>0</v>
      </c>
      <c r="P20" s="873">
        <f>H20+O20</f>
        <v>7337</v>
      </c>
      <c r="R20" s="25">
        <f t="shared" si="6"/>
        <v>13</v>
      </c>
      <c r="S20" s="37" t="s">
        <v>30</v>
      </c>
      <c r="T20" s="89"/>
      <c r="U20" s="87"/>
      <c r="V20" s="87"/>
      <c r="W20" s="87"/>
      <c r="X20" s="65"/>
      <c r="Y20" s="66"/>
      <c r="Z20" s="88"/>
      <c r="AA20" s="88"/>
      <c r="AB20" s="86"/>
      <c r="AC20" s="68"/>
      <c r="AD20" s="68"/>
      <c r="AE20" s="1036"/>
      <c r="AF20" s="89"/>
      <c r="AG20" s="68"/>
    </row>
    <row r="21" spans="1:33">
      <c r="A21" s="866">
        <f t="shared" si="2"/>
        <v>15</v>
      </c>
      <c r="B21" s="867" t="s">
        <v>445</v>
      </c>
      <c r="C21" s="896">
        <v>3089</v>
      </c>
      <c r="D21" s="897">
        <f>3242-153</f>
        <v>3089</v>
      </c>
      <c r="E21" s="897"/>
      <c r="F21" s="897"/>
      <c r="G21" s="868">
        <f t="shared" si="7"/>
        <v>3089</v>
      </c>
      <c r="H21" s="869">
        <f t="shared" si="7"/>
        <v>3089</v>
      </c>
      <c r="I21" s="904"/>
      <c r="J21" s="898"/>
      <c r="K21" s="896">
        <v>0</v>
      </c>
      <c r="L21" s="873">
        <f t="shared" si="4"/>
        <v>0</v>
      </c>
      <c r="M21" s="905">
        <v>0.185</v>
      </c>
      <c r="N21" s="878"/>
      <c r="O21" s="899">
        <v>0</v>
      </c>
      <c r="P21" s="873">
        <f t="shared" si="5"/>
        <v>3089</v>
      </c>
      <c r="R21" s="24">
        <f t="shared" si="6"/>
        <v>14</v>
      </c>
      <c r="S21" s="38" t="s">
        <v>29</v>
      </c>
      <c r="T21" s="70">
        <v>400040</v>
      </c>
      <c r="U21" s="71">
        <v>399087</v>
      </c>
      <c r="V21" s="71">
        <v>4434</v>
      </c>
      <c r="W21" s="71">
        <v>4434</v>
      </c>
      <c r="X21" s="71">
        <v>404474</v>
      </c>
      <c r="Y21" s="72">
        <v>403521</v>
      </c>
      <c r="Z21" s="90"/>
      <c r="AA21" s="1252">
        <v>161807</v>
      </c>
      <c r="AB21" s="73">
        <v>3235</v>
      </c>
      <c r="AC21" s="74">
        <v>953</v>
      </c>
      <c r="AD21" s="74">
        <v>162</v>
      </c>
      <c r="AE21" s="1036"/>
      <c r="AF21" s="70">
        <v>1791</v>
      </c>
      <c r="AG21" s="74">
        <v>405312</v>
      </c>
    </row>
    <row r="22" spans="1:33">
      <c r="A22" s="866">
        <f t="shared" si="2"/>
        <v>16</v>
      </c>
      <c r="B22" s="867" t="s">
        <v>446</v>
      </c>
      <c r="C22" s="896">
        <v>1858</v>
      </c>
      <c r="D22" s="897">
        <f>1849</f>
        <v>1849</v>
      </c>
      <c r="E22" s="897"/>
      <c r="F22" s="897"/>
      <c r="G22" s="868">
        <f t="shared" si="7"/>
        <v>1858</v>
      </c>
      <c r="H22" s="869">
        <f t="shared" si="7"/>
        <v>1849</v>
      </c>
      <c r="I22" s="906"/>
      <c r="J22" s="898"/>
      <c r="K22" s="896">
        <v>50</v>
      </c>
      <c r="L22" s="873">
        <f t="shared" si="4"/>
        <v>9</v>
      </c>
      <c r="M22" s="873">
        <v>0</v>
      </c>
      <c r="N22" s="878"/>
      <c r="O22" s="899">
        <v>1</v>
      </c>
      <c r="P22" s="873">
        <f t="shared" si="5"/>
        <v>1850</v>
      </c>
      <c r="R22" s="46">
        <f t="shared" si="6"/>
        <v>15</v>
      </c>
      <c r="S22" s="43" t="s">
        <v>53</v>
      </c>
      <c r="T22" s="59"/>
      <c r="U22" s="60"/>
      <c r="V22" s="60"/>
      <c r="W22" s="60"/>
      <c r="X22" s="60"/>
      <c r="Y22" s="61"/>
      <c r="Z22" s="78"/>
      <c r="AA22" s="78"/>
      <c r="AB22" s="62"/>
      <c r="AC22" s="63"/>
      <c r="AD22" s="63"/>
      <c r="AE22" s="1036"/>
      <c r="AF22" s="59"/>
      <c r="AG22" s="63"/>
    </row>
    <row r="23" spans="1:33">
      <c r="A23" s="900">
        <f t="shared" si="2"/>
        <v>17</v>
      </c>
      <c r="B23" s="907" t="s">
        <v>37</v>
      </c>
      <c r="C23" s="908">
        <f>86866-1</f>
        <v>86865</v>
      </c>
      <c r="D23" s="909">
        <f>86962+5-101-1</f>
        <v>86865</v>
      </c>
      <c r="E23" s="909">
        <v>0</v>
      </c>
      <c r="F23" s="909">
        <v>0</v>
      </c>
      <c r="G23" s="53">
        <f t="shared" si="7"/>
        <v>86865</v>
      </c>
      <c r="H23" s="859">
        <f t="shared" si="7"/>
        <v>86865</v>
      </c>
      <c r="I23" s="910"/>
      <c r="J23" s="902"/>
      <c r="K23" s="908">
        <v>1</v>
      </c>
      <c r="L23" s="863">
        <f t="shared" si="4"/>
        <v>0</v>
      </c>
      <c r="M23" s="863">
        <v>0</v>
      </c>
      <c r="N23" s="911"/>
      <c r="O23" s="912">
        <v>0</v>
      </c>
      <c r="P23" s="863">
        <f t="shared" si="5"/>
        <v>86865</v>
      </c>
      <c r="R23" s="25">
        <f t="shared" si="6"/>
        <v>16</v>
      </c>
      <c r="S23" s="37" t="s">
        <v>60</v>
      </c>
      <c r="T23" s="89"/>
      <c r="U23" s="87"/>
      <c r="V23" s="87"/>
      <c r="W23" s="87"/>
      <c r="X23" s="65"/>
      <c r="Y23" s="66"/>
      <c r="Z23" s="88"/>
      <c r="AA23" s="88"/>
      <c r="AB23" s="86"/>
      <c r="AC23" s="68"/>
      <c r="AD23" s="68"/>
      <c r="AE23" s="1036"/>
      <c r="AF23" s="89"/>
      <c r="AG23" s="68"/>
    </row>
    <row r="24" spans="1:33">
      <c r="A24" s="913">
        <f t="shared" si="2"/>
        <v>18</v>
      </c>
      <c r="B24" s="914" t="s">
        <v>447</v>
      </c>
      <c r="C24" s="915">
        <v>29636</v>
      </c>
      <c r="D24" s="916">
        <f>30298-672+10</f>
        <v>29636</v>
      </c>
      <c r="E24" s="916">
        <v>0</v>
      </c>
      <c r="F24" s="916">
        <v>0</v>
      </c>
      <c r="G24" s="52">
        <f t="shared" si="7"/>
        <v>29636</v>
      </c>
      <c r="H24" s="917">
        <f t="shared" si="7"/>
        <v>29636</v>
      </c>
      <c r="I24" s="918"/>
      <c r="J24" s="919">
        <v>10</v>
      </c>
      <c r="K24" s="915">
        <v>589</v>
      </c>
      <c r="L24" s="920">
        <f t="shared" si="4"/>
        <v>0</v>
      </c>
      <c r="M24" s="920">
        <v>0</v>
      </c>
      <c r="N24" s="921"/>
      <c r="O24" s="922">
        <v>0</v>
      </c>
      <c r="P24" s="920">
        <f t="shared" si="5"/>
        <v>29636</v>
      </c>
      <c r="R24" s="46">
        <f t="shared" si="6"/>
        <v>17</v>
      </c>
      <c r="S24" s="47" t="s">
        <v>59</v>
      </c>
      <c r="T24" s="59">
        <v>141102</v>
      </c>
      <c r="U24" s="60">
        <v>140715</v>
      </c>
      <c r="V24" s="60">
        <v>180</v>
      </c>
      <c r="W24" s="60">
        <v>180</v>
      </c>
      <c r="X24" s="60">
        <v>141282</v>
      </c>
      <c r="Y24" s="61">
        <v>140895</v>
      </c>
      <c r="Z24" s="78"/>
      <c r="AA24" s="78">
        <v>15312</v>
      </c>
      <c r="AB24" s="62">
        <v>1752</v>
      </c>
      <c r="AC24" s="63">
        <v>387</v>
      </c>
      <c r="AD24" s="63">
        <v>162</v>
      </c>
      <c r="AE24" s="1036"/>
      <c r="AF24" s="59">
        <v>0</v>
      </c>
      <c r="AG24" s="63">
        <v>140895</v>
      </c>
    </row>
    <row r="25" spans="1:33">
      <c r="A25" s="735">
        <f t="shared" si="2"/>
        <v>19</v>
      </c>
      <c r="B25" s="38" t="s">
        <v>29</v>
      </c>
      <c r="C25" s="255">
        <f>SUM(C26:C31)</f>
        <v>400040</v>
      </c>
      <c r="D25" s="256">
        <f>SUM(D26:D31)</f>
        <v>399087</v>
      </c>
      <c r="E25" s="256">
        <f>SUM(E26:E31)</f>
        <v>4434</v>
      </c>
      <c r="F25" s="260">
        <f>SUM(F26:F31)</f>
        <v>4434</v>
      </c>
      <c r="G25" s="256">
        <f t="shared" si="7"/>
        <v>404474</v>
      </c>
      <c r="H25" s="274">
        <f t="shared" si="7"/>
        <v>403521</v>
      </c>
      <c r="I25" s="259"/>
      <c r="J25" s="259">
        <f>SUM(J26:J31)</f>
        <v>161807</v>
      </c>
      <c r="K25" s="259">
        <f>SUM(K26:K31)</f>
        <v>3235</v>
      </c>
      <c r="L25" s="275">
        <f>+G25-H25</f>
        <v>953</v>
      </c>
      <c r="M25" s="275">
        <f>SUM(M26:M31)</f>
        <v>162</v>
      </c>
      <c r="N25" s="84"/>
      <c r="O25" s="261">
        <f>SUM(O26:O31)</f>
        <v>1791</v>
      </c>
      <c r="P25" s="275">
        <f>H25+O25</f>
        <v>405312</v>
      </c>
      <c r="R25" s="25">
        <f t="shared" si="6"/>
        <v>18</v>
      </c>
      <c r="S25" s="37" t="s">
        <v>60</v>
      </c>
      <c r="T25" s="89"/>
      <c r="U25" s="87"/>
      <c r="V25" s="87"/>
      <c r="W25" s="87"/>
      <c r="X25" s="65"/>
      <c r="Y25" s="66"/>
      <c r="Z25" s="88"/>
      <c r="AA25" s="88"/>
      <c r="AB25" s="86"/>
      <c r="AC25" s="68"/>
      <c r="AD25" s="68"/>
      <c r="AE25" s="1036"/>
      <c r="AF25" s="89"/>
      <c r="AG25" s="68"/>
    </row>
    <row r="26" spans="1:33">
      <c r="A26" s="923">
        <f t="shared" si="2"/>
        <v>20</v>
      </c>
      <c r="B26" s="924" t="s">
        <v>325</v>
      </c>
      <c r="C26" s="849">
        <v>141102</v>
      </c>
      <c r="D26" s="849">
        <f>126493+15312-1090</f>
        <v>140715</v>
      </c>
      <c r="E26" s="849">
        <v>180</v>
      </c>
      <c r="F26" s="849">
        <v>180</v>
      </c>
      <c r="G26" s="849">
        <f t="shared" si="7"/>
        <v>141282</v>
      </c>
      <c r="H26" s="850">
        <f t="shared" si="7"/>
        <v>140895</v>
      </c>
      <c r="I26" s="852"/>
      <c r="J26" s="852">
        <v>15312</v>
      </c>
      <c r="K26" s="853">
        <v>1752</v>
      </c>
      <c r="L26" s="854">
        <f t="shared" ref="L26:L35" si="8">+G26-H26</f>
        <v>387</v>
      </c>
      <c r="M26" s="854">
        <v>162</v>
      </c>
      <c r="N26" s="855"/>
      <c r="O26" s="856">
        <v>0</v>
      </c>
      <c r="P26" s="854">
        <f>H26+O26</f>
        <v>140895</v>
      </c>
      <c r="R26" s="46">
        <f t="shared" si="6"/>
        <v>19</v>
      </c>
      <c r="S26" s="47" t="s">
        <v>54</v>
      </c>
      <c r="T26" s="59">
        <v>207848</v>
      </c>
      <c r="U26" s="60">
        <v>207835</v>
      </c>
      <c r="V26" s="60">
        <v>0</v>
      </c>
      <c r="W26" s="60">
        <v>0</v>
      </c>
      <c r="X26" s="60">
        <v>207848</v>
      </c>
      <c r="Y26" s="61">
        <v>207835</v>
      </c>
      <c r="Z26" s="78"/>
      <c r="AA26" s="78">
        <v>135804</v>
      </c>
      <c r="AB26" s="62">
        <v>914</v>
      </c>
      <c r="AC26" s="63">
        <v>13</v>
      </c>
      <c r="AD26" s="63">
        <v>0</v>
      </c>
      <c r="AE26" s="1036"/>
      <c r="AF26" s="59">
        <v>1783</v>
      </c>
      <c r="AG26" s="63">
        <v>209618</v>
      </c>
    </row>
    <row r="27" spans="1:33">
      <c r="A27" s="925">
        <f t="shared" si="2"/>
        <v>21</v>
      </c>
      <c r="B27" s="926" t="s">
        <v>326</v>
      </c>
      <c r="C27" s="927">
        <f>207849-1</f>
        <v>207848</v>
      </c>
      <c r="D27" s="928">
        <f>73869-1034+135804-804</f>
        <v>207835</v>
      </c>
      <c r="E27" s="928">
        <v>0</v>
      </c>
      <c r="F27" s="928">
        <v>0</v>
      </c>
      <c r="G27" s="53">
        <f t="shared" si="7"/>
        <v>207848</v>
      </c>
      <c r="H27" s="859">
        <f t="shared" si="7"/>
        <v>207835</v>
      </c>
      <c r="I27" s="929"/>
      <c r="J27" s="929">
        <v>135804</v>
      </c>
      <c r="K27" s="927">
        <v>914</v>
      </c>
      <c r="L27" s="863">
        <f t="shared" si="8"/>
        <v>13</v>
      </c>
      <c r="M27" s="863">
        <v>0</v>
      </c>
      <c r="N27" s="930"/>
      <c r="O27" s="931">
        <v>1783</v>
      </c>
      <c r="P27" s="863">
        <f>H27+O27</f>
        <v>209618</v>
      </c>
      <c r="R27" s="25">
        <f t="shared" si="6"/>
        <v>20</v>
      </c>
      <c r="S27" s="37" t="s">
        <v>60</v>
      </c>
      <c r="T27" s="94"/>
      <c r="U27" s="92"/>
      <c r="V27" s="92"/>
      <c r="W27" s="92"/>
      <c r="X27" s="65"/>
      <c r="Y27" s="66"/>
      <c r="Z27" s="93"/>
      <c r="AA27" s="93"/>
      <c r="AB27" s="91"/>
      <c r="AC27" s="68"/>
      <c r="AD27" s="68"/>
      <c r="AE27" s="1036"/>
      <c r="AF27" s="94"/>
      <c r="AG27" s="68"/>
    </row>
    <row r="28" spans="1:33">
      <c r="A28" s="925">
        <f t="shared" si="2"/>
        <v>22</v>
      </c>
      <c r="B28" s="926" t="s">
        <v>448</v>
      </c>
      <c r="C28" s="53">
        <v>36879</v>
      </c>
      <c r="D28" s="53">
        <f>31690-249+4888-1</f>
        <v>36328</v>
      </c>
      <c r="E28" s="53">
        <v>4254</v>
      </c>
      <c r="F28" s="53">
        <v>4254</v>
      </c>
      <c r="G28" s="53">
        <f t="shared" si="7"/>
        <v>41133</v>
      </c>
      <c r="H28" s="859">
        <f>+D28+F28</f>
        <v>40582</v>
      </c>
      <c r="I28" s="932"/>
      <c r="J28" s="929">
        <v>4888</v>
      </c>
      <c r="K28" s="933">
        <f>472+14</f>
        <v>486</v>
      </c>
      <c r="L28" s="863">
        <f>+G28-H28</f>
        <v>551</v>
      </c>
      <c r="M28" s="863">
        <v>0</v>
      </c>
      <c r="N28" s="930"/>
      <c r="O28" s="865">
        <v>8</v>
      </c>
      <c r="P28" s="863">
        <f t="shared" si="5"/>
        <v>40590</v>
      </c>
      <c r="R28" s="24">
        <f t="shared" si="6"/>
        <v>21</v>
      </c>
      <c r="S28" s="38" t="s">
        <v>27</v>
      </c>
      <c r="T28" s="70">
        <v>6945</v>
      </c>
      <c r="U28" s="71">
        <v>6945</v>
      </c>
      <c r="V28" s="71">
        <v>0</v>
      </c>
      <c r="W28" s="71">
        <v>0</v>
      </c>
      <c r="X28" s="71">
        <v>6945</v>
      </c>
      <c r="Y28" s="72">
        <v>6945</v>
      </c>
      <c r="Z28" s="90"/>
      <c r="AA28" s="90">
        <v>0</v>
      </c>
      <c r="AB28" s="73">
        <v>0</v>
      </c>
      <c r="AC28" s="74">
        <v>0</v>
      </c>
      <c r="AD28" s="74">
        <v>0</v>
      </c>
      <c r="AE28" s="1036"/>
      <c r="AF28" s="70">
        <v>0</v>
      </c>
      <c r="AG28" s="74">
        <v>6945</v>
      </c>
    </row>
    <row r="29" spans="1:33">
      <c r="A29" s="925">
        <f t="shared" si="2"/>
        <v>23</v>
      </c>
      <c r="B29" s="926" t="s">
        <v>449</v>
      </c>
      <c r="C29" s="927">
        <v>2813</v>
      </c>
      <c r="D29" s="928">
        <f>1205+1608</f>
        <v>2813</v>
      </c>
      <c r="E29" s="928"/>
      <c r="F29" s="928"/>
      <c r="G29" s="53">
        <f t="shared" si="7"/>
        <v>2813</v>
      </c>
      <c r="H29" s="859">
        <f t="shared" si="7"/>
        <v>2813</v>
      </c>
      <c r="I29" s="934"/>
      <c r="J29" s="929">
        <v>1608</v>
      </c>
      <c r="K29" s="935"/>
      <c r="L29" s="863">
        <f t="shared" si="8"/>
        <v>0</v>
      </c>
      <c r="M29" s="863">
        <v>0</v>
      </c>
      <c r="N29" s="930"/>
      <c r="O29" s="931">
        <v>0</v>
      </c>
      <c r="P29" s="863">
        <f t="shared" si="5"/>
        <v>2813</v>
      </c>
      <c r="R29" s="29">
        <f t="shared" si="6"/>
        <v>22</v>
      </c>
      <c r="S29" s="43" t="s">
        <v>34</v>
      </c>
      <c r="T29" s="59"/>
      <c r="U29" s="60"/>
      <c r="V29" s="60"/>
      <c r="W29" s="60"/>
      <c r="X29" s="60"/>
      <c r="Y29" s="61"/>
      <c r="Z29" s="78"/>
      <c r="AA29" s="78"/>
      <c r="AB29" s="62"/>
      <c r="AC29" s="63"/>
      <c r="AD29" s="63"/>
      <c r="AE29" s="1036"/>
      <c r="AF29" s="59"/>
      <c r="AG29" s="63"/>
    </row>
    <row r="30" spans="1:33">
      <c r="A30" s="925">
        <f t="shared" si="2"/>
        <v>24</v>
      </c>
      <c r="B30" s="926" t="s">
        <v>450</v>
      </c>
      <c r="C30" s="53">
        <v>4638</v>
      </c>
      <c r="D30" s="53">
        <f>4676-40</f>
        <v>4636</v>
      </c>
      <c r="E30" s="53">
        <v>0</v>
      </c>
      <c r="F30" s="53">
        <v>0</v>
      </c>
      <c r="G30" s="53">
        <f t="shared" si="7"/>
        <v>4638</v>
      </c>
      <c r="H30" s="859">
        <f t="shared" si="7"/>
        <v>4636</v>
      </c>
      <c r="I30" s="936"/>
      <c r="J30" s="932"/>
      <c r="K30" s="933">
        <f>82+1</f>
        <v>83</v>
      </c>
      <c r="L30" s="863">
        <f t="shared" si="8"/>
        <v>2</v>
      </c>
      <c r="M30" s="863">
        <v>0</v>
      </c>
      <c r="N30" s="930"/>
      <c r="O30" s="865">
        <v>0</v>
      </c>
      <c r="P30" s="863">
        <f t="shared" si="5"/>
        <v>4636</v>
      </c>
      <c r="R30" s="25">
        <f t="shared" si="6"/>
        <v>23</v>
      </c>
      <c r="S30" s="37" t="s">
        <v>60</v>
      </c>
      <c r="T30" s="94"/>
      <c r="U30" s="92"/>
      <c r="V30" s="92"/>
      <c r="W30" s="92"/>
      <c r="X30" s="65"/>
      <c r="Y30" s="66"/>
      <c r="Z30" s="93"/>
      <c r="AA30" s="93"/>
      <c r="AB30" s="91"/>
      <c r="AC30" s="68"/>
      <c r="AD30" s="68"/>
      <c r="AE30" s="1036"/>
      <c r="AF30" s="94"/>
      <c r="AG30" s="68"/>
    </row>
    <row r="31" spans="1:33">
      <c r="A31" s="937">
        <f t="shared" si="2"/>
        <v>25</v>
      </c>
      <c r="B31" s="938" t="s">
        <v>451</v>
      </c>
      <c r="C31" s="939">
        <v>6760</v>
      </c>
      <c r="D31" s="940">
        <f>2565+4195</f>
        <v>6760</v>
      </c>
      <c r="E31" s="940"/>
      <c r="F31" s="940"/>
      <c r="G31" s="52">
        <f t="shared" si="7"/>
        <v>6760</v>
      </c>
      <c r="H31" s="917">
        <f t="shared" si="7"/>
        <v>6760</v>
      </c>
      <c r="I31" s="941"/>
      <c r="J31" s="942">
        <v>4195</v>
      </c>
      <c r="K31" s="943"/>
      <c r="L31" s="920">
        <v>0</v>
      </c>
      <c r="M31" s="920">
        <v>0</v>
      </c>
      <c r="N31" s="944"/>
      <c r="O31" s="945">
        <v>0</v>
      </c>
      <c r="P31" s="920">
        <f t="shared" si="5"/>
        <v>6760</v>
      </c>
      <c r="R31" s="24">
        <f t="shared" si="6"/>
        <v>24</v>
      </c>
      <c r="S31" s="38" t="s">
        <v>32</v>
      </c>
      <c r="T31" s="70">
        <v>49003</v>
      </c>
      <c r="U31" s="71">
        <v>49003</v>
      </c>
      <c r="V31" s="71">
        <v>132</v>
      </c>
      <c r="W31" s="71">
        <v>132</v>
      </c>
      <c r="X31" s="71">
        <v>49135</v>
      </c>
      <c r="Y31" s="72">
        <v>49135</v>
      </c>
      <c r="Z31" s="90"/>
      <c r="AA31" s="90">
        <v>6056</v>
      </c>
      <c r="AB31" s="73">
        <v>0</v>
      </c>
      <c r="AC31" s="74">
        <v>0</v>
      </c>
      <c r="AD31" s="74">
        <v>0</v>
      </c>
      <c r="AE31" s="1036"/>
      <c r="AF31" s="70">
        <v>4449</v>
      </c>
      <c r="AG31" s="74">
        <v>53584</v>
      </c>
    </row>
    <row r="32" spans="1:33">
      <c r="A32" s="735">
        <f t="shared" si="2"/>
        <v>26</v>
      </c>
      <c r="B32" s="38" t="s">
        <v>27</v>
      </c>
      <c r="C32" s="261">
        <f>SUM(C33:C34)</f>
        <v>6945</v>
      </c>
      <c r="D32" s="256">
        <f>SUM(D33:D34)</f>
        <v>6945</v>
      </c>
      <c r="E32" s="256">
        <f>+E33</f>
        <v>0</v>
      </c>
      <c r="F32" s="256">
        <f>+F33</f>
        <v>0</v>
      </c>
      <c r="G32" s="256">
        <f>SUM(G33:G34)</f>
        <v>6945</v>
      </c>
      <c r="H32" s="274">
        <f>SUM(H33:H34)</f>
        <v>6945</v>
      </c>
      <c r="I32" s="259"/>
      <c r="J32" s="259">
        <f>+J33</f>
        <v>0</v>
      </c>
      <c r="K32" s="260">
        <f>+K33</f>
        <v>0</v>
      </c>
      <c r="L32" s="275">
        <f>+G32-H32</f>
        <v>0</v>
      </c>
      <c r="M32" s="275">
        <f>+M33</f>
        <v>0</v>
      </c>
      <c r="N32" s="84"/>
      <c r="O32" s="261">
        <f>+O33</f>
        <v>0</v>
      </c>
      <c r="P32" s="275">
        <f>H32+O32</f>
        <v>6945</v>
      </c>
      <c r="R32" s="46">
        <f t="shared" si="6"/>
        <v>25</v>
      </c>
      <c r="S32" s="47" t="s">
        <v>39</v>
      </c>
      <c r="T32" s="59"/>
      <c r="U32" s="60"/>
      <c r="V32" s="60"/>
      <c r="W32" s="60"/>
      <c r="X32" s="60"/>
      <c r="Y32" s="61"/>
      <c r="Z32" s="78"/>
      <c r="AA32" s="78"/>
      <c r="AB32" s="62"/>
      <c r="AC32" s="63"/>
      <c r="AD32" s="63"/>
      <c r="AE32" s="1036"/>
      <c r="AF32" s="59"/>
      <c r="AG32" s="63"/>
    </row>
    <row r="33" spans="1:33" ht="15.75" thickBot="1">
      <c r="A33" s="923">
        <f t="shared" si="2"/>
        <v>27</v>
      </c>
      <c r="B33" s="946" t="s">
        <v>206</v>
      </c>
      <c r="C33" s="849">
        <v>75</v>
      </c>
      <c r="D33" s="849">
        <v>75</v>
      </c>
      <c r="E33" s="849"/>
      <c r="F33" s="849"/>
      <c r="G33" s="849">
        <f t="shared" si="7"/>
        <v>75</v>
      </c>
      <c r="H33" s="850">
        <f t="shared" si="7"/>
        <v>75</v>
      </c>
      <c r="I33" s="852"/>
      <c r="J33" s="852"/>
      <c r="K33" s="853"/>
      <c r="L33" s="854">
        <f t="shared" si="8"/>
        <v>0</v>
      </c>
      <c r="M33" s="854">
        <f>+M34</f>
        <v>0</v>
      </c>
      <c r="N33" s="894"/>
      <c r="O33" s="856">
        <v>0</v>
      </c>
      <c r="P33" s="854">
        <f t="shared" si="5"/>
        <v>75</v>
      </c>
      <c r="R33" s="25">
        <f t="shared" si="6"/>
        <v>26</v>
      </c>
      <c r="S33" s="37" t="s">
        <v>60</v>
      </c>
      <c r="T33" s="89"/>
      <c r="U33" s="87"/>
      <c r="V33" s="87"/>
      <c r="W33" s="87"/>
      <c r="X33" s="65"/>
      <c r="Y33" s="66"/>
      <c r="Z33" s="88"/>
      <c r="AA33" s="88"/>
      <c r="AB33" s="86"/>
      <c r="AC33" s="68"/>
      <c r="AD33" s="68"/>
      <c r="AE33" s="1036"/>
      <c r="AF33" s="89"/>
      <c r="AG33" s="68"/>
    </row>
    <row r="34" spans="1:33" ht="15.75" thickBot="1">
      <c r="A34" s="937">
        <f t="shared" si="2"/>
        <v>28</v>
      </c>
      <c r="B34" s="947" t="s">
        <v>452</v>
      </c>
      <c r="C34" s="939">
        <f>5794+3510-2434</f>
        <v>6870</v>
      </c>
      <c r="D34" s="940">
        <v>6870</v>
      </c>
      <c r="E34" s="948"/>
      <c r="F34" s="948"/>
      <c r="G34" s="52">
        <f t="shared" si="7"/>
        <v>6870</v>
      </c>
      <c r="H34" s="917">
        <f t="shared" si="7"/>
        <v>6870</v>
      </c>
      <c r="I34" s="949">
        <v>40</v>
      </c>
      <c r="J34" s="942"/>
      <c r="K34" s="950"/>
      <c r="L34" s="920">
        <f t="shared" si="8"/>
        <v>0</v>
      </c>
      <c r="M34" s="920">
        <v>0</v>
      </c>
      <c r="N34" s="951"/>
      <c r="O34" s="952">
        <v>346</v>
      </c>
      <c r="P34" s="920">
        <f t="shared" si="5"/>
        <v>7216</v>
      </c>
      <c r="R34" s="31">
        <f t="shared" si="6"/>
        <v>27</v>
      </c>
      <c r="S34" s="39" t="s">
        <v>23</v>
      </c>
      <c r="T34" s="95">
        <v>1157334</v>
      </c>
      <c r="U34" s="96">
        <v>1156341</v>
      </c>
      <c r="V34" s="96">
        <v>4736</v>
      </c>
      <c r="W34" s="96">
        <v>4736</v>
      </c>
      <c r="X34" s="96">
        <v>1162070</v>
      </c>
      <c r="Y34" s="97">
        <v>1161077</v>
      </c>
      <c r="Z34" s="98"/>
      <c r="AA34" s="98">
        <v>168722</v>
      </c>
      <c r="AB34" s="99">
        <v>13981</v>
      </c>
      <c r="AC34" s="100">
        <v>993</v>
      </c>
      <c r="AD34" s="100">
        <v>168.185</v>
      </c>
      <c r="AE34" s="101"/>
      <c r="AF34" s="95">
        <v>6637</v>
      </c>
      <c r="AG34" s="100">
        <v>1167714</v>
      </c>
    </row>
    <row r="35" spans="1:33">
      <c r="A35" s="735">
        <f t="shared" si="2"/>
        <v>29</v>
      </c>
      <c r="B35" s="38" t="s">
        <v>32</v>
      </c>
      <c r="C35" s="261">
        <f>SUM(C36:C40)</f>
        <v>49003</v>
      </c>
      <c r="D35" s="256">
        <f>SUM(D36:D40)</f>
        <v>49003</v>
      </c>
      <c r="E35" s="256">
        <f>SUM(E36:E40)</f>
        <v>132</v>
      </c>
      <c r="F35" s="256">
        <f>SUM(F36:F40)</f>
        <v>132</v>
      </c>
      <c r="G35" s="256">
        <f t="shared" ref="G35:H40" si="9">+C35+E35</f>
        <v>49135</v>
      </c>
      <c r="H35" s="274">
        <f t="shared" si="9"/>
        <v>49135</v>
      </c>
      <c r="I35" s="259"/>
      <c r="J35" s="259">
        <f>SUM(J36:J40)</f>
        <v>6056</v>
      </c>
      <c r="K35" s="260">
        <f>SUM(K36:K40)</f>
        <v>0</v>
      </c>
      <c r="L35" s="275">
        <f t="shared" si="8"/>
        <v>0</v>
      </c>
      <c r="M35" s="275">
        <f>SUM(M36:M40)</f>
        <v>0</v>
      </c>
      <c r="N35" s="84"/>
      <c r="O35" s="261">
        <f>SUM(O36:O40)</f>
        <v>4449</v>
      </c>
      <c r="P35" s="275">
        <f>H35+O35</f>
        <v>53584</v>
      </c>
    </row>
    <row r="36" spans="1:33">
      <c r="A36" s="923">
        <f t="shared" si="2"/>
        <v>30</v>
      </c>
      <c r="B36" s="953" t="s">
        <v>453</v>
      </c>
      <c r="C36" s="853">
        <f>3508+1604-1362</f>
        <v>3750</v>
      </c>
      <c r="D36" s="849">
        <v>3750</v>
      </c>
      <c r="E36" s="849"/>
      <c r="F36" s="849"/>
      <c r="G36" s="849">
        <f t="shared" si="9"/>
        <v>3750</v>
      </c>
      <c r="H36" s="850">
        <f t="shared" si="9"/>
        <v>3750</v>
      </c>
      <c r="I36" s="852"/>
      <c r="J36" s="852"/>
      <c r="K36" s="853"/>
      <c r="L36" s="854">
        <v>0</v>
      </c>
      <c r="M36" s="854">
        <v>0</v>
      </c>
      <c r="N36" s="855"/>
      <c r="O36" s="856">
        <v>411</v>
      </c>
      <c r="P36" s="854">
        <f t="shared" si="5"/>
        <v>4161</v>
      </c>
    </row>
    <row r="37" spans="1:33">
      <c r="A37" s="925">
        <f t="shared" si="2"/>
        <v>31</v>
      </c>
      <c r="B37" s="926" t="s">
        <v>454</v>
      </c>
      <c r="C37" s="933">
        <f>1056-331</f>
        <v>725</v>
      </c>
      <c r="D37" s="53">
        <v>725</v>
      </c>
      <c r="E37" s="53"/>
      <c r="F37" s="53"/>
      <c r="G37" s="53">
        <f t="shared" si="9"/>
        <v>725</v>
      </c>
      <c r="H37" s="859">
        <f t="shared" si="9"/>
        <v>725</v>
      </c>
      <c r="I37" s="932"/>
      <c r="J37" s="932"/>
      <c r="K37" s="933"/>
      <c r="L37" s="863">
        <v>0</v>
      </c>
      <c r="M37" s="863">
        <v>0</v>
      </c>
      <c r="N37" s="930"/>
      <c r="O37" s="865">
        <v>2</v>
      </c>
      <c r="P37" s="863">
        <f t="shared" si="5"/>
        <v>727</v>
      </c>
    </row>
    <row r="38" spans="1:33">
      <c r="A38" s="925">
        <f t="shared" si="2"/>
        <v>32</v>
      </c>
      <c r="B38" s="926" t="s">
        <v>455</v>
      </c>
      <c r="C38" s="933">
        <f>6509-4001</f>
        <v>2508</v>
      </c>
      <c r="D38" s="53">
        <v>2508</v>
      </c>
      <c r="E38" s="53"/>
      <c r="F38" s="53"/>
      <c r="G38" s="53">
        <f t="shared" si="9"/>
        <v>2508</v>
      </c>
      <c r="H38" s="859">
        <f t="shared" si="9"/>
        <v>2508</v>
      </c>
      <c r="I38" s="932"/>
      <c r="J38" s="932"/>
      <c r="K38" s="933"/>
      <c r="L38" s="863">
        <v>0</v>
      </c>
      <c r="M38" s="863">
        <v>0</v>
      </c>
      <c r="N38" s="930"/>
      <c r="O38" s="865">
        <v>535</v>
      </c>
      <c r="P38" s="863">
        <f t="shared" si="5"/>
        <v>3043</v>
      </c>
    </row>
    <row r="39" spans="1:33">
      <c r="A39" s="925">
        <f t="shared" si="2"/>
        <v>33</v>
      </c>
      <c r="B39" s="926" t="s">
        <v>456</v>
      </c>
      <c r="C39" s="933">
        <f>104857-71133+885</f>
        <v>34609</v>
      </c>
      <c r="D39" s="53">
        <f>28553+6056</f>
        <v>34609</v>
      </c>
      <c r="E39" s="53"/>
      <c r="F39" s="53"/>
      <c r="G39" s="53">
        <f t="shared" si="9"/>
        <v>34609</v>
      </c>
      <c r="H39" s="859">
        <f t="shared" si="9"/>
        <v>34609</v>
      </c>
      <c r="I39" s="932"/>
      <c r="J39" s="932">
        <v>6056</v>
      </c>
      <c r="K39" s="933"/>
      <c r="L39" s="863">
        <v>0</v>
      </c>
      <c r="M39" s="863">
        <v>0</v>
      </c>
      <c r="N39" s="930"/>
      <c r="O39" s="865">
        <v>302</v>
      </c>
      <c r="P39" s="863">
        <f t="shared" si="5"/>
        <v>34911</v>
      </c>
    </row>
    <row r="40" spans="1:33" ht="15.75" thickBot="1">
      <c r="A40" s="937">
        <f t="shared" si="2"/>
        <v>34</v>
      </c>
      <c r="B40" s="954" t="s">
        <v>457</v>
      </c>
      <c r="C40" s="915">
        <f>6061+1004+346</f>
        <v>7411</v>
      </c>
      <c r="D40" s="916">
        <v>7411</v>
      </c>
      <c r="E40" s="916">
        <v>132</v>
      </c>
      <c r="F40" s="916">
        <v>132</v>
      </c>
      <c r="G40" s="52">
        <f t="shared" si="9"/>
        <v>7543</v>
      </c>
      <c r="H40" s="917">
        <f t="shared" si="9"/>
        <v>7543</v>
      </c>
      <c r="I40" s="919"/>
      <c r="J40" s="919"/>
      <c r="K40" s="915"/>
      <c r="L40" s="920">
        <f>+G40-H40</f>
        <v>0</v>
      </c>
      <c r="M40" s="920">
        <v>0</v>
      </c>
      <c r="N40" s="944"/>
      <c r="O40" s="922">
        <v>3199</v>
      </c>
      <c r="P40" s="920">
        <f t="shared" si="5"/>
        <v>10742</v>
      </c>
    </row>
    <row r="41" spans="1:33" ht="15.75" thickBot="1">
      <c r="A41" s="955">
        <f t="shared" si="2"/>
        <v>35</v>
      </c>
      <c r="B41" s="956" t="s">
        <v>23</v>
      </c>
      <c r="C41" s="957">
        <f t="shared" ref="C41:H41" si="10">+C7+C25+C32+C35</f>
        <v>1157334</v>
      </c>
      <c r="D41" s="958">
        <f t="shared" si="10"/>
        <v>1156341</v>
      </c>
      <c r="E41" s="958">
        <f t="shared" si="10"/>
        <v>4736</v>
      </c>
      <c r="F41" s="958">
        <f t="shared" si="10"/>
        <v>4736</v>
      </c>
      <c r="G41" s="958">
        <f t="shared" si="10"/>
        <v>1162070</v>
      </c>
      <c r="H41" s="959">
        <f t="shared" si="10"/>
        <v>1161077</v>
      </c>
      <c r="I41" s="960"/>
      <c r="J41" s="960">
        <f>+J7+J25+J32+J35</f>
        <v>168722</v>
      </c>
      <c r="K41" s="961">
        <f>+K7+K25+K32+K35</f>
        <v>13981</v>
      </c>
      <c r="L41" s="962">
        <f>+L7+L25+L32+L35</f>
        <v>993</v>
      </c>
      <c r="M41" s="962">
        <f>+M7+M25+M32+M35</f>
        <v>168.185</v>
      </c>
      <c r="N41" s="290"/>
      <c r="O41" s="957">
        <f>+O7+O25+O32+O35</f>
        <v>6637</v>
      </c>
      <c r="P41" s="962">
        <f>+P7+P25+P32+P35</f>
        <v>1167714</v>
      </c>
    </row>
  </sheetData>
  <mergeCells count="24">
    <mergeCell ref="A4:A6"/>
    <mergeCell ref="B4:B6"/>
    <mergeCell ref="C4:D4"/>
    <mergeCell ref="E4:F4"/>
    <mergeCell ref="G4:H4"/>
    <mergeCell ref="I4:I5"/>
    <mergeCell ref="J4:J5"/>
    <mergeCell ref="K4:K5"/>
    <mergeCell ref="L4:L5"/>
    <mergeCell ref="M4:M5"/>
    <mergeCell ref="O4:O5"/>
    <mergeCell ref="P4:P5"/>
    <mergeCell ref="R4:R6"/>
    <mergeCell ref="S4:S6"/>
    <mergeCell ref="T4:U4"/>
    <mergeCell ref="V4:W4"/>
    <mergeCell ref="X4:Y4"/>
    <mergeCell ref="Z4:Z5"/>
    <mergeCell ref="AA4:AA5"/>
    <mergeCell ref="AB4:AB5"/>
    <mergeCell ref="AC4:AC5"/>
    <mergeCell ref="AD4:AD5"/>
    <mergeCell ref="AF4:AF5"/>
    <mergeCell ref="AG4:AG5"/>
  </mergeCells>
  <pageMargins left="0.7" right="0.7" top="0.78740157499999996" bottom="0.78740157499999996"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dimension ref="A1:AG42"/>
  <sheetViews>
    <sheetView zoomScale="85" zoomScaleNormal="85" workbookViewId="0">
      <selection activeCell="R1" sqref="R1:AG65536"/>
    </sheetView>
  </sheetViews>
  <sheetFormatPr defaultRowHeight="15"/>
  <cols>
    <col min="1" max="1" width="5" customWidth="1"/>
    <col min="2" max="2" width="45.85546875" customWidth="1"/>
    <col min="3" max="3" width="12.7109375" customWidth="1"/>
    <col min="4" max="4" width="11.5703125" customWidth="1"/>
    <col min="5" max="5" width="11.28515625" customWidth="1"/>
    <col min="6" max="6" width="11.5703125" customWidth="1"/>
    <col min="7" max="7" width="10.85546875" customWidth="1"/>
    <col min="8" max="9" width="10.42578125" customWidth="1"/>
    <col min="10" max="10" width="12.5703125" customWidth="1"/>
    <col min="11" max="11" width="10.5703125" customWidth="1"/>
    <col min="12" max="12" width="11.42578125" customWidth="1"/>
    <col min="13" max="13" width="1.7109375" style="1" customWidth="1"/>
    <col min="14" max="14" width="1.7109375" customWidth="1"/>
    <col min="15" max="15" width="11" customWidth="1"/>
    <col min="16" max="16" width="10.85546875" customWidth="1"/>
    <col min="18" max="18" width="9.42578125" hidden="1" customWidth="1"/>
    <col min="19" max="19" width="45.85546875" hidden="1" customWidth="1"/>
    <col min="20" max="20" width="12.7109375" hidden="1" customWidth="1"/>
    <col min="21" max="21" width="11.5703125" hidden="1" customWidth="1"/>
    <col min="22" max="22" width="11.28515625" hidden="1" customWidth="1"/>
    <col min="23" max="23" width="11.5703125" hidden="1" customWidth="1"/>
    <col min="24" max="25" width="12.140625" hidden="1" customWidth="1"/>
    <col min="26" max="26" width="10.42578125" hidden="1" customWidth="1"/>
    <col min="27" max="27" width="12.5703125" hidden="1" customWidth="1"/>
    <col min="28" max="28" width="10.5703125" hidden="1" customWidth="1"/>
    <col min="29" max="29" width="14" hidden="1" customWidth="1"/>
    <col min="30" max="30" width="12.42578125" hidden="1" customWidth="1"/>
    <col min="31" max="31" width="1.7109375" hidden="1" customWidth="1"/>
    <col min="32" max="32" width="11" hidden="1" customWidth="1"/>
    <col min="33" max="33" width="10.85546875" hidden="1" customWidth="1"/>
  </cols>
  <sheetData>
    <row r="1" spans="1:33" ht="15.75" customHeight="1">
      <c r="A1" s="3" t="s">
        <v>44</v>
      </c>
      <c r="B1" s="20"/>
      <c r="C1" s="20"/>
      <c r="D1" s="20"/>
      <c r="E1" s="20"/>
      <c r="F1" s="20"/>
      <c r="G1" s="20"/>
      <c r="H1" s="20"/>
      <c r="I1" s="20"/>
      <c r="J1" s="20"/>
      <c r="K1" s="20"/>
      <c r="L1" s="20"/>
      <c r="M1" s="20"/>
      <c r="N1" s="22"/>
      <c r="O1" s="20"/>
      <c r="P1" s="20"/>
    </row>
    <row r="2" spans="1:33" ht="15.75">
      <c r="A2" s="3"/>
      <c r="B2" s="2" t="s">
        <v>43</v>
      </c>
      <c r="C2" s="20"/>
      <c r="D2" s="20"/>
      <c r="E2" s="20"/>
      <c r="F2" s="20"/>
      <c r="G2" s="20"/>
      <c r="H2" s="20"/>
      <c r="I2" s="20"/>
      <c r="J2" s="20"/>
      <c r="K2" s="20"/>
      <c r="L2" s="20"/>
      <c r="M2" s="20"/>
      <c r="N2" s="22"/>
      <c r="O2" s="20"/>
      <c r="P2" s="20"/>
    </row>
    <row r="3" spans="1:33" ht="16.5" thickBot="1">
      <c r="A3" s="20"/>
      <c r="B3" s="19"/>
      <c r="C3" s="20"/>
      <c r="D3" s="20"/>
      <c r="E3" s="20"/>
      <c r="F3" s="20"/>
      <c r="G3" s="20"/>
      <c r="H3" s="20"/>
      <c r="I3" s="20"/>
      <c r="J3" s="20"/>
      <c r="K3" s="20"/>
      <c r="L3" s="20"/>
      <c r="M3" s="20"/>
      <c r="N3" s="22"/>
      <c r="O3" s="20"/>
      <c r="P3" s="23" t="s">
        <v>2</v>
      </c>
    </row>
    <row r="4" spans="1:33">
      <c r="A4" s="1357" t="s">
        <v>1</v>
      </c>
      <c r="B4" s="1354" t="s">
        <v>46</v>
      </c>
      <c r="C4" s="1394" t="s">
        <v>18</v>
      </c>
      <c r="D4" s="1361"/>
      <c r="E4" s="1361" t="s">
        <v>19</v>
      </c>
      <c r="F4" s="1361"/>
      <c r="G4" s="1364" t="s">
        <v>20</v>
      </c>
      <c r="H4" s="1365"/>
      <c r="I4" s="1349" t="s">
        <v>47</v>
      </c>
      <c r="J4" s="1349" t="s">
        <v>48</v>
      </c>
      <c r="K4" s="1351" t="s">
        <v>49</v>
      </c>
      <c r="L4" s="1362" t="s">
        <v>77</v>
      </c>
      <c r="M4" s="1313"/>
      <c r="N4" s="9"/>
      <c r="O4" s="1366" t="s">
        <v>330</v>
      </c>
      <c r="P4" s="1368" t="s">
        <v>21</v>
      </c>
      <c r="R4" s="1357" t="s">
        <v>1</v>
      </c>
      <c r="S4" s="1354" t="s">
        <v>46</v>
      </c>
      <c r="T4" s="1360" t="s">
        <v>18</v>
      </c>
      <c r="U4" s="1361"/>
      <c r="V4" s="1361" t="s">
        <v>19</v>
      </c>
      <c r="W4" s="1361"/>
      <c r="X4" s="1364" t="s">
        <v>20</v>
      </c>
      <c r="Y4" s="1365"/>
      <c r="Z4" s="1349" t="s">
        <v>47</v>
      </c>
      <c r="AA4" s="1349" t="s">
        <v>48</v>
      </c>
      <c r="AB4" s="1351" t="s">
        <v>49</v>
      </c>
      <c r="AC4" s="1362" t="s">
        <v>62</v>
      </c>
      <c r="AD4" s="1370" t="s">
        <v>69</v>
      </c>
      <c r="AE4" s="1037"/>
      <c r="AF4" s="1366" t="s">
        <v>65</v>
      </c>
      <c r="AG4" s="1368" t="s">
        <v>21</v>
      </c>
    </row>
    <row r="5" spans="1:33">
      <c r="A5" s="1358"/>
      <c r="B5" s="1355"/>
      <c r="C5" s="10" t="s">
        <v>26</v>
      </c>
      <c r="D5" s="11" t="s">
        <v>50</v>
      </c>
      <c r="E5" s="10" t="s">
        <v>12</v>
      </c>
      <c r="F5" s="11" t="s">
        <v>16</v>
      </c>
      <c r="G5" s="11" t="s">
        <v>12</v>
      </c>
      <c r="H5" s="33" t="s">
        <v>16</v>
      </c>
      <c r="I5" s="1350"/>
      <c r="J5" s="1350"/>
      <c r="K5" s="1352"/>
      <c r="L5" s="1363"/>
      <c r="M5" s="1313"/>
      <c r="N5" s="9"/>
      <c r="O5" s="1367"/>
      <c r="P5" s="1369"/>
      <c r="R5" s="1358"/>
      <c r="S5" s="1355"/>
      <c r="T5" s="1077" t="s">
        <v>26</v>
      </c>
      <c r="U5" s="11" t="s">
        <v>50</v>
      </c>
      <c r="V5" s="10" t="s">
        <v>12</v>
      </c>
      <c r="W5" s="11" t="s">
        <v>16</v>
      </c>
      <c r="X5" s="11" t="s">
        <v>12</v>
      </c>
      <c r="Y5" s="33" t="s">
        <v>16</v>
      </c>
      <c r="Z5" s="1350"/>
      <c r="AA5" s="1350"/>
      <c r="AB5" s="1352"/>
      <c r="AC5" s="1363"/>
      <c r="AD5" s="1371"/>
      <c r="AE5" s="1037"/>
      <c r="AF5" s="1367"/>
      <c r="AG5" s="1369"/>
    </row>
    <row r="6" spans="1:33" ht="15.75" thickBot="1">
      <c r="A6" s="1359"/>
      <c r="B6" s="1356"/>
      <c r="C6" s="12" t="s">
        <v>4</v>
      </c>
      <c r="D6" s="13" t="s">
        <v>5</v>
      </c>
      <c r="E6" s="13" t="s">
        <v>6</v>
      </c>
      <c r="F6" s="13" t="s">
        <v>7</v>
      </c>
      <c r="G6" s="13" t="s">
        <v>13</v>
      </c>
      <c r="H6" s="34" t="s">
        <v>14</v>
      </c>
      <c r="I6" s="45" t="s">
        <v>28</v>
      </c>
      <c r="J6" s="45" t="s">
        <v>31</v>
      </c>
      <c r="K6" s="32" t="s">
        <v>9</v>
      </c>
      <c r="L6" s="14" t="s">
        <v>22</v>
      </c>
      <c r="M6" s="9"/>
      <c r="N6" s="9"/>
      <c r="O6" s="44" t="s">
        <v>10</v>
      </c>
      <c r="P6" s="14" t="s">
        <v>64</v>
      </c>
      <c r="R6" s="1359"/>
      <c r="S6" s="1356"/>
      <c r="T6" s="1078" t="s">
        <v>4</v>
      </c>
      <c r="U6" s="13" t="s">
        <v>5</v>
      </c>
      <c r="V6" s="13" t="s">
        <v>6</v>
      </c>
      <c r="W6" s="13" t="s">
        <v>7</v>
      </c>
      <c r="X6" s="13" t="s">
        <v>13</v>
      </c>
      <c r="Y6" s="34" t="s">
        <v>14</v>
      </c>
      <c r="Z6" s="45" t="s">
        <v>28</v>
      </c>
      <c r="AA6" s="45" t="s">
        <v>31</v>
      </c>
      <c r="AB6" s="32" t="s">
        <v>9</v>
      </c>
      <c r="AC6" s="14" t="s">
        <v>22</v>
      </c>
      <c r="AD6" s="14" t="s">
        <v>63</v>
      </c>
      <c r="AE6" s="1037"/>
      <c r="AF6" s="44" t="s">
        <v>10</v>
      </c>
      <c r="AG6" s="14" t="s">
        <v>64</v>
      </c>
    </row>
    <row r="7" spans="1:33">
      <c r="A7" s="24">
        <v>1</v>
      </c>
      <c r="B7" s="38" t="s">
        <v>15</v>
      </c>
      <c r="C7" s="963">
        <f>+C8+C12+C25</f>
        <v>504551</v>
      </c>
      <c r="D7" s="963">
        <f>+D8+D12+D25</f>
        <v>504551</v>
      </c>
      <c r="E7" s="963">
        <f t="shared" ref="E7:L7" si="0">+E8+E12</f>
        <v>4118</v>
      </c>
      <c r="F7" s="963">
        <f t="shared" si="0"/>
        <v>4118</v>
      </c>
      <c r="G7" s="963">
        <f>+G8+G12+G25</f>
        <v>508669</v>
      </c>
      <c r="H7" s="964">
        <f>+H8+H12+H25</f>
        <v>508669</v>
      </c>
      <c r="I7" s="965">
        <f>+I8+I12+I25</f>
        <v>0</v>
      </c>
      <c r="J7" s="965">
        <f>+J8+J12+J25</f>
        <v>41200</v>
      </c>
      <c r="K7" s="966">
        <f t="shared" si="0"/>
        <v>15812</v>
      </c>
      <c r="L7" s="967">
        <f t="shared" si="0"/>
        <v>0</v>
      </c>
      <c r="M7" s="1338"/>
      <c r="N7" s="968"/>
      <c r="O7" s="969">
        <f>+O8+O12</f>
        <v>0</v>
      </c>
      <c r="P7" s="963">
        <f>+P8+P12+P25</f>
        <v>508669</v>
      </c>
      <c r="R7" s="24">
        <v>1</v>
      </c>
      <c r="S7" s="38" t="s">
        <v>15</v>
      </c>
      <c r="T7" s="54">
        <v>504551</v>
      </c>
      <c r="U7" s="55">
        <v>504551</v>
      </c>
      <c r="V7" s="55">
        <v>4118</v>
      </c>
      <c r="W7" s="55">
        <v>4118</v>
      </c>
      <c r="X7" s="55">
        <v>508669</v>
      </c>
      <c r="Y7" s="56">
        <v>508669</v>
      </c>
      <c r="Z7" s="75">
        <v>0</v>
      </c>
      <c r="AA7" s="75">
        <v>41200</v>
      </c>
      <c r="AB7" s="57">
        <v>15812</v>
      </c>
      <c r="AC7" s="58">
        <v>0</v>
      </c>
      <c r="AD7" s="58"/>
      <c r="AE7" s="1036"/>
      <c r="AF7" s="54">
        <v>0</v>
      </c>
      <c r="AG7" s="58">
        <v>508669</v>
      </c>
    </row>
    <row r="8" spans="1:33">
      <c r="A8" s="48">
        <f>A7+1</f>
        <v>2</v>
      </c>
      <c r="B8" s="35" t="s">
        <v>35</v>
      </c>
      <c r="C8" s="970">
        <f>SUM(C9:C10)</f>
        <v>259677</v>
      </c>
      <c r="D8" s="970">
        <f>SUM(D9:D10)</f>
        <v>259677</v>
      </c>
      <c r="E8" s="970">
        <f>SUM(E9:E11)</f>
        <v>0</v>
      </c>
      <c r="F8" s="970">
        <f>SUM(F9:F11)</f>
        <v>0</v>
      </c>
      <c r="G8" s="970">
        <f t="shared" ref="G8:L8" si="1">SUM(G9:G10)</f>
        <v>259677</v>
      </c>
      <c r="H8" s="971">
        <f t="shared" si="1"/>
        <v>259677</v>
      </c>
      <c r="I8" s="972">
        <f t="shared" si="1"/>
        <v>0</v>
      </c>
      <c r="J8" s="973">
        <f t="shared" si="1"/>
        <v>0</v>
      </c>
      <c r="K8" s="974">
        <f t="shared" si="1"/>
        <v>10824</v>
      </c>
      <c r="L8" s="975">
        <f t="shared" si="1"/>
        <v>0</v>
      </c>
      <c r="M8" s="1339"/>
      <c r="N8" s="968"/>
      <c r="O8" s="976">
        <f>SUM(O9:O10)</f>
        <v>0</v>
      </c>
      <c r="P8" s="975">
        <f>SUM(P9:P10)</f>
        <v>259677</v>
      </c>
      <c r="R8" s="48">
        <f>R7+1</f>
        <v>2</v>
      </c>
      <c r="S8" s="35" t="s">
        <v>35</v>
      </c>
      <c r="T8" s="59">
        <v>259677</v>
      </c>
      <c r="U8" s="60">
        <v>259677</v>
      </c>
      <c r="V8" s="60">
        <v>0</v>
      </c>
      <c r="W8" s="60">
        <v>0</v>
      </c>
      <c r="X8" s="60">
        <v>259677</v>
      </c>
      <c r="Y8" s="61">
        <v>259677</v>
      </c>
      <c r="Z8" s="77">
        <v>0</v>
      </c>
      <c r="AA8" s="78">
        <v>0</v>
      </c>
      <c r="AB8" s="62">
        <v>10824</v>
      </c>
      <c r="AC8" s="63">
        <v>0</v>
      </c>
      <c r="AD8" s="63"/>
      <c r="AE8" s="1036"/>
      <c r="AF8" s="59">
        <v>0</v>
      </c>
      <c r="AG8" s="63">
        <v>259677</v>
      </c>
    </row>
    <row r="9" spans="1:33">
      <c r="A9" s="25">
        <v>3</v>
      </c>
      <c r="B9" s="36" t="s">
        <v>58</v>
      </c>
      <c r="C9" s="552">
        <v>259677</v>
      </c>
      <c r="D9" s="552">
        <v>259677</v>
      </c>
      <c r="E9" s="552">
        <v>0</v>
      </c>
      <c r="F9" s="552">
        <v>0</v>
      </c>
      <c r="G9" s="552">
        <f>+C9+E9</f>
        <v>259677</v>
      </c>
      <c r="H9" s="553">
        <f>+D9+F9</f>
        <v>259677</v>
      </c>
      <c r="I9" s="977">
        <v>0</v>
      </c>
      <c r="J9" s="978">
        <v>0</v>
      </c>
      <c r="K9" s="979">
        <v>10824</v>
      </c>
      <c r="L9" s="555">
        <f>+G9-H9</f>
        <v>0</v>
      </c>
      <c r="M9" s="1340"/>
      <c r="N9" s="968"/>
      <c r="O9" s="980">
        <v>0</v>
      </c>
      <c r="P9" s="555">
        <f>H9+O9</f>
        <v>259677</v>
      </c>
      <c r="R9" s="25">
        <f t="shared" ref="R9:R34" si="2">R8+1</f>
        <v>3</v>
      </c>
      <c r="S9" s="36" t="s">
        <v>58</v>
      </c>
      <c r="T9" s="64">
        <v>259677</v>
      </c>
      <c r="U9" s="65">
        <v>259677</v>
      </c>
      <c r="V9" s="65">
        <v>0</v>
      </c>
      <c r="W9" s="65">
        <v>0</v>
      </c>
      <c r="X9" s="65">
        <v>259677</v>
      </c>
      <c r="Y9" s="66">
        <v>259677</v>
      </c>
      <c r="Z9" s="80">
        <v>0</v>
      </c>
      <c r="AA9" s="80">
        <v>0</v>
      </c>
      <c r="AB9" s="67">
        <v>10824</v>
      </c>
      <c r="AC9" s="68">
        <v>0</v>
      </c>
      <c r="AD9" s="68"/>
      <c r="AE9" s="1036"/>
      <c r="AF9" s="64">
        <v>0</v>
      </c>
      <c r="AG9" s="68">
        <v>259677</v>
      </c>
    </row>
    <row r="10" spans="1:33">
      <c r="A10" s="25">
        <f>+A9+1</f>
        <v>4</v>
      </c>
      <c r="B10" s="36" t="s">
        <v>36</v>
      </c>
      <c r="C10" s="552">
        <f>SUM(C11)</f>
        <v>0</v>
      </c>
      <c r="D10" s="552">
        <f>SUM(D11)</f>
        <v>0</v>
      </c>
      <c r="E10" s="552">
        <v>0</v>
      </c>
      <c r="F10" s="552">
        <v>0</v>
      </c>
      <c r="G10" s="552">
        <f>+C10+E10</f>
        <v>0</v>
      </c>
      <c r="H10" s="553">
        <f>+D10+F10</f>
        <v>0</v>
      </c>
      <c r="I10" s="977">
        <v>0</v>
      </c>
      <c r="J10" s="978">
        <v>0</v>
      </c>
      <c r="K10" s="979">
        <v>0</v>
      </c>
      <c r="L10" s="555">
        <f>+G10-H10</f>
        <v>0</v>
      </c>
      <c r="M10" s="1340"/>
      <c r="N10" s="968"/>
      <c r="O10" s="980">
        <v>0</v>
      </c>
      <c r="P10" s="555">
        <f>H10+O10</f>
        <v>0</v>
      </c>
      <c r="R10" s="25">
        <f t="shared" si="2"/>
        <v>4</v>
      </c>
      <c r="S10" s="36" t="s">
        <v>36</v>
      </c>
      <c r="T10" s="64">
        <v>0</v>
      </c>
      <c r="U10" s="65">
        <v>0</v>
      </c>
      <c r="V10" s="65">
        <v>0</v>
      </c>
      <c r="W10" s="65">
        <v>0</v>
      </c>
      <c r="X10" s="65">
        <v>0</v>
      </c>
      <c r="Y10" s="249">
        <v>0</v>
      </c>
      <c r="Z10" s="80">
        <v>0</v>
      </c>
      <c r="AA10" s="80">
        <v>0</v>
      </c>
      <c r="AB10" s="67">
        <v>0</v>
      </c>
      <c r="AC10" s="68">
        <v>0</v>
      </c>
      <c r="AD10" s="68"/>
      <c r="AE10" s="1036"/>
      <c r="AF10" s="64">
        <v>0</v>
      </c>
      <c r="AG10" s="68">
        <v>0</v>
      </c>
    </row>
    <row r="11" spans="1:33">
      <c r="A11" s="25">
        <v>5</v>
      </c>
      <c r="B11" s="37" t="s">
        <v>458</v>
      </c>
      <c r="C11" s="552"/>
      <c r="D11" s="552"/>
      <c r="E11" s="552"/>
      <c r="F11" s="552"/>
      <c r="G11" s="552"/>
      <c r="H11" s="553"/>
      <c r="I11" s="977"/>
      <c r="J11" s="978"/>
      <c r="K11" s="979"/>
      <c r="L11" s="555"/>
      <c r="M11" s="1340"/>
      <c r="N11" s="968"/>
      <c r="O11" s="980"/>
      <c r="P11" s="555"/>
      <c r="R11" s="25">
        <f t="shared" si="2"/>
        <v>5</v>
      </c>
      <c r="S11" s="37" t="s">
        <v>30</v>
      </c>
      <c r="T11" s="64"/>
      <c r="U11" s="65"/>
      <c r="V11" s="65"/>
      <c r="W11" s="65"/>
      <c r="X11" s="65"/>
      <c r="Y11" s="66"/>
      <c r="Z11" s="79"/>
      <c r="AA11" s="80"/>
      <c r="AB11" s="67"/>
      <c r="AC11" s="68"/>
      <c r="AD11" s="68"/>
      <c r="AE11" s="1036"/>
      <c r="AF11" s="64"/>
      <c r="AG11" s="68"/>
    </row>
    <row r="12" spans="1:33">
      <c r="A12" s="48">
        <f>+A11+1</f>
        <v>6</v>
      </c>
      <c r="B12" s="35" t="s">
        <v>42</v>
      </c>
      <c r="C12" s="970">
        <f t="shared" ref="C12:H12" si="3">SUM(C13+C16+C20+C22)</f>
        <v>244054</v>
      </c>
      <c r="D12" s="970">
        <f t="shared" si="3"/>
        <v>244054</v>
      </c>
      <c r="E12" s="970">
        <f t="shared" si="3"/>
        <v>4118</v>
      </c>
      <c r="F12" s="970">
        <f t="shared" si="3"/>
        <v>4118</v>
      </c>
      <c r="G12" s="970">
        <f t="shared" si="3"/>
        <v>248172</v>
      </c>
      <c r="H12" s="971">
        <f t="shared" si="3"/>
        <v>248172</v>
      </c>
      <c r="I12" s="973">
        <v>0</v>
      </c>
      <c r="J12" s="973">
        <f>SUM(J13+J16)</f>
        <v>40960</v>
      </c>
      <c r="K12" s="974">
        <f>SUM(K13+K16+K20+K22)</f>
        <v>4988</v>
      </c>
      <c r="L12" s="975">
        <f>SUM(L13+L16+L18+L20+L22)</f>
        <v>0</v>
      </c>
      <c r="M12" s="1339"/>
      <c r="N12" s="968"/>
      <c r="O12" s="976">
        <v>0</v>
      </c>
      <c r="P12" s="975">
        <f>SUM(H12+O12)</f>
        <v>248172</v>
      </c>
      <c r="R12" s="48">
        <f t="shared" si="2"/>
        <v>6</v>
      </c>
      <c r="S12" s="35" t="s">
        <v>42</v>
      </c>
      <c r="T12" s="59">
        <v>244054</v>
      </c>
      <c r="U12" s="60">
        <v>244054</v>
      </c>
      <c r="V12" s="60">
        <v>4118</v>
      </c>
      <c r="W12" s="60">
        <v>4118</v>
      </c>
      <c r="X12" s="60">
        <v>248172</v>
      </c>
      <c r="Y12" s="61">
        <v>248172</v>
      </c>
      <c r="Z12" s="78">
        <v>0</v>
      </c>
      <c r="AA12" s="78">
        <v>40960</v>
      </c>
      <c r="AB12" s="62">
        <v>4988</v>
      </c>
      <c r="AC12" s="63">
        <v>0</v>
      </c>
      <c r="AD12" s="63"/>
      <c r="AE12" s="1036"/>
      <c r="AF12" s="59">
        <v>0</v>
      </c>
      <c r="AG12" s="63">
        <v>248172</v>
      </c>
    </row>
    <row r="13" spans="1:33">
      <c r="A13" s="25">
        <f>A12+1</f>
        <v>7</v>
      </c>
      <c r="B13" s="681" t="s">
        <v>459</v>
      </c>
      <c r="C13" s="981">
        <f>SUM(C14)</f>
        <v>127958</v>
      </c>
      <c r="D13" s="982">
        <f>SUM(D14)</f>
        <v>127958</v>
      </c>
      <c r="E13" s="982">
        <f>SUM(E14)</f>
        <v>4118</v>
      </c>
      <c r="F13" s="982">
        <f>SUM(F14)</f>
        <v>4118</v>
      </c>
      <c r="G13" s="983">
        <f>+C13+E13</f>
        <v>132076</v>
      </c>
      <c r="H13" s="984">
        <f>+D13+F13</f>
        <v>132076</v>
      </c>
      <c r="I13" s="985">
        <v>0</v>
      </c>
      <c r="J13" s="986">
        <f>SUM(J14)</f>
        <v>40083</v>
      </c>
      <c r="K13" s="981">
        <f>SUM(K14)</f>
        <v>1400</v>
      </c>
      <c r="L13" s="987">
        <f>+G13-H13</f>
        <v>0</v>
      </c>
      <c r="M13" s="1341"/>
      <c r="N13" s="988"/>
      <c r="O13" s="989">
        <v>0</v>
      </c>
      <c r="P13" s="987">
        <f>H13+O13</f>
        <v>132076</v>
      </c>
      <c r="R13" s="29">
        <f t="shared" si="2"/>
        <v>7</v>
      </c>
      <c r="S13" s="36" t="s">
        <v>51</v>
      </c>
      <c r="T13" s="85">
        <v>127958</v>
      </c>
      <c r="U13" s="82">
        <v>127958</v>
      </c>
      <c r="V13" s="82">
        <v>4118</v>
      </c>
      <c r="W13" s="82">
        <v>4118</v>
      </c>
      <c r="X13" s="65">
        <v>132076</v>
      </c>
      <c r="Y13" s="66">
        <v>132076</v>
      </c>
      <c r="Z13" s="79">
        <v>0</v>
      </c>
      <c r="AA13" s="83">
        <v>40083</v>
      </c>
      <c r="AB13" s="81">
        <v>1400</v>
      </c>
      <c r="AC13" s="68">
        <v>0</v>
      </c>
      <c r="AD13" s="68"/>
      <c r="AE13" s="706"/>
      <c r="AF13" s="85">
        <v>0</v>
      </c>
      <c r="AG13" s="68">
        <v>132076</v>
      </c>
    </row>
    <row r="14" spans="1:33">
      <c r="A14" s="25">
        <v>8</v>
      </c>
      <c r="B14" s="681" t="s">
        <v>460</v>
      </c>
      <c r="C14" s="990">
        <v>127958</v>
      </c>
      <c r="D14" s="991">
        <v>127958</v>
      </c>
      <c r="E14" s="991">
        <v>4118</v>
      </c>
      <c r="F14" s="991">
        <v>4118</v>
      </c>
      <c r="G14" s="552">
        <f>+C14+E14</f>
        <v>132076</v>
      </c>
      <c r="H14" s="553">
        <f>+D14+F14</f>
        <v>132076</v>
      </c>
      <c r="I14" s="985">
        <v>0</v>
      </c>
      <c r="J14" s="992">
        <v>40083</v>
      </c>
      <c r="K14" s="990">
        <v>1400</v>
      </c>
      <c r="L14" s="555">
        <f>+G14-H14</f>
        <v>0</v>
      </c>
      <c r="M14" s="1340"/>
      <c r="N14" s="988"/>
      <c r="O14" s="989">
        <v>0</v>
      </c>
      <c r="P14" s="555">
        <f>H14+O14</f>
        <v>132076</v>
      </c>
      <c r="R14" s="29"/>
      <c r="S14" s="36" t="s">
        <v>61</v>
      </c>
      <c r="T14" s="85">
        <v>127958</v>
      </c>
      <c r="U14" s="82">
        <v>127958</v>
      </c>
      <c r="V14" s="82">
        <v>4118</v>
      </c>
      <c r="W14" s="82">
        <v>4118</v>
      </c>
      <c r="X14" s="65">
        <v>132076</v>
      </c>
      <c r="Y14" s="66">
        <v>132076</v>
      </c>
      <c r="Z14" s="79">
        <v>0</v>
      </c>
      <c r="AA14" s="83">
        <v>40083</v>
      </c>
      <c r="AB14" s="81">
        <v>1400</v>
      </c>
      <c r="AC14" s="68">
        <v>0</v>
      </c>
      <c r="AD14" s="68"/>
      <c r="AE14" s="706"/>
      <c r="AF14" s="85">
        <v>0</v>
      </c>
      <c r="AG14" s="68">
        <v>132076</v>
      </c>
    </row>
    <row r="15" spans="1:33">
      <c r="A15" s="25">
        <v>9</v>
      </c>
      <c r="B15" s="681"/>
      <c r="C15" s="981"/>
      <c r="D15" s="982"/>
      <c r="E15" s="982"/>
      <c r="F15" s="982"/>
      <c r="G15" s="983"/>
      <c r="H15" s="984"/>
      <c r="I15" s="985"/>
      <c r="J15" s="986"/>
      <c r="K15" s="981"/>
      <c r="L15" s="987"/>
      <c r="M15" s="1341"/>
      <c r="N15" s="988"/>
      <c r="O15" s="989"/>
      <c r="P15" s="987"/>
      <c r="R15" s="25">
        <f>R13+1</f>
        <v>8</v>
      </c>
      <c r="S15" s="37" t="s">
        <v>66</v>
      </c>
      <c r="T15" s="89"/>
      <c r="U15" s="87"/>
      <c r="V15" s="87"/>
      <c r="W15" s="87"/>
      <c r="X15" s="65"/>
      <c r="Y15" s="66"/>
      <c r="Z15" s="88"/>
      <c r="AA15" s="88"/>
      <c r="AB15" s="86"/>
      <c r="AC15" s="68"/>
      <c r="AD15" s="68"/>
      <c r="AE15" s="1036"/>
      <c r="AF15" s="89"/>
      <c r="AG15" s="68"/>
    </row>
    <row r="16" spans="1:33">
      <c r="A16" s="25">
        <v>10</v>
      </c>
      <c r="B16" s="36" t="s">
        <v>461</v>
      </c>
      <c r="C16" s="981">
        <f>SUM(C17+C18)</f>
        <v>4553</v>
      </c>
      <c r="D16" s="982">
        <f>SUM(D17+D18)</f>
        <v>4553</v>
      </c>
      <c r="E16" s="982">
        <v>0</v>
      </c>
      <c r="F16" s="982">
        <v>0</v>
      </c>
      <c r="G16" s="983">
        <f>SUM(C16+E16)</f>
        <v>4553</v>
      </c>
      <c r="H16" s="984">
        <f>SUM(D16+F16)</f>
        <v>4553</v>
      </c>
      <c r="I16" s="977">
        <v>0</v>
      </c>
      <c r="J16" s="986">
        <f>SUM(J17)</f>
        <v>877</v>
      </c>
      <c r="K16" s="981">
        <f>SUM(K17+K18)</f>
        <v>101</v>
      </c>
      <c r="L16" s="555">
        <f>SUM(G16-H16)</f>
        <v>0</v>
      </c>
      <c r="M16" s="1340"/>
      <c r="N16" s="988"/>
      <c r="O16" s="993">
        <v>0</v>
      </c>
      <c r="P16" s="987">
        <f>SUM(H16+O16)</f>
        <v>4553</v>
      </c>
      <c r="R16" s="29">
        <f t="shared" si="2"/>
        <v>9</v>
      </c>
      <c r="S16" s="36" t="s">
        <v>52</v>
      </c>
      <c r="T16" s="85">
        <v>4553</v>
      </c>
      <c r="U16" s="82">
        <v>4553</v>
      </c>
      <c r="V16" s="82">
        <v>0</v>
      </c>
      <c r="W16" s="82">
        <v>0</v>
      </c>
      <c r="X16" s="65">
        <v>4553</v>
      </c>
      <c r="Y16" s="66">
        <v>4553</v>
      </c>
      <c r="Z16" s="79">
        <v>0</v>
      </c>
      <c r="AA16" s="83">
        <v>877</v>
      </c>
      <c r="AB16" s="81">
        <v>101</v>
      </c>
      <c r="AC16" s="68">
        <v>0</v>
      </c>
      <c r="AD16" s="68"/>
      <c r="AE16" s="706"/>
      <c r="AF16" s="85">
        <v>0</v>
      </c>
      <c r="AG16" s="68">
        <v>4553</v>
      </c>
    </row>
    <row r="17" spans="1:33">
      <c r="A17" s="25">
        <v>11</v>
      </c>
      <c r="B17" s="36" t="s">
        <v>462</v>
      </c>
      <c r="C17" s="990">
        <v>4284</v>
      </c>
      <c r="D17" s="991">
        <v>4284</v>
      </c>
      <c r="E17" s="991">
        <v>0</v>
      </c>
      <c r="F17" s="991">
        <v>0</v>
      </c>
      <c r="G17" s="552">
        <f>SUM(C17+E17)</f>
        <v>4284</v>
      </c>
      <c r="H17" s="553">
        <f>SUM(D17+F17)</f>
        <v>4284</v>
      </c>
      <c r="I17" s="977">
        <v>0</v>
      </c>
      <c r="J17" s="992">
        <v>877</v>
      </c>
      <c r="K17" s="990">
        <v>88</v>
      </c>
      <c r="L17" s="555">
        <v>0</v>
      </c>
      <c r="M17" s="1340"/>
      <c r="N17" s="988"/>
      <c r="O17" s="993">
        <v>0</v>
      </c>
      <c r="P17" s="555">
        <f>SUM(H17+O17)</f>
        <v>4284</v>
      </c>
      <c r="R17" s="25">
        <f t="shared" si="2"/>
        <v>10</v>
      </c>
      <c r="S17" s="37" t="s">
        <v>30</v>
      </c>
      <c r="T17" s="89"/>
      <c r="U17" s="87"/>
      <c r="V17" s="87"/>
      <c r="W17" s="87"/>
      <c r="X17" s="65"/>
      <c r="Y17" s="66"/>
      <c r="Z17" s="88"/>
      <c r="AA17" s="88"/>
      <c r="AB17" s="86"/>
      <c r="AC17" s="68"/>
      <c r="AD17" s="68"/>
      <c r="AE17" s="1036"/>
      <c r="AF17" s="89"/>
      <c r="AG17" s="68"/>
    </row>
    <row r="18" spans="1:33">
      <c r="A18" s="25">
        <v>12</v>
      </c>
      <c r="B18" s="36" t="s">
        <v>463</v>
      </c>
      <c r="C18" s="990">
        <v>269</v>
      </c>
      <c r="D18" s="991">
        <v>269</v>
      </c>
      <c r="E18" s="991">
        <v>0</v>
      </c>
      <c r="F18" s="991">
        <v>0</v>
      </c>
      <c r="G18" s="552">
        <f>+C18+E18</f>
        <v>269</v>
      </c>
      <c r="H18" s="553">
        <f>+D18+F18</f>
        <v>269</v>
      </c>
      <c r="I18" s="986">
        <v>0</v>
      </c>
      <c r="J18" s="992">
        <v>0</v>
      </c>
      <c r="K18" s="990">
        <v>13</v>
      </c>
      <c r="L18" s="987">
        <v>0</v>
      </c>
      <c r="M18" s="1341"/>
      <c r="N18" s="988"/>
      <c r="O18" s="989">
        <v>0</v>
      </c>
      <c r="P18" s="555">
        <f>H18+O18</f>
        <v>269</v>
      </c>
      <c r="R18" s="29">
        <f t="shared" si="2"/>
        <v>11</v>
      </c>
      <c r="S18" s="36" t="s">
        <v>37</v>
      </c>
      <c r="T18" s="85">
        <v>54573</v>
      </c>
      <c r="U18" s="82">
        <v>54573</v>
      </c>
      <c r="V18" s="82">
        <v>0</v>
      </c>
      <c r="W18" s="82">
        <v>0</v>
      </c>
      <c r="X18" s="65">
        <v>54573</v>
      </c>
      <c r="Y18" s="66">
        <v>54573</v>
      </c>
      <c r="Z18" s="83">
        <v>0</v>
      </c>
      <c r="AA18" s="83">
        <v>0</v>
      </c>
      <c r="AB18" s="81">
        <v>310</v>
      </c>
      <c r="AC18" s="68">
        <v>0</v>
      </c>
      <c r="AD18" s="68"/>
      <c r="AE18" s="706"/>
      <c r="AF18" s="85">
        <v>0</v>
      </c>
      <c r="AG18" s="68">
        <v>54573</v>
      </c>
    </row>
    <row r="19" spans="1:33">
      <c r="A19" s="25">
        <f>+A18+1</f>
        <v>13</v>
      </c>
      <c r="B19" s="37"/>
      <c r="C19" s="990"/>
      <c r="D19" s="991"/>
      <c r="E19" s="991"/>
      <c r="F19" s="991"/>
      <c r="G19" s="552"/>
      <c r="H19" s="553"/>
      <c r="I19" s="992"/>
      <c r="J19" s="992"/>
      <c r="K19" s="990"/>
      <c r="L19" s="555"/>
      <c r="M19" s="1340"/>
      <c r="N19" s="968"/>
      <c r="O19" s="993"/>
      <c r="P19" s="555"/>
      <c r="R19" s="29">
        <f t="shared" si="2"/>
        <v>12</v>
      </c>
      <c r="S19" s="50" t="s">
        <v>38</v>
      </c>
      <c r="T19" s="85">
        <v>56970</v>
      </c>
      <c r="U19" s="82">
        <v>56970</v>
      </c>
      <c r="V19" s="82">
        <v>0</v>
      </c>
      <c r="W19" s="82">
        <v>0</v>
      </c>
      <c r="X19" s="65">
        <v>56970</v>
      </c>
      <c r="Y19" s="66">
        <v>56970</v>
      </c>
      <c r="Z19" s="83">
        <v>0</v>
      </c>
      <c r="AA19" s="83">
        <v>0</v>
      </c>
      <c r="AB19" s="81">
        <v>3177</v>
      </c>
      <c r="AC19" s="68">
        <v>0</v>
      </c>
      <c r="AD19" s="68"/>
      <c r="AE19" s="706"/>
      <c r="AF19" s="85">
        <v>0</v>
      </c>
      <c r="AG19" s="68">
        <v>56970</v>
      </c>
    </row>
    <row r="20" spans="1:33">
      <c r="A20" s="29">
        <f>A19+1</f>
        <v>14</v>
      </c>
      <c r="B20" s="681" t="s">
        <v>37</v>
      </c>
      <c r="C20" s="981">
        <v>54573</v>
      </c>
      <c r="D20" s="982">
        <v>54573</v>
      </c>
      <c r="E20" s="982">
        <v>0</v>
      </c>
      <c r="F20" s="982">
        <v>0</v>
      </c>
      <c r="G20" s="983">
        <f>+C20+E20</f>
        <v>54573</v>
      </c>
      <c r="H20" s="984">
        <f>+D20+F20</f>
        <v>54573</v>
      </c>
      <c r="I20" s="986">
        <v>0</v>
      </c>
      <c r="J20" s="986">
        <v>0</v>
      </c>
      <c r="K20" s="981">
        <v>310</v>
      </c>
      <c r="L20" s="987">
        <f>+G20-H20</f>
        <v>0</v>
      </c>
      <c r="M20" s="1341"/>
      <c r="N20" s="988"/>
      <c r="O20" s="989">
        <v>0</v>
      </c>
      <c r="P20" s="987">
        <f>H20+O20</f>
        <v>54573</v>
      </c>
      <c r="R20" s="25">
        <f t="shared" si="2"/>
        <v>13</v>
      </c>
      <c r="S20" s="37" t="s">
        <v>30</v>
      </c>
      <c r="T20" s="89"/>
      <c r="U20" s="87"/>
      <c r="V20" s="87"/>
      <c r="W20" s="87"/>
      <c r="X20" s="65"/>
      <c r="Y20" s="66"/>
      <c r="Z20" s="88"/>
      <c r="AA20" s="88"/>
      <c r="AB20" s="86"/>
      <c r="AC20" s="68"/>
      <c r="AD20" s="68"/>
      <c r="AE20" s="1036"/>
      <c r="AF20" s="89"/>
      <c r="AG20" s="68"/>
    </row>
    <row r="21" spans="1:33">
      <c r="A21" s="25">
        <v>15</v>
      </c>
      <c r="B21" s="682"/>
      <c r="C21" s="981"/>
      <c r="D21" s="982"/>
      <c r="E21" s="982"/>
      <c r="F21" s="982"/>
      <c r="G21" s="552"/>
      <c r="H21" s="553"/>
      <c r="I21" s="986"/>
      <c r="J21" s="986"/>
      <c r="K21" s="981"/>
      <c r="L21" s="555"/>
      <c r="M21" s="1340"/>
      <c r="N21" s="988"/>
      <c r="O21" s="989"/>
      <c r="P21" s="555"/>
      <c r="R21" s="24">
        <f t="shared" si="2"/>
        <v>14</v>
      </c>
      <c r="S21" s="38" t="s">
        <v>29</v>
      </c>
      <c r="T21" s="70">
        <v>134187</v>
      </c>
      <c r="U21" s="71">
        <v>133327</v>
      </c>
      <c r="V21" s="71">
        <v>305</v>
      </c>
      <c r="W21" s="71">
        <v>305</v>
      </c>
      <c r="X21" s="71">
        <v>134492</v>
      </c>
      <c r="Y21" s="72">
        <v>133632</v>
      </c>
      <c r="Z21" s="90">
        <v>0</v>
      </c>
      <c r="AA21" s="1252">
        <v>58269</v>
      </c>
      <c r="AB21" s="73">
        <v>1392</v>
      </c>
      <c r="AC21" s="74">
        <v>860</v>
      </c>
      <c r="AD21" s="74"/>
      <c r="AE21" s="1036"/>
      <c r="AF21" s="70">
        <v>0</v>
      </c>
      <c r="AG21" s="74">
        <v>133632</v>
      </c>
    </row>
    <row r="22" spans="1:33">
      <c r="A22" s="29">
        <v>16</v>
      </c>
      <c r="B22" s="682" t="s">
        <v>38</v>
      </c>
      <c r="C22" s="981">
        <f t="shared" ref="C22:H22" si="4">SUM(C23)</f>
        <v>56970</v>
      </c>
      <c r="D22" s="982">
        <f t="shared" si="4"/>
        <v>56970</v>
      </c>
      <c r="E22" s="982">
        <f t="shared" si="4"/>
        <v>0</v>
      </c>
      <c r="F22" s="982">
        <f>SUM(F23)</f>
        <v>0</v>
      </c>
      <c r="G22" s="983">
        <f t="shared" si="4"/>
        <v>56970</v>
      </c>
      <c r="H22" s="984">
        <f t="shared" si="4"/>
        <v>56970</v>
      </c>
      <c r="I22" s="986">
        <f>SUM(I23)</f>
        <v>0</v>
      </c>
      <c r="J22" s="986">
        <f>SUM(J23)</f>
        <v>0</v>
      </c>
      <c r="K22" s="981">
        <f>SUM(K23)</f>
        <v>3177</v>
      </c>
      <c r="L22" s="987">
        <f>SUM(L23)</f>
        <v>0</v>
      </c>
      <c r="M22" s="1341"/>
      <c r="N22" s="988"/>
      <c r="O22" s="989">
        <v>0</v>
      </c>
      <c r="P22" s="987">
        <f>SUM(H22+O22)</f>
        <v>56970</v>
      </c>
      <c r="R22" s="46">
        <f t="shared" si="2"/>
        <v>15</v>
      </c>
      <c r="S22" s="43" t="s">
        <v>53</v>
      </c>
      <c r="T22" s="59"/>
      <c r="U22" s="60"/>
      <c r="V22" s="60"/>
      <c r="W22" s="60"/>
      <c r="X22" s="60"/>
      <c r="Y22" s="61"/>
      <c r="Z22" s="78"/>
      <c r="AA22" s="78"/>
      <c r="AB22" s="62"/>
      <c r="AC22" s="63"/>
      <c r="AD22" s="63"/>
      <c r="AE22" s="1036"/>
      <c r="AF22" s="59"/>
      <c r="AG22" s="63"/>
    </row>
    <row r="23" spans="1:33">
      <c r="A23" s="25">
        <v>17</v>
      </c>
      <c r="B23" s="682" t="s">
        <v>464</v>
      </c>
      <c r="C23" s="990">
        <v>56970</v>
      </c>
      <c r="D23" s="991">
        <v>56970</v>
      </c>
      <c r="E23" s="991">
        <v>0</v>
      </c>
      <c r="F23" s="991">
        <v>0</v>
      </c>
      <c r="G23" s="552">
        <f>+C23+E23</f>
        <v>56970</v>
      </c>
      <c r="H23" s="553">
        <f>+D23+F23</f>
        <v>56970</v>
      </c>
      <c r="I23" s="992">
        <v>0</v>
      </c>
      <c r="J23" s="992">
        <v>0</v>
      </c>
      <c r="K23" s="990">
        <v>3177</v>
      </c>
      <c r="L23" s="555">
        <f>+G23-H23</f>
        <v>0</v>
      </c>
      <c r="M23" s="1340"/>
      <c r="N23" s="988"/>
      <c r="O23" s="993">
        <v>0</v>
      </c>
      <c r="P23" s="555">
        <f>H23+O23</f>
        <v>56970</v>
      </c>
      <c r="R23" s="25">
        <f t="shared" si="2"/>
        <v>16</v>
      </c>
      <c r="S23" s="37" t="s">
        <v>60</v>
      </c>
      <c r="T23" s="89"/>
      <c r="U23" s="87"/>
      <c r="V23" s="87"/>
      <c r="W23" s="87"/>
      <c r="X23" s="65"/>
      <c r="Y23" s="66"/>
      <c r="Z23" s="88"/>
      <c r="AA23" s="88"/>
      <c r="AB23" s="86"/>
      <c r="AC23" s="68"/>
      <c r="AD23" s="68"/>
      <c r="AE23" s="1036"/>
      <c r="AF23" s="89"/>
      <c r="AG23" s="68"/>
    </row>
    <row r="24" spans="1:33">
      <c r="A24" s="25">
        <v>18</v>
      </c>
      <c r="B24" s="682"/>
      <c r="C24" s="994"/>
      <c r="D24" s="995"/>
      <c r="E24" s="995"/>
      <c r="F24" s="995"/>
      <c r="G24" s="552"/>
      <c r="H24" s="553"/>
      <c r="I24" s="996"/>
      <c r="J24" s="996"/>
      <c r="K24" s="994"/>
      <c r="L24" s="555"/>
      <c r="M24" s="1340"/>
      <c r="N24" s="988"/>
      <c r="O24" s="997"/>
      <c r="P24" s="555"/>
      <c r="R24" s="46">
        <f t="shared" si="2"/>
        <v>17</v>
      </c>
      <c r="S24" s="47" t="s">
        <v>59</v>
      </c>
      <c r="T24" s="59">
        <v>25872</v>
      </c>
      <c r="U24" s="60">
        <v>25615</v>
      </c>
      <c r="V24" s="60">
        <v>0</v>
      </c>
      <c r="W24" s="60">
        <v>0</v>
      </c>
      <c r="X24" s="60">
        <v>25872</v>
      </c>
      <c r="Y24" s="61">
        <v>25615</v>
      </c>
      <c r="Z24" s="78">
        <v>0</v>
      </c>
      <c r="AA24" s="78">
        <v>3439</v>
      </c>
      <c r="AB24" s="62">
        <v>562</v>
      </c>
      <c r="AC24" s="63">
        <v>257</v>
      </c>
      <c r="AD24" s="63"/>
      <c r="AE24" s="1036"/>
      <c r="AF24" s="59">
        <v>0</v>
      </c>
      <c r="AG24" s="63">
        <v>25615</v>
      </c>
    </row>
    <row r="25" spans="1:33">
      <c r="A25" s="25">
        <v>19</v>
      </c>
      <c r="B25" s="682" t="s">
        <v>465</v>
      </c>
      <c r="C25" s="998">
        <v>820</v>
      </c>
      <c r="D25" s="999">
        <v>820</v>
      </c>
      <c r="E25" s="999">
        <v>0</v>
      </c>
      <c r="F25" s="999">
        <v>0</v>
      </c>
      <c r="G25" s="983">
        <f>SUM(C25)</f>
        <v>820</v>
      </c>
      <c r="H25" s="984">
        <f>SUM(D25)</f>
        <v>820</v>
      </c>
      <c r="I25" s="1000">
        <v>0</v>
      </c>
      <c r="J25" s="1000">
        <v>240</v>
      </c>
      <c r="K25" s="998">
        <v>0</v>
      </c>
      <c r="L25" s="987">
        <v>0</v>
      </c>
      <c r="M25" s="1341"/>
      <c r="N25" s="988"/>
      <c r="O25" s="1001">
        <v>0</v>
      </c>
      <c r="P25" s="987">
        <f>SUM(O25+H25)</f>
        <v>820</v>
      </c>
      <c r="R25" s="25">
        <f t="shared" si="2"/>
        <v>18</v>
      </c>
      <c r="S25" s="37" t="s">
        <v>60</v>
      </c>
      <c r="T25" s="89"/>
      <c r="U25" s="87"/>
      <c r="V25" s="87"/>
      <c r="W25" s="87"/>
      <c r="X25" s="65"/>
      <c r="Y25" s="66"/>
      <c r="Z25" s="88"/>
      <c r="AA25" s="88"/>
      <c r="AB25" s="86"/>
      <c r="AC25" s="68"/>
      <c r="AD25" s="68"/>
      <c r="AE25" s="1036"/>
      <c r="AF25" s="89"/>
      <c r="AG25" s="68"/>
    </row>
    <row r="26" spans="1:33">
      <c r="A26" s="25">
        <v>20</v>
      </c>
      <c r="B26" s="1002" t="s">
        <v>466</v>
      </c>
      <c r="C26" s="994"/>
      <c r="D26" s="995"/>
      <c r="E26" s="995"/>
      <c r="F26" s="995"/>
      <c r="G26" s="552"/>
      <c r="H26" s="553"/>
      <c r="I26" s="996"/>
      <c r="J26" s="996"/>
      <c r="K26" s="994"/>
      <c r="L26" s="555"/>
      <c r="M26" s="1340"/>
      <c r="N26" s="968"/>
      <c r="O26" s="997"/>
      <c r="P26" s="555"/>
      <c r="R26" s="46">
        <f t="shared" si="2"/>
        <v>19</v>
      </c>
      <c r="S26" s="47" t="s">
        <v>54</v>
      </c>
      <c r="T26" s="59">
        <v>88049</v>
      </c>
      <c r="U26" s="60">
        <v>87749</v>
      </c>
      <c r="V26" s="60">
        <v>0</v>
      </c>
      <c r="W26" s="60">
        <v>0</v>
      </c>
      <c r="X26" s="60">
        <v>88049</v>
      </c>
      <c r="Y26" s="61">
        <v>87749</v>
      </c>
      <c r="Z26" s="78">
        <v>0</v>
      </c>
      <c r="AA26" s="78">
        <v>53547</v>
      </c>
      <c r="AB26" s="62">
        <v>479</v>
      </c>
      <c r="AC26" s="63">
        <v>300</v>
      </c>
      <c r="AD26" s="63"/>
      <c r="AE26" s="1036"/>
      <c r="AF26" s="59">
        <v>0</v>
      </c>
      <c r="AG26" s="63">
        <v>87749</v>
      </c>
    </row>
    <row r="27" spans="1:33">
      <c r="A27" s="24">
        <f>+A26+1</f>
        <v>21</v>
      </c>
      <c r="B27" s="38" t="s">
        <v>29</v>
      </c>
      <c r="C27" s="1003">
        <f>SUM(C28:C31)</f>
        <v>134187</v>
      </c>
      <c r="D27" s="1004">
        <f>SUM(D28:D31)</f>
        <v>133327</v>
      </c>
      <c r="E27" s="1004">
        <f>SUM(E28:E31)</f>
        <v>305</v>
      </c>
      <c r="F27" s="1004">
        <f>SUM(F28:F31)</f>
        <v>305</v>
      </c>
      <c r="G27" s="1004">
        <f t="shared" ref="G27:H31" si="5">SUM(C27+E27)</f>
        <v>134492</v>
      </c>
      <c r="H27" s="1005">
        <f t="shared" si="5"/>
        <v>133632</v>
      </c>
      <c r="I27" s="1006">
        <f>SUM(I28:I31)</f>
        <v>0</v>
      </c>
      <c r="J27" s="1006">
        <f>SUM(J28:J31)</f>
        <v>58269</v>
      </c>
      <c r="K27" s="1007">
        <f>SUM(K28:K31)</f>
        <v>1392</v>
      </c>
      <c r="L27" s="1008">
        <f>SUM(L28:L31)</f>
        <v>860</v>
      </c>
      <c r="M27" s="1338"/>
      <c r="N27" s="968"/>
      <c r="O27" s="1009">
        <v>0</v>
      </c>
      <c r="P27" s="1008">
        <f>SUM(P28:P31)</f>
        <v>133632</v>
      </c>
      <c r="R27" s="25">
        <f t="shared" si="2"/>
        <v>20</v>
      </c>
      <c r="S27" s="37" t="s">
        <v>60</v>
      </c>
      <c r="T27" s="94"/>
      <c r="U27" s="92"/>
      <c r="V27" s="92"/>
      <c r="W27" s="92"/>
      <c r="X27" s="65"/>
      <c r="Y27" s="66"/>
      <c r="Z27" s="93"/>
      <c r="AA27" s="93"/>
      <c r="AB27" s="91"/>
      <c r="AC27" s="68"/>
      <c r="AD27" s="68"/>
      <c r="AE27" s="1036"/>
      <c r="AF27" s="94"/>
      <c r="AG27" s="68"/>
    </row>
    <row r="28" spans="1:33">
      <c r="A28" s="21">
        <f>+A27+1</f>
        <v>22</v>
      </c>
      <c r="B28" s="1010" t="s">
        <v>467</v>
      </c>
      <c r="C28" s="1011">
        <v>25872</v>
      </c>
      <c r="D28" s="1011">
        <v>25615</v>
      </c>
      <c r="E28" s="1011">
        <v>0</v>
      </c>
      <c r="F28" s="1011">
        <v>0</v>
      </c>
      <c r="G28" s="1011">
        <f t="shared" si="5"/>
        <v>25872</v>
      </c>
      <c r="H28" s="1012">
        <f t="shared" si="5"/>
        <v>25615</v>
      </c>
      <c r="I28" s="1013">
        <v>0</v>
      </c>
      <c r="J28" s="1013">
        <v>3439</v>
      </c>
      <c r="K28" s="1014">
        <v>562</v>
      </c>
      <c r="L28" s="1015">
        <f>SUM(G28-H28)</f>
        <v>257</v>
      </c>
      <c r="M28" s="1342"/>
      <c r="N28" s="968"/>
      <c r="O28" s="1016">
        <v>0</v>
      </c>
      <c r="P28" s="1015">
        <f>H28+O28</f>
        <v>25615</v>
      </c>
      <c r="R28" s="24">
        <f t="shared" si="2"/>
        <v>21</v>
      </c>
      <c r="S28" s="38" t="s">
        <v>27</v>
      </c>
      <c r="T28" s="70">
        <v>2030</v>
      </c>
      <c r="U28" s="71">
        <v>1830</v>
      </c>
      <c r="V28" s="71">
        <v>480</v>
      </c>
      <c r="W28" s="71">
        <v>480</v>
      </c>
      <c r="X28" s="71">
        <v>2510</v>
      </c>
      <c r="Y28" s="72">
        <v>2310</v>
      </c>
      <c r="Z28" s="90">
        <v>0</v>
      </c>
      <c r="AA28" s="90">
        <v>0</v>
      </c>
      <c r="AB28" s="73">
        <v>0</v>
      </c>
      <c r="AC28" s="74">
        <v>200</v>
      </c>
      <c r="AD28" s="74"/>
      <c r="AE28" s="1036"/>
      <c r="AF28" s="70">
        <v>0</v>
      </c>
      <c r="AG28" s="74">
        <v>2310</v>
      </c>
    </row>
    <row r="29" spans="1:33">
      <c r="A29" s="25">
        <v>23</v>
      </c>
      <c r="B29" s="1017" t="s">
        <v>468</v>
      </c>
      <c r="C29" s="990">
        <v>88049</v>
      </c>
      <c r="D29" s="991">
        <v>87749</v>
      </c>
      <c r="E29" s="991">
        <v>0</v>
      </c>
      <c r="F29" s="991">
        <v>0</v>
      </c>
      <c r="G29" s="552">
        <f t="shared" si="5"/>
        <v>88049</v>
      </c>
      <c r="H29" s="553">
        <f t="shared" si="5"/>
        <v>87749</v>
      </c>
      <c r="I29" s="992">
        <v>0</v>
      </c>
      <c r="J29" s="992">
        <v>53547</v>
      </c>
      <c r="K29" s="990">
        <v>479</v>
      </c>
      <c r="L29" s="555">
        <f>SUM(G29-H29)</f>
        <v>300</v>
      </c>
      <c r="M29" s="1340"/>
      <c r="N29" s="968"/>
      <c r="O29" s="993">
        <v>0</v>
      </c>
      <c r="P29" s="555">
        <f>SUM(H29+O29)</f>
        <v>87749</v>
      </c>
      <c r="R29" s="29">
        <f t="shared" si="2"/>
        <v>22</v>
      </c>
      <c r="S29" s="43" t="s">
        <v>34</v>
      </c>
      <c r="T29" s="59"/>
      <c r="U29" s="60"/>
      <c r="V29" s="60"/>
      <c r="W29" s="60"/>
      <c r="X29" s="60"/>
      <c r="Y29" s="61"/>
      <c r="Z29" s="78"/>
      <c r="AA29" s="78"/>
      <c r="AB29" s="62"/>
      <c r="AC29" s="63"/>
      <c r="AD29" s="63"/>
      <c r="AE29" s="1036"/>
      <c r="AF29" s="59"/>
      <c r="AG29" s="63"/>
    </row>
    <row r="30" spans="1:33">
      <c r="A30" s="25">
        <v>24</v>
      </c>
      <c r="B30" s="1017" t="s">
        <v>469</v>
      </c>
      <c r="C30" s="990">
        <v>16006</v>
      </c>
      <c r="D30" s="991">
        <v>15703</v>
      </c>
      <c r="E30" s="991">
        <v>305</v>
      </c>
      <c r="F30" s="991">
        <v>305</v>
      </c>
      <c r="G30" s="552">
        <f t="shared" si="5"/>
        <v>16311</v>
      </c>
      <c r="H30" s="553">
        <f t="shared" si="5"/>
        <v>16008</v>
      </c>
      <c r="I30" s="992">
        <v>0</v>
      </c>
      <c r="J30" s="992">
        <v>1283</v>
      </c>
      <c r="K30" s="990">
        <v>351</v>
      </c>
      <c r="L30" s="555">
        <f>SUM(G30-H30)</f>
        <v>303</v>
      </c>
      <c r="M30" s="1340"/>
      <c r="N30" s="968"/>
      <c r="O30" s="993">
        <v>0</v>
      </c>
      <c r="P30" s="555">
        <f>SUM(H30+O30)</f>
        <v>16008</v>
      </c>
      <c r="R30" s="25">
        <f t="shared" si="2"/>
        <v>23</v>
      </c>
      <c r="S30" s="37" t="s">
        <v>60</v>
      </c>
      <c r="T30" s="94"/>
      <c r="U30" s="92"/>
      <c r="V30" s="92"/>
      <c r="W30" s="92"/>
      <c r="X30" s="65"/>
      <c r="Y30" s="66"/>
      <c r="Z30" s="93"/>
      <c r="AA30" s="93"/>
      <c r="AB30" s="91"/>
      <c r="AC30" s="68"/>
      <c r="AD30" s="68"/>
      <c r="AE30" s="1036"/>
      <c r="AF30" s="94"/>
      <c r="AG30" s="68"/>
    </row>
    <row r="31" spans="1:33">
      <c r="A31" s="21">
        <v>25</v>
      </c>
      <c r="B31" s="1018" t="s">
        <v>470</v>
      </c>
      <c r="C31" s="1011">
        <v>4260</v>
      </c>
      <c r="D31" s="1011">
        <v>4260</v>
      </c>
      <c r="E31" s="1011">
        <v>0</v>
      </c>
      <c r="F31" s="1011">
        <v>0</v>
      </c>
      <c r="G31" s="1011">
        <f t="shared" si="5"/>
        <v>4260</v>
      </c>
      <c r="H31" s="1012">
        <f t="shared" si="5"/>
        <v>4260</v>
      </c>
      <c r="I31" s="1013">
        <v>0</v>
      </c>
      <c r="J31" s="1013">
        <v>0</v>
      </c>
      <c r="K31" s="1014">
        <v>0</v>
      </c>
      <c r="L31" s="1015">
        <f>SUM(G31-H31)</f>
        <v>0</v>
      </c>
      <c r="M31" s="1342"/>
      <c r="N31" s="968"/>
      <c r="O31" s="1016">
        <v>0</v>
      </c>
      <c r="P31" s="1015">
        <f>H31+O31</f>
        <v>4260</v>
      </c>
      <c r="R31" s="24">
        <f t="shared" si="2"/>
        <v>24</v>
      </c>
      <c r="S31" s="38" t="s">
        <v>32</v>
      </c>
      <c r="T31" s="70">
        <v>40826</v>
      </c>
      <c r="U31" s="71">
        <v>40826</v>
      </c>
      <c r="V31" s="71">
        <v>749</v>
      </c>
      <c r="W31" s="71">
        <v>749</v>
      </c>
      <c r="X31" s="71">
        <v>41575</v>
      </c>
      <c r="Y31" s="72">
        <v>41575</v>
      </c>
      <c r="Z31" s="90">
        <v>0</v>
      </c>
      <c r="AA31" s="90">
        <v>183</v>
      </c>
      <c r="AB31" s="73">
        <v>0</v>
      </c>
      <c r="AC31" s="74">
        <v>0</v>
      </c>
      <c r="AD31" s="74"/>
      <c r="AE31" s="1036"/>
      <c r="AF31" s="70">
        <v>0</v>
      </c>
      <c r="AG31" s="74">
        <v>41575</v>
      </c>
    </row>
    <row r="32" spans="1:33">
      <c r="A32" s="25">
        <v>26</v>
      </c>
      <c r="B32" s="37"/>
      <c r="C32" s="994"/>
      <c r="D32" s="995"/>
      <c r="E32" s="995"/>
      <c r="F32" s="995"/>
      <c r="G32" s="552"/>
      <c r="H32" s="553"/>
      <c r="I32" s="996"/>
      <c r="J32" s="996"/>
      <c r="K32" s="994"/>
      <c r="L32" s="555"/>
      <c r="M32" s="1340"/>
      <c r="N32" s="968"/>
      <c r="O32" s="997"/>
      <c r="P32" s="555"/>
      <c r="R32" s="46">
        <f t="shared" si="2"/>
        <v>25</v>
      </c>
      <c r="S32" s="47" t="s">
        <v>39</v>
      </c>
      <c r="T32" s="59"/>
      <c r="U32" s="60"/>
      <c r="V32" s="60"/>
      <c r="W32" s="60"/>
      <c r="X32" s="60"/>
      <c r="Y32" s="61"/>
      <c r="Z32" s="78"/>
      <c r="AA32" s="78"/>
      <c r="AB32" s="62"/>
      <c r="AC32" s="63"/>
      <c r="AD32" s="63"/>
      <c r="AE32" s="1036"/>
      <c r="AF32" s="59"/>
      <c r="AG32" s="63"/>
    </row>
    <row r="33" spans="1:33" ht="15.75" thickBot="1">
      <c r="A33" s="24">
        <f>+A32+1</f>
        <v>27</v>
      </c>
      <c r="B33" s="38" t="s">
        <v>27</v>
      </c>
      <c r="C33" s="1003">
        <f>SUM(C34+C35)</f>
        <v>2030</v>
      </c>
      <c r="D33" s="1004">
        <f>SUM(D34+D35)</f>
        <v>1830</v>
      </c>
      <c r="E33" s="1004">
        <f>SUM(E34+E35)</f>
        <v>480</v>
      </c>
      <c r="F33" s="1004">
        <f>SUM(F34+F35)</f>
        <v>480</v>
      </c>
      <c r="G33" s="1004">
        <f>SUM(C33+E33)</f>
        <v>2510</v>
      </c>
      <c r="H33" s="1005">
        <f>SUM(D33+F33)</f>
        <v>2310</v>
      </c>
      <c r="I33" s="1006">
        <v>0</v>
      </c>
      <c r="J33" s="1006">
        <v>0</v>
      </c>
      <c r="K33" s="1007">
        <v>0</v>
      </c>
      <c r="L33" s="1008">
        <f>SUM(G33-H33)</f>
        <v>200</v>
      </c>
      <c r="M33" s="1338"/>
      <c r="N33" s="968"/>
      <c r="O33" s="1003">
        <v>0</v>
      </c>
      <c r="P33" s="1008">
        <f>SUM(H33+O33)</f>
        <v>2310</v>
      </c>
      <c r="R33" s="25">
        <f t="shared" si="2"/>
        <v>26</v>
      </c>
      <c r="S33" s="37" t="s">
        <v>60</v>
      </c>
      <c r="T33" s="89"/>
      <c r="U33" s="87"/>
      <c r="V33" s="87"/>
      <c r="W33" s="87"/>
      <c r="X33" s="65"/>
      <c r="Y33" s="66"/>
      <c r="Z33" s="88"/>
      <c r="AA33" s="88"/>
      <c r="AB33" s="86"/>
      <c r="AC33" s="68"/>
      <c r="AD33" s="68"/>
      <c r="AE33" s="1036"/>
      <c r="AF33" s="89"/>
      <c r="AG33" s="68"/>
    </row>
    <row r="34" spans="1:33" ht="15.75" thickBot="1">
      <c r="A34" s="25">
        <f>+A33+1</f>
        <v>28</v>
      </c>
      <c r="B34" s="1010" t="s">
        <v>471</v>
      </c>
      <c r="C34" s="1011">
        <v>2030</v>
      </c>
      <c r="D34" s="1011">
        <v>1830</v>
      </c>
      <c r="E34" s="1011">
        <v>480</v>
      </c>
      <c r="F34" s="1011">
        <v>480</v>
      </c>
      <c r="G34" s="1011">
        <f>SUM(C34+E34)</f>
        <v>2510</v>
      </c>
      <c r="H34" s="1012">
        <f>SUM(D34+F34)</f>
        <v>2310</v>
      </c>
      <c r="I34" s="1013">
        <f t="shared" ref="I34:O34" si="6">+I36</f>
        <v>0</v>
      </c>
      <c r="J34" s="1013">
        <f t="shared" si="6"/>
        <v>0</v>
      </c>
      <c r="K34" s="1014">
        <f t="shared" si="6"/>
        <v>0</v>
      </c>
      <c r="L34" s="1015">
        <f>SUM(G34-H34)</f>
        <v>200</v>
      </c>
      <c r="M34" s="1342"/>
      <c r="N34" s="968"/>
      <c r="O34" s="1016">
        <f t="shared" si="6"/>
        <v>0</v>
      </c>
      <c r="P34" s="1015">
        <f>H34+O34</f>
        <v>2310</v>
      </c>
      <c r="R34" s="31">
        <f t="shared" si="2"/>
        <v>27</v>
      </c>
      <c r="S34" s="39" t="s">
        <v>23</v>
      </c>
      <c r="T34" s="95">
        <v>681594</v>
      </c>
      <c r="U34" s="96">
        <v>680534</v>
      </c>
      <c r="V34" s="96">
        <v>5652</v>
      </c>
      <c r="W34" s="96">
        <v>5652</v>
      </c>
      <c r="X34" s="96">
        <v>687246</v>
      </c>
      <c r="Y34" s="97">
        <v>686186</v>
      </c>
      <c r="Z34" s="98">
        <v>0</v>
      </c>
      <c r="AA34" s="98">
        <v>99652</v>
      </c>
      <c r="AB34" s="99">
        <v>17204</v>
      </c>
      <c r="AC34" s="100">
        <v>1060</v>
      </c>
      <c r="AD34" s="100"/>
      <c r="AE34" s="101"/>
      <c r="AF34" s="95">
        <v>0</v>
      </c>
      <c r="AG34" s="100">
        <v>686186</v>
      </c>
    </row>
    <row r="35" spans="1:33">
      <c r="A35" s="25">
        <v>29</v>
      </c>
      <c r="B35" s="1010"/>
      <c r="C35" s="1334"/>
      <c r="D35" s="1335"/>
      <c r="E35" s="1335"/>
      <c r="F35" s="1335"/>
      <c r="G35" s="1011"/>
      <c r="H35" s="1012"/>
      <c r="I35" s="1336"/>
      <c r="J35" s="1336"/>
      <c r="K35" s="1334"/>
      <c r="L35" s="1015"/>
      <c r="M35" s="1342"/>
      <c r="N35" s="968"/>
      <c r="O35" s="1337"/>
      <c r="P35" s="1015"/>
    </row>
    <row r="36" spans="1:33">
      <c r="A36" s="25">
        <v>30</v>
      </c>
      <c r="B36" s="155"/>
      <c r="C36" s="994"/>
      <c r="D36" s="995"/>
      <c r="E36" s="995"/>
      <c r="F36" s="995"/>
      <c r="G36" s="552"/>
      <c r="H36" s="553"/>
      <c r="I36" s="996"/>
      <c r="J36" s="996"/>
      <c r="K36" s="994"/>
      <c r="L36" s="555"/>
      <c r="M36" s="1340"/>
      <c r="N36" s="968"/>
      <c r="O36" s="997"/>
      <c r="P36" s="555"/>
    </row>
    <row r="37" spans="1:33">
      <c r="A37" s="24">
        <f>+A36+1</f>
        <v>31</v>
      </c>
      <c r="B37" s="38" t="s">
        <v>32</v>
      </c>
      <c r="C37" s="1003">
        <f>SUM(C38:C41)</f>
        <v>40826</v>
      </c>
      <c r="D37" s="1004">
        <f>SUM(D38:D41)</f>
        <v>40826</v>
      </c>
      <c r="E37" s="1004">
        <f>SUM(E38:E41)</f>
        <v>749</v>
      </c>
      <c r="F37" s="1004">
        <f>SUM(F38:F41)</f>
        <v>749</v>
      </c>
      <c r="G37" s="1004">
        <f t="shared" ref="G37:H41" si="7">SUM(C37+E37)</f>
        <v>41575</v>
      </c>
      <c r="H37" s="1005">
        <f t="shared" si="7"/>
        <v>41575</v>
      </c>
      <c r="I37" s="1006">
        <v>0</v>
      </c>
      <c r="J37" s="1006">
        <f>SUM(J38+J39+J40+J41)</f>
        <v>183</v>
      </c>
      <c r="K37" s="1007">
        <v>0</v>
      </c>
      <c r="L37" s="1008">
        <v>0</v>
      </c>
      <c r="M37" s="1338"/>
      <c r="N37" s="968"/>
      <c r="O37" s="1003">
        <v>0</v>
      </c>
      <c r="P37" s="1008">
        <f>SUM(H37+O37)</f>
        <v>41575</v>
      </c>
    </row>
    <row r="38" spans="1:33">
      <c r="A38" s="21">
        <f>+A37+1</f>
        <v>32</v>
      </c>
      <c r="B38" s="1018" t="s">
        <v>472</v>
      </c>
      <c r="C38" s="1011">
        <v>24490</v>
      </c>
      <c r="D38" s="1011">
        <v>24490</v>
      </c>
      <c r="E38" s="1011">
        <v>0</v>
      </c>
      <c r="F38" s="1011">
        <v>0</v>
      </c>
      <c r="G38" s="1011">
        <f t="shared" si="7"/>
        <v>24490</v>
      </c>
      <c r="H38" s="1012">
        <f t="shared" si="7"/>
        <v>24490</v>
      </c>
      <c r="I38" s="1013">
        <f t="shared" ref="I38:O38" si="8">+I41</f>
        <v>0</v>
      </c>
      <c r="J38" s="1013">
        <v>0</v>
      </c>
      <c r="K38" s="1014">
        <f t="shared" si="8"/>
        <v>0</v>
      </c>
      <c r="L38" s="1015">
        <f t="shared" si="8"/>
        <v>0</v>
      </c>
      <c r="M38" s="1342"/>
      <c r="N38" s="968"/>
      <c r="O38" s="1016">
        <f t="shared" si="8"/>
        <v>0</v>
      </c>
      <c r="P38" s="1015">
        <f>H38+O38</f>
        <v>24490</v>
      </c>
    </row>
    <row r="39" spans="1:33">
      <c r="A39" s="21">
        <v>33</v>
      </c>
      <c r="B39" s="1018" t="s">
        <v>473</v>
      </c>
      <c r="C39" s="1014">
        <v>6683</v>
      </c>
      <c r="D39" s="1011">
        <v>6683</v>
      </c>
      <c r="E39" s="1011">
        <v>0</v>
      </c>
      <c r="F39" s="1011">
        <v>0</v>
      </c>
      <c r="G39" s="1011">
        <f t="shared" si="7"/>
        <v>6683</v>
      </c>
      <c r="H39" s="1012">
        <f t="shared" si="7"/>
        <v>6683</v>
      </c>
      <c r="I39" s="1013">
        <v>0</v>
      </c>
      <c r="J39" s="1013">
        <v>0</v>
      </c>
      <c r="K39" s="1014">
        <v>0</v>
      </c>
      <c r="L39" s="1015">
        <v>0</v>
      </c>
      <c r="M39" s="1342"/>
      <c r="N39" s="968"/>
      <c r="O39" s="1016">
        <v>0</v>
      </c>
      <c r="P39" s="1015">
        <f>SUM(H39+O39)</f>
        <v>6683</v>
      </c>
    </row>
    <row r="40" spans="1:33">
      <c r="A40" s="21">
        <v>34</v>
      </c>
      <c r="B40" s="1018" t="s">
        <v>474</v>
      </c>
      <c r="C40" s="1014">
        <v>577</v>
      </c>
      <c r="D40" s="1011">
        <v>577</v>
      </c>
      <c r="E40" s="1011">
        <v>0</v>
      </c>
      <c r="F40" s="1011">
        <v>0</v>
      </c>
      <c r="G40" s="1011">
        <f t="shared" si="7"/>
        <v>577</v>
      </c>
      <c r="H40" s="1012">
        <f t="shared" si="7"/>
        <v>577</v>
      </c>
      <c r="I40" s="1013">
        <v>0</v>
      </c>
      <c r="J40" s="1013">
        <v>0</v>
      </c>
      <c r="K40" s="1014">
        <v>0</v>
      </c>
      <c r="L40" s="1015">
        <v>0</v>
      </c>
      <c r="M40" s="1342"/>
      <c r="N40" s="968"/>
      <c r="O40" s="1016">
        <v>0</v>
      </c>
      <c r="P40" s="1015">
        <v>337</v>
      </c>
    </row>
    <row r="41" spans="1:33" ht="15.75" thickBot="1">
      <c r="A41" s="25">
        <v>35</v>
      </c>
      <c r="B41" s="194" t="s">
        <v>475</v>
      </c>
      <c r="C41" s="990">
        <v>9076</v>
      </c>
      <c r="D41" s="991">
        <v>9076</v>
      </c>
      <c r="E41" s="991">
        <v>749</v>
      </c>
      <c r="F41" s="991">
        <v>749</v>
      </c>
      <c r="G41" s="552">
        <f t="shared" si="7"/>
        <v>9825</v>
      </c>
      <c r="H41" s="553">
        <f t="shared" si="7"/>
        <v>9825</v>
      </c>
      <c r="I41" s="992">
        <v>0</v>
      </c>
      <c r="J41" s="992">
        <v>183</v>
      </c>
      <c r="K41" s="990">
        <v>0</v>
      </c>
      <c r="L41" s="555">
        <v>0</v>
      </c>
      <c r="M41" s="1340"/>
      <c r="N41" s="968"/>
      <c r="O41" s="993">
        <v>0</v>
      </c>
      <c r="P41" s="555">
        <f>SUM(H41)</f>
        <v>9825</v>
      </c>
    </row>
    <row r="42" spans="1:33" ht="15.75" thickBot="1">
      <c r="A42" s="31">
        <f>+A41+1</f>
        <v>36</v>
      </c>
      <c r="B42" s="39" t="s">
        <v>23</v>
      </c>
      <c r="C42" s="1019">
        <f t="shared" ref="C42:L42" si="9">+C7+C27+C33+C37</f>
        <v>681594</v>
      </c>
      <c r="D42" s="1020">
        <f t="shared" si="9"/>
        <v>680534</v>
      </c>
      <c r="E42" s="1020">
        <f t="shared" si="9"/>
        <v>5652</v>
      </c>
      <c r="F42" s="1020">
        <f t="shared" si="9"/>
        <v>5652</v>
      </c>
      <c r="G42" s="1020">
        <f t="shared" si="9"/>
        <v>687246</v>
      </c>
      <c r="H42" s="1021">
        <f t="shared" si="9"/>
        <v>686186</v>
      </c>
      <c r="I42" s="1022">
        <f t="shared" si="9"/>
        <v>0</v>
      </c>
      <c r="J42" s="1022">
        <f t="shared" si="9"/>
        <v>99652</v>
      </c>
      <c r="K42" s="1023">
        <f t="shared" si="9"/>
        <v>17204</v>
      </c>
      <c r="L42" s="1024">
        <f t="shared" si="9"/>
        <v>1060</v>
      </c>
      <c r="M42" s="1343"/>
      <c r="N42" s="495"/>
      <c r="O42" s="1025">
        <f>+O7+O27+O33+O37</f>
        <v>0</v>
      </c>
      <c r="P42" s="1024">
        <f>SUM(H42)</f>
        <v>686186</v>
      </c>
    </row>
  </sheetData>
  <mergeCells count="23">
    <mergeCell ref="A4:A6"/>
    <mergeCell ref="B4:B6"/>
    <mergeCell ref="C4:D4"/>
    <mergeCell ref="E4:F4"/>
    <mergeCell ref="G4:H4"/>
    <mergeCell ref="I4:I5"/>
    <mergeCell ref="AA4:AA5"/>
    <mergeCell ref="AB4:AB5"/>
    <mergeCell ref="J4:J5"/>
    <mergeCell ref="K4:K5"/>
    <mergeCell ref="L4:L5"/>
    <mergeCell ref="O4:O5"/>
    <mergeCell ref="P4:P5"/>
    <mergeCell ref="AC4:AC5"/>
    <mergeCell ref="AD4:AD5"/>
    <mergeCell ref="AF4:AF5"/>
    <mergeCell ref="AG4:AG5"/>
    <mergeCell ref="R4:R6"/>
    <mergeCell ref="S4:S6"/>
    <mergeCell ref="T4:U4"/>
    <mergeCell ref="V4:W4"/>
    <mergeCell ref="X4:Y4"/>
    <mergeCell ref="Z4:Z5"/>
  </mergeCells>
  <pageMargins left="0.7" right="0.7" top="0.78740157499999996" bottom="0.78740157499999996"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AG43"/>
  <sheetViews>
    <sheetView zoomScale="85" zoomScaleNormal="85" workbookViewId="0">
      <selection activeCell="D40" sqref="D40"/>
    </sheetView>
  </sheetViews>
  <sheetFormatPr defaultRowHeight="15"/>
  <cols>
    <col min="1" max="1" width="9.42578125" customWidth="1"/>
    <col min="2" max="2" width="59.140625" customWidth="1"/>
    <col min="3" max="3" width="12.7109375" customWidth="1"/>
    <col min="4" max="4" width="11.5703125" customWidth="1"/>
    <col min="5" max="5" width="11.28515625" customWidth="1"/>
    <col min="6" max="6" width="11.5703125" customWidth="1"/>
    <col min="7" max="7" width="10.85546875" customWidth="1"/>
    <col min="8" max="9" width="10.42578125" customWidth="1"/>
    <col min="10" max="10" width="12.5703125" customWidth="1"/>
    <col min="11" max="11" width="10.5703125" customWidth="1"/>
    <col min="12" max="12" width="14" customWidth="1"/>
    <col min="13" max="13" width="12.42578125" customWidth="1"/>
    <col min="14" max="14" width="1.7109375" customWidth="1"/>
    <col min="15" max="15" width="11" customWidth="1"/>
    <col min="16" max="16" width="10.85546875" customWidth="1"/>
    <col min="18" max="18" width="9.42578125" hidden="1" customWidth="1"/>
    <col min="19" max="19" width="45.85546875" hidden="1" customWidth="1"/>
    <col min="20" max="20" width="12.7109375" hidden="1" customWidth="1"/>
    <col min="21" max="21" width="11.5703125" hidden="1" customWidth="1"/>
    <col min="22" max="22" width="11.28515625" hidden="1" customWidth="1"/>
    <col min="23" max="23" width="11.5703125" hidden="1" customWidth="1"/>
    <col min="24" max="25" width="12.140625" hidden="1" customWidth="1"/>
    <col min="26" max="26" width="10.42578125" hidden="1" customWidth="1"/>
    <col min="27" max="27" width="12.5703125" hidden="1" customWidth="1"/>
    <col min="28" max="28" width="10.5703125" hidden="1" customWidth="1"/>
    <col min="29" max="29" width="14" hidden="1" customWidth="1"/>
    <col min="30" max="30" width="12.42578125" hidden="1" customWidth="1"/>
    <col min="31" max="31" width="1.7109375" hidden="1" customWidth="1"/>
    <col min="32" max="32" width="11" hidden="1" customWidth="1"/>
    <col min="33" max="33" width="10.85546875" hidden="1" customWidth="1"/>
  </cols>
  <sheetData>
    <row r="1" spans="1:33" ht="15.75">
      <c r="A1" s="102" t="s">
        <v>476</v>
      </c>
      <c r="B1" s="28"/>
      <c r="C1" s="20"/>
      <c r="D1" s="20"/>
      <c r="E1" s="20"/>
      <c r="F1" s="20"/>
      <c r="G1" s="20"/>
      <c r="H1" s="20"/>
      <c r="I1" s="20"/>
      <c r="J1" s="20"/>
      <c r="K1" s="20"/>
      <c r="L1" s="20"/>
      <c r="M1" s="20"/>
      <c r="N1" s="22"/>
      <c r="O1" s="20"/>
      <c r="P1" s="20"/>
    </row>
    <row r="2" spans="1:33" ht="15.75">
      <c r="A2" s="3"/>
      <c r="B2" s="2" t="s">
        <v>43</v>
      </c>
      <c r="C2" s="20"/>
      <c r="D2" s="20"/>
      <c r="E2" s="20"/>
      <c r="F2" s="20"/>
      <c r="G2" s="20"/>
      <c r="H2" s="20"/>
      <c r="I2" s="20"/>
      <c r="J2" s="20"/>
      <c r="K2" s="20"/>
      <c r="L2" s="20"/>
      <c r="M2" s="20"/>
      <c r="N2" s="22"/>
      <c r="O2" s="20"/>
      <c r="P2" s="20"/>
    </row>
    <row r="3" spans="1:33" ht="16.5" thickBot="1">
      <c r="A3" s="20"/>
      <c r="B3" s="19"/>
      <c r="C3" s="20"/>
      <c r="D3" s="20"/>
      <c r="E3" s="20"/>
      <c r="F3" s="20"/>
      <c r="G3" s="20"/>
      <c r="H3" s="20"/>
      <c r="I3" s="20"/>
      <c r="J3" s="20"/>
      <c r="K3" s="20"/>
      <c r="L3" s="20"/>
      <c r="M3" s="20"/>
      <c r="N3" s="22"/>
      <c r="O3" s="20"/>
      <c r="P3" s="23" t="s">
        <v>2</v>
      </c>
    </row>
    <row r="4" spans="1:33" ht="15" customHeight="1">
      <c r="A4" s="1357" t="s">
        <v>1</v>
      </c>
      <c r="B4" s="1354" t="s">
        <v>46</v>
      </c>
      <c r="C4" s="1394" t="s">
        <v>18</v>
      </c>
      <c r="D4" s="1361"/>
      <c r="E4" s="1361" t="s">
        <v>19</v>
      </c>
      <c r="F4" s="1361"/>
      <c r="G4" s="1364" t="s">
        <v>20</v>
      </c>
      <c r="H4" s="1365"/>
      <c r="I4" s="1349" t="s">
        <v>47</v>
      </c>
      <c r="J4" s="1349" t="s">
        <v>48</v>
      </c>
      <c r="K4" s="1351" t="s">
        <v>49</v>
      </c>
      <c r="L4" s="1362" t="s">
        <v>117</v>
      </c>
      <c r="M4" s="1370" t="s">
        <v>118</v>
      </c>
      <c r="N4" s="9"/>
      <c r="O4" s="1366" t="s">
        <v>65</v>
      </c>
      <c r="P4" s="1368" t="s">
        <v>21</v>
      </c>
      <c r="R4" s="1357" t="s">
        <v>1</v>
      </c>
      <c r="S4" s="1354" t="s">
        <v>46</v>
      </c>
      <c r="T4" s="1360" t="s">
        <v>18</v>
      </c>
      <c r="U4" s="1361"/>
      <c r="V4" s="1361" t="s">
        <v>19</v>
      </c>
      <c r="W4" s="1361"/>
      <c r="X4" s="1364" t="s">
        <v>20</v>
      </c>
      <c r="Y4" s="1365"/>
      <c r="Z4" s="1349" t="s">
        <v>47</v>
      </c>
      <c r="AA4" s="1349" t="s">
        <v>48</v>
      </c>
      <c r="AB4" s="1351" t="s">
        <v>49</v>
      </c>
      <c r="AC4" s="1362" t="s">
        <v>62</v>
      </c>
      <c r="AD4" s="1370" t="s">
        <v>69</v>
      </c>
      <c r="AE4" s="1037"/>
      <c r="AF4" s="1366" t="s">
        <v>65</v>
      </c>
      <c r="AG4" s="1368" t="s">
        <v>21</v>
      </c>
    </row>
    <row r="5" spans="1:33">
      <c r="A5" s="1358"/>
      <c r="B5" s="1355"/>
      <c r="C5" s="10" t="s">
        <v>26</v>
      </c>
      <c r="D5" s="11" t="s">
        <v>50</v>
      </c>
      <c r="E5" s="10" t="s">
        <v>12</v>
      </c>
      <c r="F5" s="11" t="s">
        <v>16</v>
      </c>
      <c r="G5" s="11" t="s">
        <v>12</v>
      </c>
      <c r="H5" s="33" t="s">
        <v>16</v>
      </c>
      <c r="I5" s="1350"/>
      <c r="J5" s="1350"/>
      <c r="K5" s="1352"/>
      <c r="L5" s="1363"/>
      <c r="M5" s="1371"/>
      <c r="N5" s="9"/>
      <c r="O5" s="1367"/>
      <c r="P5" s="1369"/>
      <c r="R5" s="1358"/>
      <c r="S5" s="1355"/>
      <c r="T5" s="1077" t="s">
        <v>26</v>
      </c>
      <c r="U5" s="11" t="s">
        <v>50</v>
      </c>
      <c r="V5" s="10" t="s">
        <v>12</v>
      </c>
      <c r="W5" s="11" t="s">
        <v>16</v>
      </c>
      <c r="X5" s="11" t="s">
        <v>12</v>
      </c>
      <c r="Y5" s="33" t="s">
        <v>16</v>
      </c>
      <c r="Z5" s="1350"/>
      <c r="AA5" s="1350"/>
      <c r="AB5" s="1352"/>
      <c r="AC5" s="1363"/>
      <c r="AD5" s="1371"/>
      <c r="AE5" s="1037"/>
      <c r="AF5" s="1367"/>
      <c r="AG5" s="1369"/>
    </row>
    <row r="6" spans="1:33" ht="15.75" thickBot="1">
      <c r="A6" s="1359"/>
      <c r="B6" s="1356"/>
      <c r="C6" s="12" t="s">
        <v>4</v>
      </c>
      <c r="D6" s="13" t="s">
        <v>5</v>
      </c>
      <c r="E6" s="13" t="s">
        <v>6</v>
      </c>
      <c r="F6" s="13" t="s">
        <v>7</v>
      </c>
      <c r="G6" s="13" t="s">
        <v>13</v>
      </c>
      <c r="H6" s="34" t="s">
        <v>14</v>
      </c>
      <c r="I6" s="45" t="s">
        <v>28</v>
      </c>
      <c r="J6" s="45" t="s">
        <v>31</v>
      </c>
      <c r="K6" s="32" t="s">
        <v>9</v>
      </c>
      <c r="L6" s="14" t="s">
        <v>22</v>
      </c>
      <c r="M6" s="14" t="s">
        <v>63</v>
      </c>
      <c r="N6" s="9"/>
      <c r="O6" s="44" t="s">
        <v>10</v>
      </c>
      <c r="P6" s="14" t="s">
        <v>64</v>
      </c>
      <c r="R6" s="1359"/>
      <c r="S6" s="1356"/>
      <c r="T6" s="1078" t="s">
        <v>4</v>
      </c>
      <c r="U6" s="13" t="s">
        <v>5</v>
      </c>
      <c r="V6" s="13" t="s">
        <v>6</v>
      </c>
      <c r="W6" s="13" t="s">
        <v>7</v>
      </c>
      <c r="X6" s="13" t="s">
        <v>13</v>
      </c>
      <c r="Y6" s="34" t="s">
        <v>14</v>
      </c>
      <c r="Z6" s="45" t="s">
        <v>28</v>
      </c>
      <c r="AA6" s="45" t="s">
        <v>31</v>
      </c>
      <c r="AB6" s="32" t="s">
        <v>9</v>
      </c>
      <c r="AC6" s="14" t="s">
        <v>22</v>
      </c>
      <c r="AD6" s="14" t="s">
        <v>63</v>
      </c>
      <c r="AE6" s="1037"/>
      <c r="AF6" s="44" t="s">
        <v>10</v>
      </c>
      <c r="AG6" s="14" t="s">
        <v>64</v>
      </c>
    </row>
    <row r="7" spans="1:33">
      <c r="A7" s="24">
        <v>1</v>
      </c>
      <c r="B7" s="38" t="s">
        <v>15</v>
      </c>
      <c r="C7" s="55">
        <f t="shared" ref="C7:L7" si="0">+C8+C12</f>
        <v>167152</v>
      </c>
      <c r="D7" s="55">
        <f t="shared" si="0"/>
        <v>166856</v>
      </c>
      <c r="E7" s="55">
        <f t="shared" si="0"/>
        <v>10870</v>
      </c>
      <c r="F7" s="55">
        <f t="shared" si="0"/>
        <v>10870</v>
      </c>
      <c r="G7" s="55">
        <f t="shared" si="0"/>
        <v>178022</v>
      </c>
      <c r="H7" s="56">
        <f t="shared" si="0"/>
        <v>177726</v>
      </c>
      <c r="I7" s="75"/>
      <c r="J7" s="75">
        <f t="shared" si="0"/>
        <v>268</v>
      </c>
      <c r="K7" s="57">
        <f t="shared" si="0"/>
        <v>5022</v>
      </c>
      <c r="L7" s="58">
        <f t="shared" si="0"/>
        <v>296</v>
      </c>
      <c r="M7" s="58">
        <f>+M8+M12</f>
        <v>20</v>
      </c>
      <c r="N7" s="76"/>
      <c r="O7" s="224">
        <f>+O8+O12</f>
        <v>5933</v>
      </c>
      <c r="P7" s="219">
        <f>+P8+P12</f>
        <v>183659</v>
      </c>
      <c r="R7" s="24">
        <v>1</v>
      </c>
      <c r="S7" s="38" t="s">
        <v>15</v>
      </c>
      <c r="T7" s="54">
        <v>167152</v>
      </c>
      <c r="U7" s="55">
        <v>166856</v>
      </c>
      <c r="V7" s="55">
        <v>10870</v>
      </c>
      <c r="W7" s="55">
        <v>10870</v>
      </c>
      <c r="X7" s="55">
        <v>178022</v>
      </c>
      <c r="Y7" s="56">
        <v>177726</v>
      </c>
      <c r="Z7" s="75"/>
      <c r="AA7" s="75">
        <v>268</v>
      </c>
      <c r="AB7" s="57">
        <v>5022</v>
      </c>
      <c r="AC7" s="58">
        <v>296</v>
      </c>
      <c r="AD7" s="58">
        <v>20</v>
      </c>
      <c r="AE7" s="1036"/>
      <c r="AF7" s="54">
        <v>5933</v>
      </c>
      <c r="AG7" s="58">
        <v>183659</v>
      </c>
    </row>
    <row r="8" spans="1:33">
      <c r="A8" s="48">
        <f>A7+1</f>
        <v>2</v>
      </c>
      <c r="B8" s="35" t="s">
        <v>35</v>
      </c>
      <c r="C8" s="60">
        <f>SUM(C9:C10)</f>
        <v>107467</v>
      </c>
      <c r="D8" s="60">
        <f t="shared" ref="D8:M8" si="1">SUM(D9:D10)</f>
        <v>107171</v>
      </c>
      <c r="E8" s="60">
        <f t="shared" si="1"/>
        <v>10500</v>
      </c>
      <c r="F8" s="60">
        <f t="shared" si="1"/>
        <v>10500</v>
      </c>
      <c r="G8" s="60">
        <f t="shared" si="1"/>
        <v>117967</v>
      </c>
      <c r="H8" s="60">
        <f t="shared" si="1"/>
        <v>117671</v>
      </c>
      <c r="I8" s="60">
        <f t="shared" si="1"/>
        <v>0</v>
      </c>
      <c r="J8" s="60">
        <f t="shared" si="1"/>
        <v>268</v>
      </c>
      <c r="K8" s="60">
        <f t="shared" si="1"/>
        <v>3366</v>
      </c>
      <c r="L8" s="60">
        <f t="shared" si="1"/>
        <v>296</v>
      </c>
      <c r="M8" s="60">
        <f t="shared" si="1"/>
        <v>20</v>
      </c>
      <c r="N8" s="76"/>
      <c r="O8" s="701">
        <f>SUM(O9:O11)</f>
        <v>0</v>
      </c>
      <c r="P8" s="700">
        <f>P9+P10</f>
        <v>117671</v>
      </c>
      <c r="R8" s="48">
        <f>R7+1</f>
        <v>2</v>
      </c>
      <c r="S8" s="35" t="s">
        <v>35</v>
      </c>
      <c r="T8" s="59">
        <v>107467</v>
      </c>
      <c r="U8" s="60">
        <v>107171</v>
      </c>
      <c r="V8" s="60">
        <v>10500</v>
      </c>
      <c r="W8" s="60">
        <v>10500</v>
      </c>
      <c r="X8" s="60">
        <v>117967</v>
      </c>
      <c r="Y8" s="61">
        <v>117671</v>
      </c>
      <c r="Z8" s="77">
        <v>0</v>
      </c>
      <c r="AA8" s="78">
        <v>268</v>
      </c>
      <c r="AB8" s="62">
        <v>3366</v>
      </c>
      <c r="AC8" s="63">
        <v>296</v>
      </c>
      <c r="AD8" s="63">
        <v>20</v>
      </c>
      <c r="AE8" s="1036"/>
      <c r="AF8" s="59">
        <v>0</v>
      </c>
      <c r="AG8" s="63">
        <v>117671</v>
      </c>
    </row>
    <row r="9" spans="1:33">
      <c r="A9" s="25">
        <f t="shared" ref="A9:A43" si="2">A8+1</f>
        <v>3</v>
      </c>
      <c r="B9" s="36" t="s">
        <v>58</v>
      </c>
      <c r="C9" s="65">
        <v>106264</v>
      </c>
      <c r="D9" s="65">
        <v>106264</v>
      </c>
      <c r="E9" s="65">
        <v>10500</v>
      </c>
      <c r="F9" s="65">
        <v>10500</v>
      </c>
      <c r="G9" s="65">
        <f t="shared" ref="G9:H12" si="3">+C9+E9</f>
        <v>116764</v>
      </c>
      <c r="H9" s="66">
        <f t="shared" si="3"/>
        <v>116764</v>
      </c>
      <c r="I9" s="79"/>
      <c r="J9" s="80"/>
      <c r="K9" s="67">
        <v>3366</v>
      </c>
      <c r="L9" s="68">
        <f t="shared" ref="L9:L21" si="4">+G9-H9</f>
        <v>0</v>
      </c>
      <c r="M9" s="68">
        <v>0</v>
      </c>
      <c r="N9" s="76"/>
      <c r="O9" s="1026">
        <v>0</v>
      </c>
      <c r="P9" s="707">
        <f t="shared" ref="P9:P42" si="5">H9+O9</f>
        <v>116764</v>
      </c>
      <c r="R9" s="25">
        <f t="shared" ref="R9:R34" si="6">R8+1</f>
        <v>3</v>
      </c>
      <c r="S9" s="36" t="s">
        <v>58</v>
      </c>
      <c r="T9" s="64">
        <v>106264</v>
      </c>
      <c r="U9" s="65">
        <v>106264</v>
      </c>
      <c r="V9" s="65">
        <v>10500</v>
      </c>
      <c r="W9" s="65">
        <v>10500</v>
      </c>
      <c r="X9" s="65">
        <v>116764</v>
      </c>
      <c r="Y9" s="66">
        <v>116764</v>
      </c>
      <c r="Z9" s="80"/>
      <c r="AA9" s="80"/>
      <c r="AB9" s="67">
        <v>3366</v>
      </c>
      <c r="AC9" s="68">
        <v>0</v>
      </c>
      <c r="AD9" s="68">
        <v>0</v>
      </c>
      <c r="AE9" s="1036"/>
      <c r="AF9" s="64">
        <v>0</v>
      </c>
      <c r="AG9" s="68">
        <v>116764</v>
      </c>
    </row>
    <row r="10" spans="1:33">
      <c r="A10" s="25">
        <f t="shared" si="2"/>
        <v>4</v>
      </c>
      <c r="B10" s="36" t="s">
        <v>36</v>
      </c>
      <c r="C10" s="65">
        <v>1203</v>
      </c>
      <c r="D10" s="65">
        <v>907</v>
      </c>
      <c r="E10" s="65">
        <v>0</v>
      </c>
      <c r="F10" s="65">
        <v>0</v>
      </c>
      <c r="G10" s="65">
        <f t="shared" si="3"/>
        <v>1203</v>
      </c>
      <c r="H10" s="66">
        <f t="shared" si="3"/>
        <v>907</v>
      </c>
      <c r="I10" s="79"/>
      <c r="J10" s="80">
        <v>268</v>
      </c>
      <c r="K10" s="67">
        <v>0</v>
      </c>
      <c r="L10" s="68">
        <f t="shared" si="4"/>
        <v>296</v>
      </c>
      <c r="M10" s="68">
        <v>20</v>
      </c>
      <c r="N10" s="76"/>
      <c r="O10" s="1026">
        <v>0</v>
      </c>
      <c r="P10" s="707">
        <f t="shared" si="5"/>
        <v>907</v>
      </c>
      <c r="R10" s="25">
        <f t="shared" si="6"/>
        <v>4</v>
      </c>
      <c r="S10" s="36" t="s">
        <v>36</v>
      </c>
      <c r="T10" s="64">
        <v>1203</v>
      </c>
      <c r="U10" s="65">
        <v>907</v>
      </c>
      <c r="V10" s="65">
        <v>0</v>
      </c>
      <c r="W10" s="65">
        <v>0</v>
      </c>
      <c r="X10" s="65">
        <v>1203</v>
      </c>
      <c r="Y10" s="249">
        <v>907</v>
      </c>
      <c r="Z10" s="80"/>
      <c r="AA10" s="80">
        <v>268</v>
      </c>
      <c r="AB10" s="67">
        <v>0</v>
      </c>
      <c r="AC10" s="68">
        <v>296</v>
      </c>
      <c r="AD10" s="68">
        <v>20</v>
      </c>
      <c r="AE10" s="1036"/>
      <c r="AF10" s="64">
        <v>0</v>
      </c>
      <c r="AG10" s="68">
        <v>907</v>
      </c>
    </row>
    <row r="11" spans="1:33">
      <c r="A11" s="25">
        <f t="shared" si="2"/>
        <v>5</v>
      </c>
      <c r="B11" s="37" t="s">
        <v>477</v>
      </c>
      <c r="C11" s="65">
        <v>1203</v>
      </c>
      <c r="D11" s="65">
        <v>907</v>
      </c>
      <c r="E11" s="65">
        <v>0</v>
      </c>
      <c r="F11" s="65">
        <v>0</v>
      </c>
      <c r="G11" s="65">
        <f t="shared" si="3"/>
        <v>1203</v>
      </c>
      <c r="H11" s="66">
        <f t="shared" si="3"/>
        <v>907</v>
      </c>
      <c r="I11" s="79"/>
      <c r="J11" s="80">
        <v>268</v>
      </c>
      <c r="K11" s="67">
        <v>0</v>
      </c>
      <c r="L11" s="68">
        <f t="shared" si="4"/>
        <v>296</v>
      </c>
      <c r="M11" s="68">
        <v>0</v>
      </c>
      <c r="N11" s="76"/>
      <c r="O11" s="1026">
        <v>0</v>
      </c>
      <c r="P11" s="707">
        <f t="shared" si="5"/>
        <v>907</v>
      </c>
      <c r="R11" s="25">
        <f t="shared" si="6"/>
        <v>5</v>
      </c>
      <c r="S11" s="37" t="s">
        <v>30</v>
      </c>
      <c r="T11" s="64">
        <v>1203</v>
      </c>
      <c r="U11" s="65">
        <v>907</v>
      </c>
      <c r="V11" s="65">
        <v>0</v>
      </c>
      <c r="W11" s="65">
        <v>0</v>
      </c>
      <c r="X11" s="65">
        <v>1203</v>
      </c>
      <c r="Y11" s="66">
        <v>907</v>
      </c>
      <c r="Z11" s="79"/>
      <c r="AA11" s="80">
        <v>268</v>
      </c>
      <c r="AB11" s="67">
        <v>0</v>
      </c>
      <c r="AC11" s="68">
        <v>296</v>
      </c>
      <c r="AD11" s="68">
        <v>0</v>
      </c>
      <c r="AE11" s="1036"/>
      <c r="AF11" s="64">
        <v>0</v>
      </c>
      <c r="AG11" s="68">
        <v>907</v>
      </c>
    </row>
    <row r="12" spans="1:33">
      <c r="A12" s="48">
        <f t="shared" si="2"/>
        <v>6</v>
      </c>
      <c r="B12" s="35" t="s">
        <v>42</v>
      </c>
      <c r="C12" s="60">
        <f>+C13+C17+C19+C20</f>
        <v>59685</v>
      </c>
      <c r="D12" s="60">
        <f>+D13+D17+D19+D20</f>
        <v>59685</v>
      </c>
      <c r="E12" s="60">
        <f>+E13+E17+E19+E20</f>
        <v>370</v>
      </c>
      <c r="F12" s="60">
        <f>+F13+F17+F19+F20</f>
        <v>370</v>
      </c>
      <c r="G12" s="60">
        <f t="shared" si="3"/>
        <v>60055</v>
      </c>
      <c r="H12" s="61">
        <f t="shared" si="3"/>
        <v>60055</v>
      </c>
      <c r="I12" s="78"/>
      <c r="J12" s="78">
        <f>+J13+J17+J19+J20</f>
        <v>0</v>
      </c>
      <c r="K12" s="62">
        <f>+K13+K17+K19+K20</f>
        <v>1656</v>
      </c>
      <c r="L12" s="63">
        <f t="shared" si="4"/>
        <v>0</v>
      </c>
      <c r="M12" s="63">
        <f>+M13+M17+M19+M20</f>
        <v>0</v>
      </c>
      <c r="N12" s="76"/>
      <c r="O12" s="701">
        <f>+O13+O17+O19+O20</f>
        <v>5933</v>
      </c>
      <c r="P12" s="700">
        <f t="shared" si="5"/>
        <v>65988</v>
      </c>
      <c r="R12" s="48">
        <f t="shared" si="6"/>
        <v>6</v>
      </c>
      <c r="S12" s="35" t="s">
        <v>42</v>
      </c>
      <c r="T12" s="59">
        <v>59685</v>
      </c>
      <c r="U12" s="60">
        <v>59685</v>
      </c>
      <c r="V12" s="60">
        <v>370</v>
      </c>
      <c r="W12" s="60">
        <v>370</v>
      </c>
      <c r="X12" s="60">
        <v>60055</v>
      </c>
      <c r="Y12" s="61">
        <v>60055</v>
      </c>
      <c r="Z12" s="78"/>
      <c r="AA12" s="78">
        <v>0</v>
      </c>
      <c r="AB12" s="62">
        <v>1656</v>
      </c>
      <c r="AC12" s="63">
        <v>0</v>
      </c>
      <c r="AD12" s="63">
        <v>0</v>
      </c>
      <c r="AE12" s="1036"/>
      <c r="AF12" s="59">
        <v>5933</v>
      </c>
      <c r="AG12" s="63">
        <v>65988</v>
      </c>
    </row>
    <row r="13" spans="1:33">
      <c r="A13" s="29">
        <f t="shared" si="2"/>
        <v>7</v>
      </c>
      <c r="B13" s="36" t="s">
        <v>51</v>
      </c>
      <c r="C13" s="86">
        <f>C15+C16</f>
        <v>33876</v>
      </c>
      <c r="D13" s="86">
        <f t="shared" ref="D13:L13" si="7">D15+D16</f>
        <v>33876</v>
      </c>
      <c r="E13" s="86">
        <f t="shared" si="7"/>
        <v>0</v>
      </c>
      <c r="F13" s="86">
        <f t="shared" si="7"/>
        <v>0</v>
      </c>
      <c r="G13" s="86">
        <f t="shared" si="7"/>
        <v>33876</v>
      </c>
      <c r="H13" s="86">
        <f t="shared" si="7"/>
        <v>33876</v>
      </c>
      <c r="I13" s="86"/>
      <c r="J13" s="86"/>
      <c r="K13" s="86">
        <f t="shared" si="7"/>
        <v>851</v>
      </c>
      <c r="L13" s="86">
        <f t="shared" si="7"/>
        <v>0</v>
      </c>
      <c r="M13" s="86">
        <v>0</v>
      </c>
      <c r="N13" s="84"/>
      <c r="O13" s="85">
        <f>O15+O16</f>
        <v>5933</v>
      </c>
      <c r="P13" s="707">
        <f t="shared" si="5"/>
        <v>39809</v>
      </c>
      <c r="R13" s="29">
        <f t="shared" si="6"/>
        <v>7</v>
      </c>
      <c r="S13" s="36" t="s">
        <v>51</v>
      </c>
      <c r="T13" s="85">
        <v>33876</v>
      </c>
      <c r="U13" s="82">
        <v>33876</v>
      </c>
      <c r="V13" s="82">
        <v>0</v>
      </c>
      <c r="W13" s="82">
        <v>0</v>
      </c>
      <c r="X13" s="65">
        <v>33876</v>
      </c>
      <c r="Y13" s="66">
        <v>33876</v>
      </c>
      <c r="Z13" s="79"/>
      <c r="AA13" s="83"/>
      <c r="AB13" s="81">
        <v>851</v>
      </c>
      <c r="AC13" s="68">
        <v>0</v>
      </c>
      <c r="AD13" s="68">
        <v>0</v>
      </c>
      <c r="AE13" s="706"/>
      <c r="AF13" s="85">
        <v>5933</v>
      </c>
      <c r="AG13" s="68">
        <v>39809</v>
      </c>
    </row>
    <row r="14" spans="1:33">
      <c r="A14" s="29"/>
      <c r="B14" s="36" t="s">
        <v>61</v>
      </c>
      <c r="C14" s="86"/>
      <c r="D14" s="87"/>
      <c r="E14" s="87"/>
      <c r="F14" s="87"/>
      <c r="G14" s="65">
        <f t="shared" ref="G14:H16" si="8">+C14+E14</f>
        <v>0</v>
      </c>
      <c r="H14" s="66">
        <f t="shared" si="8"/>
        <v>0</v>
      </c>
      <c r="I14" s="79"/>
      <c r="J14" s="88"/>
      <c r="K14" s="86">
        <v>0</v>
      </c>
      <c r="L14" s="68">
        <f t="shared" si="4"/>
        <v>0</v>
      </c>
      <c r="M14" s="86">
        <v>0</v>
      </c>
      <c r="N14" s="84"/>
      <c r="O14" s="85"/>
      <c r="P14" s="707">
        <v>0</v>
      </c>
      <c r="R14" s="29"/>
      <c r="S14" s="36" t="s">
        <v>61</v>
      </c>
      <c r="T14" s="85"/>
      <c r="U14" s="82"/>
      <c r="V14" s="82"/>
      <c r="W14" s="82"/>
      <c r="X14" s="65">
        <v>0</v>
      </c>
      <c r="Y14" s="66">
        <v>0</v>
      </c>
      <c r="Z14" s="79"/>
      <c r="AA14" s="83"/>
      <c r="AB14" s="81">
        <v>0</v>
      </c>
      <c r="AC14" s="68">
        <v>0</v>
      </c>
      <c r="AD14" s="68">
        <v>0</v>
      </c>
      <c r="AE14" s="706"/>
      <c r="AF14" s="85"/>
      <c r="AG14" s="68">
        <v>0</v>
      </c>
    </row>
    <row r="15" spans="1:33">
      <c r="A15" s="29">
        <v>8</v>
      </c>
      <c r="B15" s="239" t="s">
        <v>478</v>
      </c>
      <c r="C15" s="86">
        <v>7323</v>
      </c>
      <c r="D15" s="87">
        <v>7323</v>
      </c>
      <c r="E15" s="87">
        <v>0</v>
      </c>
      <c r="F15" s="87">
        <v>0</v>
      </c>
      <c r="G15" s="65">
        <f t="shared" si="8"/>
        <v>7323</v>
      </c>
      <c r="H15" s="66">
        <f t="shared" si="8"/>
        <v>7323</v>
      </c>
      <c r="I15" s="79"/>
      <c r="J15" s="88"/>
      <c r="K15" s="86">
        <v>851</v>
      </c>
      <c r="L15" s="68">
        <v>0</v>
      </c>
      <c r="M15" s="86">
        <v>0</v>
      </c>
      <c r="N15" s="84"/>
      <c r="O15" s="85">
        <v>4690</v>
      </c>
      <c r="P15" s="707">
        <f t="shared" si="5"/>
        <v>12013</v>
      </c>
      <c r="R15" s="25">
        <f>R13+1</f>
        <v>8</v>
      </c>
      <c r="S15" s="37" t="s">
        <v>66</v>
      </c>
      <c r="T15" s="89"/>
      <c r="U15" s="87"/>
      <c r="V15" s="87"/>
      <c r="W15" s="87"/>
      <c r="X15" s="65"/>
      <c r="Y15" s="66"/>
      <c r="Z15" s="88"/>
      <c r="AA15" s="88"/>
      <c r="AB15" s="86"/>
      <c r="AC15" s="68"/>
      <c r="AD15" s="68"/>
      <c r="AE15" s="1036"/>
      <c r="AF15" s="89"/>
      <c r="AG15" s="68"/>
    </row>
    <row r="16" spans="1:33">
      <c r="A16" s="25">
        <v>9</v>
      </c>
      <c r="B16" s="239" t="s">
        <v>479</v>
      </c>
      <c r="C16" s="86">
        <v>26553</v>
      </c>
      <c r="D16" s="87">
        <v>26553</v>
      </c>
      <c r="E16" s="87">
        <v>0</v>
      </c>
      <c r="F16" s="87">
        <v>0</v>
      </c>
      <c r="G16" s="65">
        <f t="shared" si="8"/>
        <v>26553</v>
      </c>
      <c r="H16" s="66">
        <f t="shared" si="8"/>
        <v>26553</v>
      </c>
      <c r="I16" s="88"/>
      <c r="J16" s="88"/>
      <c r="K16" s="86">
        <v>0</v>
      </c>
      <c r="L16" s="68">
        <f t="shared" si="4"/>
        <v>0</v>
      </c>
      <c r="M16" s="86">
        <v>0</v>
      </c>
      <c r="N16" s="76"/>
      <c r="O16" s="85">
        <v>1243</v>
      </c>
      <c r="P16" s="707">
        <f t="shared" si="5"/>
        <v>27796</v>
      </c>
      <c r="R16" s="29">
        <f t="shared" si="6"/>
        <v>9</v>
      </c>
      <c r="S16" s="36" t="s">
        <v>52</v>
      </c>
      <c r="T16" s="85">
        <v>1990</v>
      </c>
      <c r="U16" s="82">
        <v>1990</v>
      </c>
      <c r="V16" s="82">
        <v>0</v>
      </c>
      <c r="W16" s="82">
        <v>0</v>
      </c>
      <c r="X16" s="65">
        <v>1990</v>
      </c>
      <c r="Y16" s="66">
        <v>1990</v>
      </c>
      <c r="Z16" s="79"/>
      <c r="AA16" s="83"/>
      <c r="AB16" s="81">
        <v>77</v>
      </c>
      <c r="AC16" s="68">
        <v>0</v>
      </c>
      <c r="AD16" s="68">
        <v>0</v>
      </c>
      <c r="AE16" s="706"/>
      <c r="AF16" s="85">
        <v>0</v>
      </c>
      <c r="AG16" s="68">
        <v>1990</v>
      </c>
    </row>
    <row r="17" spans="1:33">
      <c r="A17" s="29">
        <f>A16+1</f>
        <v>10</v>
      </c>
      <c r="B17" s="36" t="s">
        <v>52</v>
      </c>
      <c r="C17" s="86">
        <f t="shared" ref="C17:H17" si="9">C18</f>
        <v>1990</v>
      </c>
      <c r="D17" s="86">
        <f t="shared" si="9"/>
        <v>1990</v>
      </c>
      <c r="E17" s="86">
        <f t="shared" si="9"/>
        <v>0</v>
      </c>
      <c r="F17" s="86">
        <f t="shared" si="9"/>
        <v>0</v>
      </c>
      <c r="G17" s="86">
        <f t="shared" si="9"/>
        <v>1990</v>
      </c>
      <c r="H17" s="86">
        <f t="shared" si="9"/>
        <v>1990</v>
      </c>
      <c r="I17" s="86"/>
      <c r="J17" s="86"/>
      <c r="K17" s="86">
        <f>K18</f>
        <v>77</v>
      </c>
      <c r="L17" s="68">
        <f t="shared" si="4"/>
        <v>0</v>
      </c>
      <c r="M17" s="86">
        <v>0</v>
      </c>
      <c r="N17" s="84"/>
      <c r="O17" s="85">
        <v>0</v>
      </c>
      <c r="P17" s="707">
        <f t="shared" si="5"/>
        <v>1990</v>
      </c>
      <c r="R17" s="25">
        <f t="shared" si="6"/>
        <v>10</v>
      </c>
      <c r="S17" s="37" t="s">
        <v>30</v>
      </c>
      <c r="T17" s="89">
        <v>1990</v>
      </c>
      <c r="U17" s="87">
        <v>1990</v>
      </c>
      <c r="V17" s="87">
        <v>0</v>
      </c>
      <c r="W17" s="87">
        <v>0</v>
      </c>
      <c r="X17" s="65">
        <v>1990</v>
      </c>
      <c r="Y17" s="66">
        <v>1990</v>
      </c>
      <c r="Z17" s="88"/>
      <c r="AA17" s="88"/>
      <c r="AB17" s="86">
        <v>77</v>
      </c>
      <c r="AC17" s="68">
        <v>0</v>
      </c>
      <c r="AD17" s="68">
        <v>0</v>
      </c>
      <c r="AE17" s="1036"/>
      <c r="AF17" s="89">
        <v>0</v>
      </c>
      <c r="AG17" s="68">
        <v>1990</v>
      </c>
    </row>
    <row r="18" spans="1:33">
      <c r="A18" s="25">
        <v>11</v>
      </c>
      <c r="B18" s="37" t="s">
        <v>480</v>
      </c>
      <c r="C18" s="86">
        <v>1990</v>
      </c>
      <c r="D18" s="87">
        <v>1990</v>
      </c>
      <c r="E18" s="87">
        <v>0</v>
      </c>
      <c r="F18" s="87">
        <v>0</v>
      </c>
      <c r="G18" s="65">
        <f t="shared" ref="G18:H21" si="10">+C18+E18</f>
        <v>1990</v>
      </c>
      <c r="H18" s="66">
        <f t="shared" si="10"/>
        <v>1990</v>
      </c>
      <c r="I18" s="88"/>
      <c r="J18" s="88"/>
      <c r="K18" s="86">
        <v>77</v>
      </c>
      <c r="L18" s="68">
        <f t="shared" si="4"/>
        <v>0</v>
      </c>
      <c r="M18" s="86">
        <v>0</v>
      </c>
      <c r="N18" s="76"/>
      <c r="O18" s="85">
        <v>0</v>
      </c>
      <c r="P18" s="707">
        <f t="shared" si="5"/>
        <v>1990</v>
      </c>
      <c r="R18" s="29">
        <f t="shared" si="6"/>
        <v>11</v>
      </c>
      <c r="S18" s="36" t="s">
        <v>37</v>
      </c>
      <c r="T18" s="85">
        <v>23819</v>
      </c>
      <c r="U18" s="82">
        <v>23819</v>
      </c>
      <c r="V18" s="82">
        <v>370</v>
      </c>
      <c r="W18" s="82">
        <v>370</v>
      </c>
      <c r="X18" s="65">
        <v>24189</v>
      </c>
      <c r="Y18" s="66">
        <v>24189</v>
      </c>
      <c r="Z18" s="83"/>
      <c r="AA18" s="83"/>
      <c r="AB18" s="81">
        <v>728</v>
      </c>
      <c r="AC18" s="68">
        <v>0</v>
      </c>
      <c r="AD18" s="68">
        <v>0</v>
      </c>
      <c r="AE18" s="706"/>
      <c r="AF18" s="85">
        <v>0</v>
      </c>
      <c r="AG18" s="68">
        <v>24189</v>
      </c>
    </row>
    <row r="19" spans="1:33">
      <c r="A19" s="29">
        <f t="shared" si="2"/>
        <v>12</v>
      </c>
      <c r="B19" s="36" t="s">
        <v>37</v>
      </c>
      <c r="C19" s="86">
        <v>23819</v>
      </c>
      <c r="D19" s="87">
        <v>23819</v>
      </c>
      <c r="E19" s="87">
        <v>370</v>
      </c>
      <c r="F19" s="87">
        <v>370</v>
      </c>
      <c r="G19" s="65">
        <f t="shared" si="10"/>
        <v>24189</v>
      </c>
      <c r="H19" s="66">
        <f t="shared" si="10"/>
        <v>24189</v>
      </c>
      <c r="I19" s="83"/>
      <c r="J19" s="88"/>
      <c r="K19" s="86">
        <v>728</v>
      </c>
      <c r="L19" s="68">
        <f t="shared" si="4"/>
        <v>0</v>
      </c>
      <c r="M19" s="86">
        <v>0</v>
      </c>
      <c r="N19" s="84"/>
      <c r="O19" s="85">
        <v>0</v>
      </c>
      <c r="P19" s="707">
        <f t="shared" si="5"/>
        <v>24189</v>
      </c>
      <c r="R19" s="29">
        <f t="shared" si="6"/>
        <v>12</v>
      </c>
      <c r="S19" s="50" t="s">
        <v>38</v>
      </c>
      <c r="T19" s="85">
        <v>0</v>
      </c>
      <c r="U19" s="82">
        <v>0</v>
      </c>
      <c r="V19" s="82">
        <v>0</v>
      </c>
      <c r="W19" s="82">
        <v>0</v>
      </c>
      <c r="X19" s="65">
        <v>0</v>
      </c>
      <c r="Y19" s="66">
        <v>0</v>
      </c>
      <c r="Z19" s="83"/>
      <c r="AA19" s="83"/>
      <c r="AB19" s="81">
        <v>0</v>
      </c>
      <c r="AC19" s="68">
        <v>0</v>
      </c>
      <c r="AD19" s="68">
        <v>0</v>
      </c>
      <c r="AE19" s="706"/>
      <c r="AF19" s="85"/>
      <c r="AG19" s="68">
        <v>0</v>
      </c>
    </row>
    <row r="20" spans="1:33">
      <c r="A20" s="29">
        <f t="shared" si="2"/>
        <v>13</v>
      </c>
      <c r="B20" s="50" t="s">
        <v>38</v>
      </c>
      <c r="C20" s="86">
        <v>0</v>
      </c>
      <c r="D20" s="87">
        <v>0</v>
      </c>
      <c r="E20" s="87">
        <v>0</v>
      </c>
      <c r="F20" s="87">
        <v>0</v>
      </c>
      <c r="G20" s="65">
        <f t="shared" si="10"/>
        <v>0</v>
      </c>
      <c r="H20" s="66">
        <f t="shared" si="10"/>
        <v>0</v>
      </c>
      <c r="I20" s="83"/>
      <c r="J20" s="88"/>
      <c r="K20" s="86">
        <v>0</v>
      </c>
      <c r="L20" s="68">
        <f t="shared" si="4"/>
        <v>0</v>
      </c>
      <c r="M20" s="86">
        <v>0</v>
      </c>
      <c r="N20" s="84"/>
      <c r="O20" s="85"/>
      <c r="P20" s="707">
        <f t="shared" si="5"/>
        <v>0</v>
      </c>
      <c r="R20" s="25">
        <f t="shared" si="6"/>
        <v>13</v>
      </c>
      <c r="S20" s="37" t="s">
        <v>30</v>
      </c>
      <c r="T20" s="89">
        <v>0</v>
      </c>
      <c r="U20" s="87">
        <v>0</v>
      </c>
      <c r="V20" s="87">
        <v>0</v>
      </c>
      <c r="W20" s="87">
        <v>0</v>
      </c>
      <c r="X20" s="65">
        <v>0</v>
      </c>
      <c r="Y20" s="66">
        <v>0</v>
      </c>
      <c r="Z20" s="88"/>
      <c r="AA20" s="88"/>
      <c r="AB20" s="86">
        <v>0</v>
      </c>
      <c r="AC20" s="68">
        <v>0</v>
      </c>
      <c r="AD20" s="68">
        <v>0</v>
      </c>
      <c r="AE20" s="1036"/>
      <c r="AF20" s="89"/>
      <c r="AG20" s="68">
        <v>0</v>
      </c>
    </row>
    <row r="21" spans="1:33">
      <c r="A21" s="25">
        <f t="shared" si="2"/>
        <v>14</v>
      </c>
      <c r="B21" s="37" t="s">
        <v>30</v>
      </c>
      <c r="C21" s="86">
        <v>0</v>
      </c>
      <c r="D21" s="87">
        <v>0</v>
      </c>
      <c r="E21" s="87">
        <v>0</v>
      </c>
      <c r="F21" s="87">
        <v>0</v>
      </c>
      <c r="G21" s="65">
        <f t="shared" si="10"/>
        <v>0</v>
      </c>
      <c r="H21" s="66">
        <f t="shared" si="10"/>
        <v>0</v>
      </c>
      <c r="I21" s="88"/>
      <c r="J21" s="88"/>
      <c r="K21" s="86">
        <v>0</v>
      </c>
      <c r="L21" s="68">
        <f t="shared" si="4"/>
        <v>0</v>
      </c>
      <c r="M21" s="86">
        <v>0</v>
      </c>
      <c r="N21" s="76"/>
      <c r="O21" s="85"/>
      <c r="P21" s="707">
        <f t="shared" si="5"/>
        <v>0</v>
      </c>
      <c r="R21" s="24">
        <f t="shared" si="6"/>
        <v>14</v>
      </c>
      <c r="S21" s="38" t="s">
        <v>29</v>
      </c>
      <c r="T21" s="70">
        <v>45807</v>
      </c>
      <c r="U21" s="71">
        <v>44265</v>
      </c>
      <c r="V21" s="71">
        <v>0</v>
      </c>
      <c r="W21" s="71">
        <v>0</v>
      </c>
      <c r="X21" s="71">
        <v>45807</v>
      </c>
      <c r="Y21" s="72">
        <v>44265</v>
      </c>
      <c r="Z21" s="90">
        <v>0</v>
      </c>
      <c r="AA21" s="1252">
        <v>11452</v>
      </c>
      <c r="AB21" s="73">
        <v>869</v>
      </c>
      <c r="AC21" s="74">
        <v>1542</v>
      </c>
      <c r="AD21" s="74">
        <v>956</v>
      </c>
      <c r="AE21" s="1036"/>
      <c r="AF21" s="70">
        <v>206</v>
      </c>
      <c r="AG21" s="74">
        <v>44471</v>
      </c>
    </row>
    <row r="22" spans="1:33">
      <c r="A22" s="24">
        <f t="shared" si="2"/>
        <v>15</v>
      </c>
      <c r="B22" s="38" t="s">
        <v>29</v>
      </c>
      <c r="C22" s="70">
        <f>+C23+C26+C30</f>
        <v>45807</v>
      </c>
      <c r="D22" s="70">
        <f t="shared" ref="D22:P22" si="11">+D23+D26+D30</f>
        <v>44265</v>
      </c>
      <c r="E22" s="70">
        <f t="shared" si="11"/>
        <v>0</v>
      </c>
      <c r="F22" s="70">
        <f t="shared" si="11"/>
        <v>0</v>
      </c>
      <c r="G22" s="70">
        <f t="shared" si="11"/>
        <v>45807</v>
      </c>
      <c r="H22" s="70">
        <f t="shared" si="11"/>
        <v>44265</v>
      </c>
      <c r="I22" s="70">
        <f t="shared" si="11"/>
        <v>0</v>
      </c>
      <c r="J22" s="70">
        <f t="shared" si="11"/>
        <v>11452</v>
      </c>
      <c r="K22" s="70">
        <f t="shared" si="11"/>
        <v>869</v>
      </c>
      <c r="L22" s="70">
        <f t="shared" si="11"/>
        <v>1542</v>
      </c>
      <c r="M22" s="70">
        <f t="shared" si="11"/>
        <v>956</v>
      </c>
      <c r="N22" s="70"/>
      <c r="O22" s="70">
        <f t="shared" si="11"/>
        <v>206</v>
      </c>
      <c r="P22" s="70">
        <f t="shared" si="11"/>
        <v>44471</v>
      </c>
      <c r="R22" s="46">
        <f t="shared" si="6"/>
        <v>15</v>
      </c>
      <c r="S22" s="43" t="s">
        <v>53</v>
      </c>
      <c r="T22" s="59"/>
      <c r="U22" s="60"/>
      <c r="V22" s="60"/>
      <c r="W22" s="60"/>
      <c r="X22" s="60"/>
      <c r="Y22" s="61"/>
      <c r="Z22" s="78"/>
      <c r="AA22" s="78"/>
      <c r="AB22" s="62"/>
      <c r="AC22" s="63"/>
      <c r="AD22" s="63"/>
      <c r="AE22" s="1036"/>
      <c r="AF22" s="59"/>
      <c r="AG22" s="63"/>
    </row>
    <row r="23" spans="1:33">
      <c r="A23" s="46">
        <f t="shared" si="2"/>
        <v>16</v>
      </c>
      <c r="B23" s="43" t="s">
        <v>53</v>
      </c>
      <c r="C23" s="60">
        <f t="shared" ref="C23:L23" si="12">+C25+C24</f>
        <v>6363</v>
      </c>
      <c r="D23" s="60">
        <f t="shared" si="12"/>
        <v>6363</v>
      </c>
      <c r="E23" s="60">
        <f t="shared" si="12"/>
        <v>0</v>
      </c>
      <c r="F23" s="60">
        <f t="shared" si="12"/>
        <v>0</v>
      </c>
      <c r="G23" s="60">
        <f t="shared" si="12"/>
        <v>6363</v>
      </c>
      <c r="H23" s="60">
        <f t="shared" si="12"/>
        <v>6363</v>
      </c>
      <c r="I23" s="60">
        <f t="shared" si="12"/>
        <v>0</v>
      </c>
      <c r="J23" s="60">
        <f t="shared" si="12"/>
        <v>0</v>
      </c>
      <c r="K23" s="60">
        <f t="shared" si="12"/>
        <v>41</v>
      </c>
      <c r="L23" s="60">
        <f t="shared" si="12"/>
        <v>0</v>
      </c>
      <c r="M23" s="63">
        <f>+M25</f>
        <v>0</v>
      </c>
      <c r="N23" s="76"/>
      <c r="O23" s="701">
        <f>+O25</f>
        <v>206</v>
      </c>
      <c r="P23" s="707">
        <f>H23+O23</f>
        <v>6569</v>
      </c>
      <c r="R23" s="25">
        <f t="shared" si="6"/>
        <v>16</v>
      </c>
      <c r="S23" s="37" t="s">
        <v>60</v>
      </c>
      <c r="T23" s="89"/>
      <c r="U23" s="87"/>
      <c r="V23" s="87"/>
      <c r="W23" s="87"/>
      <c r="X23" s="65"/>
      <c r="Y23" s="66"/>
      <c r="Z23" s="88"/>
      <c r="AA23" s="88"/>
      <c r="AB23" s="86"/>
      <c r="AC23" s="68"/>
      <c r="AD23" s="68"/>
      <c r="AE23" s="1036"/>
      <c r="AF23" s="89"/>
      <c r="AG23" s="68"/>
    </row>
    <row r="24" spans="1:33">
      <c r="A24" s="46">
        <v>17</v>
      </c>
      <c r="B24" s="1027" t="s">
        <v>481</v>
      </c>
      <c r="C24" s="62">
        <v>5067</v>
      </c>
      <c r="D24" s="60">
        <v>5067</v>
      </c>
      <c r="E24" s="60">
        <v>0</v>
      </c>
      <c r="F24" s="60">
        <v>0</v>
      </c>
      <c r="G24" s="65">
        <f>+C24+E24</f>
        <v>5067</v>
      </c>
      <c r="H24" s="66">
        <f>+D24+F24</f>
        <v>5067</v>
      </c>
      <c r="I24" s="78"/>
      <c r="J24" s="78"/>
      <c r="K24" s="62">
        <v>41</v>
      </c>
      <c r="L24" s="63"/>
      <c r="M24" s="63">
        <v>0</v>
      </c>
      <c r="N24" s="76"/>
      <c r="O24" s="701">
        <v>0</v>
      </c>
      <c r="P24" s="707">
        <f t="shared" si="5"/>
        <v>5067</v>
      </c>
      <c r="R24" s="46">
        <f t="shared" si="6"/>
        <v>17</v>
      </c>
      <c r="S24" s="47" t="s">
        <v>59</v>
      </c>
      <c r="T24" s="59">
        <v>16339</v>
      </c>
      <c r="U24" s="60">
        <v>15304</v>
      </c>
      <c r="V24" s="60">
        <v>0</v>
      </c>
      <c r="W24" s="60">
        <v>0</v>
      </c>
      <c r="X24" s="60">
        <v>16339</v>
      </c>
      <c r="Y24" s="61">
        <v>15304</v>
      </c>
      <c r="Z24" s="78">
        <v>0</v>
      </c>
      <c r="AA24" s="78">
        <v>2178</v>
      </c>
      <c r="AB24" s="62">
        <v>267</v>
      </c>
      <c r="AC24" s="63">
        <v>1035</v>
      </c>
      <c r="AD24" s="63">
        <v>956</v>
      </c>
      <c r="AE24" s="1036"/>
      <c r="AF24" s="59">
        <v>0</v>
      </c>
      <c r="AG24" s="63">
        <v>15304</v>
      </c>
    </row>
    <row r="25" spans="1:33">
      <c r="A25" s="25">
        <v>18</v>
      </c>
      <c r="B25" s="1027" t="s">
        <v>482</v>
      </c>
      <c r="C25" s="86">
        <v>1296</v>
      </c>
      <c r="D25" s="87">
        <v>1296</v>
      </c>
      <c r="E25" s="87">
        <v>0</v>
      </c>
      <c r="F25" s="87">
        <v>0</v>
      </c>
      <c r="G25" s="65">
        <f>+C25+E25</f>
        <v>1296</v>
      </c>
      <c r="H25" s="66">
        <f>+D25+F25</f>
        <v>1296</v>
      </c>
      <c r="I25" s="88"/>
      <c r="J25" s="88"/>
      <c r="K25" s="86">
        <v>0</v>
      </c>
      <c r="L25" s="68">
        <f>+G25-H25</f>
        <v>0</v>
      </c>
      <c r="M25" s="68">
        <v>0</v>
      </c>
      <c r="N25" s="76"/>
      <c r="O25" s="85">
        <v>206</v>
      </c>
      <c r="P25" s="707">
        <f t="shared" si="5"/>
        <v>1502</v>
      </c>
      <c r="R25" s="25">
        <f t="shared" si="6"/>
        <v>18</v>
      </c>
      <c r="S25" s="37" t="s">
        <v>60</v>
      </c>
      <c r="T25" s="89"/>
      <c r="U25" s="87"/>
      <c r="V25" s="87"/>
      <c r="W25" s="87"/>
      <c r="X25" s="65"/>
      <c r="Y25" s="66"/>
      <c r="Z25" s="88"/>
      <c r="AA25" s="88"/>
      <c r="AB25" s="86"/>
      <c r="AC25" s="68"/>
      <c r="AD25" s="68"/>
      <c r="AE25" s="1036"/>
      <c r="AF25" s="89"/>
      <c r="AG25" s="68"/>
    </row>
    <row r="26" spans="1:33">
      <c r="A26" s="46">
        <f t="shared" si="2"/>
        <v>19</v>
      </c>
      <c r="B26" s="47" t="s">
        <v>59</v>
      </c>
      <c r="C26" s="60">
        <f>C27+C28+C29</f>
        <v>16339</v>
      </c>
      <c r="D26" s="60">
        <f t="shared" ref="D26:M26" si="13">D27+D28+D29</f>
        <v>15304</v>
      </c>
      <c r="E26" s="60">
        <f t="shared" si="13"/>
        <v>0</v>
      </c>
      <c r="F26" s="60">
        <f t="shared" si="13"/>
        <v>0</v>
      </c>
      <c r="G26" s="60">
        <f t="shared" si="13"/>
        <v>16339</v>
      </c>
      <c r="H26" s="60">
        <f t="shared" si="13"/>
        <v>15304</v>
      </c>
      <c r="I26" s="60">
        <f t="shared" si="13"/>
        <v>0</v>
      </c>
      <c r="J26" s="60">
        <f t="shared" si="13"/>
        <v>2178</v>
      </c>
      <c r="K26" s="60">
        <f t="shared" si="13"/>
        <v>267</v>
      </c>
      <c r="L26" s="60">
        <f t="shared" si="13"/>
        <v>1035</v>
      </c>
      <c r="M26" s="60">
        <f t="shared" si="13"/>
        <v>956</v>
      </c>
      <c r="N26" s="76"/>
      <c r="O26" s="701">
        <f>+O29</f>
        <v>0</v>
      </c>
      <c r="P26" s="700">
        <f t="shared" si="5"/>
        <v>15304</v>
      </c>
      <c r="R26" s="46">
        <f t="shared" si="6"/>
        <v>19</v>
      </c>
      <c r="S26" s="47" t="s">
        <v>54</v>
      </c>
      <c r="T26" s="59">
        <v>23105</v>
      </c>
      <c r="U26" s="60">
        <v>22598</v>
      </c>
      <c r="V26" s="60">
        <v>0</v>
      </c>
      <c r="W26" s="60">
        <v>0</v>
      </c>
      <c r="X26" s="60">
        <v>23105</v>
      </c>
      <c r="Y26" s="61">
        <v>22598</v>
      </c>
      <c r="Z26" s="78">
        <v>0</v>
      </c>
      <c r="AA26" s="78">
        <v>9274</v>
      </c>
      <c r="AB26" s="62">
        <v>561</v>
      </c>
      <c r="AC26" s="63">
        <v>507</v>
      </c>
      <c r="AD26" s="63">
        <v>0</v>
      </c>
      <c r="AE26" s="1036"/>
      <c r="AF26" s="59">
        <v>0</v>
      </c>
      <c r="AG26" s="63">
        <v>22598</v>
      </c>
    </row>
    <row r="27" spans="1:33">
      <c r="A27" s="46">
        <v>20</v>
      </c>
      <c r="B27" s="1028" t="s">
        <v>483</v>
      </c>
      <c r="C27" s="62">
        <v>10638</v>
      </c>
      <c r="D27" s="60">
        <v>10492</v>
      </c>
      <c r="E27" s="60">
        <v>0</v>
      </c>
      <c r="F27" s="60">
        <v>0</v>
      </c>
      <c r="G27" s="65">
        <f t="shared" ref="G27:H29" si="14">+C27+E27</f>
        <v>10638</v>
      </c>
      <c r="H27" s="66">
        <f t="shared" si="14"/>
        <v>10492</v>
      </c>
      <c r="I27" s="78"/>
      <c r="J27" s="80">
        <v>2178</v>
      </c>
      <c r="K27" s="62">
        <v>169</v>
      </c>
      <c r="L27" s="63">
        <f>G27-H27</f>
        <v>146</v>
      </c>
      <c r="M27" s="63">
        <v>67</v>
      </c>
      <c r="N27" s="76"/>
      <c r="O27" s="701">
        <v>0</v>
      </c>
      <c r="P27" s="700">
        <f t="shared" si="5"/>
        <v>10492</v>
      </c>
      <c r="R27" s="25">
        <f t="shared" si="6"/>
        <v>20</v>
      </c>
      <c r="S27" s="37" t="s">
        <v>60</v>
      </c>
      <c r="T27" s="94"/>
      <c r="U27" s="92"/>
      <c r="V27" s="92"/>
      <c r="W27" s="92"/>
      <c r="X27" s="65"/>
      <c r="Y27" s="66"/>
      <c r="Z27" s="93"/>
      <c r="AA27" s="93"/>
      <c r="AB27" s="91"/>
      <c r="AC27" s="68"/>
      <c r="AD27" s="68"/>
      <c r="AE27" s="1036"/>
      <c r="AF27" s="94"/>
      <c r="AG27" s="68"/>
    </row>
    <row r="28" spans="1:33">
      <c r="A28" s="46">
        <v>21</v>
      </c>
      <c r="B28" s="1028" t="s">
        <v>484</v>
      </c>
      <c r="C28" s="62">
        <v>219</v>
      </c>
      <c r="D28" s="60">
        <v>219</v>
      </c>
      <c r="E28" s="60">
        <v>0</v>
      </c>
      <c r="F28" s="60">
        <v>0</v>
      </c>
      <c r="G28" s="65">
        <f t="shared" si="14"/>
        <v>219</v>
      </c>
      <c r="H28" s="66">
        <f t="shared" si="14"/>
        <v>219</v>
      </c>
      <c r="I28" s="78"/>
      <c r="J28" s="80">
        <v>0</v>
      </c>
      <c r="K28" s="62">
        <v>0</v>
      </c>
      <c r="L28" s="63">
        <f>G28-H28</f>
        <v>0</v>
      </c>
      <c r="M28" s="63">
        <v>0</v>
      </c>
      <c r="N28" s="76"/>
      <c r="O28" s="701">
        <v>0</v>
      </c>
      <c r="P28" s="700">
        <f t="shared" si="5"/>
        <v>219</v>
      </c>
      <c r="R28" s="24">
        <f t="shared" si="6"/>
        <v>21</v>
      </c>
      <c r="S28" s="38" t="s">
        <v>27</v>
      </c>
      <c r="T28" s="70"/>
      <c r="U28" s="71"/>
      <c r="V28" s="71"/>
      <c r="W28" s="71"/>
      <c r="X28" s="71"/>
      <c r="Y28" s="72"/>
      <c r="Z28" s="90"/>
      <c r="AA28" s="90"/>
      <c r="AB28" s="73"/>
      <c r="AC28" s="74"/>
      <c r="AD28" s="74"/>
      <c r="AE28" s="1036"/>
      <c r="AF28" s="70"/>
      <c r="AG28" s="74"/>
    </row>
    <row r="29" spans="1:33">
      <c r="A29" s="25">
        <v>22</v>
      </c>
      <c r="B29" s="37" t="s">
        <v>485</v>
      </c>
      <c r="C29" s="86">
        <v>5482</v>
      </c>
      <c r="D29" s="87">
        <v>4593</v>
      </c>
      <c r="E29" s="87">
        <v>0</v>
      </c>
      <c r="F29" s="87">
        <v>0</v>
      </c>
      <c r="G29" s="65">
        <f t="shared" si="14"/>
        <v>5482</v>
      </c>
      <c r="H29" s="66">
        <f t="shared" si="14"/>
        <v>4593</v>
      </c>
      <c r="I29" s="88"/>
      <c r="J29" s="267">
        <v>0</v>
      </c>
      <c r="K29" s="86">
        <v>98</v>
      </c>
      <c r="L29" s="68">
        <f>+G29-H29</f>
        <v>889</v>
      </c>
      <c r="M29" s="68">
        <v>889</v>
      </c>
      <c r="N29" s="76"/>
      <c r="O29" s="85">
        <v>0</v>
      </c>
      <c r="P29" s="707">
        <f t="shared" si="5"/>
        <v>4593</v>
      </c>
      <c r="R29" s="29">
        <f t="shared" si="6"/>
        <v>22</v>
      </c>
      <c r="S29" s="43" t="s">
        <v>34</v>
      </c>
      <c r="T29" s="59"/>
      <c r="U29" s="60"/>
      <c r="V29" s="60"/>
      <c r="W29" s="60"/>
      <c r="X29" s="60"/>
      <c r="Y29" s="61"/>
      <c r="Z29" s="78"/>
      <c r="AA29" s="78"/>
      <c r="AB29" s="62"/>
      <c r="AC29" s="63"/>
      <c r="AD29" s="63"/>
      <c r="AE29" s="1036"/>
      <c r="AF29" s="59"/>
      <c r="AG29" s="63"/>
    </row>
    <row r="30" spans="1:33">
      <c r="A30" s="46">
        <f t="shared" si="2"/>
        <v>23</v>
      </c>
      <c r="B30" s="47" t="s">
        <v>54</v>
      </c>
      <c r="C30" s="60">
        <f>C31+C32+C33+C34+C35</f>
        <v>23105</v>
      </c>
      <c r="D30" s="60">
        <f t="shared" ref="D30:L30" si="15">D31+D32+D33+D34+D35</f>
        <v>22598</v>
      </c>
      <c r="E30" s="60">
        <f t="shared" si="15"/>
        <v>0</v>
      </c>
      <c r="F30" s="60">
        <f t="shared" si="15"/>
        <v>0</v>
      </c>
      <c r="G30" s="60">
        <f t="shared" ref="G30:H35" si="16">C30+E30</f>
        <v>23105</v>
      </c>
      <c r="H30" s="60">
        <f t="shared" si="16"/>
        <v>22598</v>
      </c>
      <c r="I30" s="60">
        <f t="shared" si="15"/>
        <v>0</v>
      </c>
      <c r="J30" s="60">
        <f t="shared" si="15"/>
        <v>9274</v>
      </c>
      <c r="K30" s="60">
        <f t="shared" si="15"/>
        <v>561</v>
      </c>
      <c r="L30" s="60">
        <f t="shared" si="15"/>
        <v>507</v>
      </c>
      <c r="M30" s="63">
        <f>+M35</f>
        <v>0</v>
      </c>
      <c r="N30" s="76"/>
      <c r="O30" s="701">
        <f>+O35</f>
        <v>0</v>
      </c>
      <c r="P30" s="700">
        <f t="shared" si="5"/>
        <v>22598</v>
      </c>
      <c r="R30" s="25">
        <f t="shared" si="6"/>
        <v>23</v>
      </c>
      <c r="S30" s="37" t="s">
        <v>60</v>
      </c>
      <c r="T30" s="94"/>
      <c r="U30" s="92"/>
      <c r="V30" s="92"/>
      <c r="W30" s="92"/>
      <c r="X30" s="65"/>
      <c r="Y30" s="66"/>
      <c r="Z30" s="93"/>
      <c r="AA30" s="93"/>
      <c r="AB30" s="91"/>
      <c r="AC30" s="68"/>
      <c r="AD30" s="68"/>
      <c r="AE30" s="1036"/>
      <c r="AF30" s="94"/>
      <c r="AG30" s="68"/>
    </row>
    <row r="31" spans="1:33">
      <c r="A31" s="46">
        <v>24</v>
      </c>
      <c r="B31" s="1029" t="s">
        <v>486</v>
      </c>
      <c r="C31" s="1030">
        <v>18132</v>
      </c>
      <c r="D31" s="1031">
        <v>17642</v>
      </c>
      <c r="E31" s="1031">
        <v>0</v>
      </c>
      <c r="F31" s="1031">
        <v>0</v>
      </c>
      <c r="G31" s="60">
        <f t="shared" si="16"/>
        <v>18132</v>
      </c>
      <c r="H31" s="60">
        <f t="shared" si="16"/>
        <v>17642</v>
      </c>
      <c r="I31" s="1032"/>
      <c r="J31" s="1032">
        <v>8812</v>
      </c>
      <c r="K31" s="1030">
        <v>429</v>
      </c>
      <c r="L31" s="68">
        <f t="shared" ref="L31:L36" si="17">+G31-H31</f>
        <v>490</v>
      </c>
      <c r="M31" s="63">
        <v>0</v>
      </c>
      <c r="N31" s="76"/>
      <c r="O31" s="1033">
        <v>0</v>
      </c>
      <c r="P31" s="707">
        <f t="shared" si="5"/>
        <v>17642</v>
      </c>
      <c r="R31" s="24">
        <f t="shared" si="6"/>
        <v>24</v>
      </c>
      <c r="S31" s="38" t="s">
        <v>32</v>
      </c>
      <c r="T31" s="70">
        <v>1558</v>
      </c>
      <c r="U31" s="71">
        <v>592</v>
      </c>
      <c r="V31" s="71">
        <v>0</v>
      </c>
      <c r="W31" s="71">
        <v>0</v>
      </c>
      <c r="X31" s="71">
        <v>1558</v>
      </c>
      <c r="Y31" s="72">
        <v>592</v>
      </c>
      <c r="Z31" s="90">
        <v>0</v>
      </c>
      <c r="AA31" s="90">
        <v>0</v>
      </c>
      <c r="AB31" s="73">
        <v>0</v>
      </c>
      <c r="AC31" s="74">
        <v>0</v>
      </c>
      <c r="AD31" s="74">
        <v>0</v>
      </c>
      <c r="AE31" s="1036"/>
      <c r="AF31" s="70">
        <v>0</v>
      </c>
      <c r="AG31" s="74">
        <v>592</v>
      </c>
    </row>
    <row r="32" spans="1:33" ht="25.5">
      <c r="A32" s="46">
        <v>25</v>
      </c>
      <c r="B32" s="1034" t="s">
        <v>487</v>
      </c>
      <c r="C32" s="1030">
        <v>334</v>
      </c>
      <c r="D32" s="1031">
        <v>319</v>
      </c>
      <c r="E32" s="1031">
        <v>0</v>
      </c>
      <c r="F32" s="1031">
        <v>0</v>
      </c>
      <c r="G32" s="60">
        <f t="shared" si="16"/>
        <v>334</v>
      </c>
      <c r="H32" s="60">
        <f t="shared" si="16"/>
        <v>319</v>
      </c>
      <c r="I32" s="1032"/>
      <c r="J32" s="1032"/>
      <c r="K32" s="1030"/>
      <c r="L32" s="68">
        <f t="shared" si="17"/>
        <v>15</v>
      </c>
      <c r="M32" s="63">
        <v>0</v>
      </c>
      <c r="N32" s="76"/>
      <c r="O32" s="1033">
        <v>0</v>
      </c>
      <c r="P32" s="707">
        <f t="shared" si="5"/>
        <v>319</v>
      </c>
      <c r="R32" s="46">
        <f t="shared" si="6"/>
        <v>25</v>
      </c>
      <c r="S32" s="47" t="s">
        <v>39</v>
      </c>
      <c r="T32" s="59"/>
      <c r="U32" s="60"/>
      <c r="V32" s="60"/>
      <c r="W32" s="60"/>
      <c r="X32" s="60"/>
      <c r="Y32" s="61"/>
      <c r="Z32" s="78"/>
      <c r="AA32" s="78"/>
      <c r="AB32" s="62"/>
      <c r="AC32" s="63"/>
      <c r="AD32" s="63"/>
      <c r="AE32" s="1036"/>
      <c r="AF32" s="59"/>
      <c r="AG32" s="63"/>
    </row>
    <row r="33" spans="1:33" ht="15.75" thickBot="1">
      <c r="A33" s="46">
        <v>26</v>
      </c>
      <c r="B33" s="1028" t="s">
        <v>488</v>
      </c>
      <c r="C33" s="1030">
        <v>2252</v>
      </c>
      <c r="D33" s="1031">
        <v>2252</v>
      </c>
      <c r="E33" s="1031">
        <v>0</v>
      </c>
      <c r="F33" s="1031">
        <v>0</v>
      </c>
      <c r="G33" s="60">
        <f t="shared" si="16"/>
        <v>2252</v>
      </c>
      <c r="H33" s="60">
        <f t="shared" si="16"/>
        <v>2252</v>
      </c>
      <c r="I33" s="1032"/>
      <c r="J33" s="1032"/>
      <c r="K33" s="1030">
        <v>74</v>
      </c>
      <c r="L33" s="68">
        <f t="shared" si="17"/>
        <v>0</v>
      </c>
      <c r="M33" s="63">
        <v>0</v>
      </c>
      <c r="N33" s="76"/>
      <c r="O33" s="1033">
        <v>0</v>
      </c>
      <c r="P33" s="707">
        <f t="shared" si="5"/>
        <v>2252</v>
      </c>
      <c r="R33" s="25">
        <f t="shared" si="6"/>
        <v>26</v>
      </c>
      <c r="S33" s="37" t="s">
        <v>60</v>
      </c>
      <c r="T33" s="89"/>
      <c r="U33" s="87"/>
      <c r="V33" s="87"/>
      <c r="W33" s="87"/>
      <c r="X33" s="65"/>
      <c r="Y33" s="66"/>
      <c r="Z33" s="88"/>
      <c r="AA33" s="88"/>
      <c r="AB33" s="86"/>
      <c r="AC33" s="68"/>
      <c r="AD33" s="68"/>
      <c r="AE33" s="1036"/>
      <c r="AF33" s="89"/>
      <c r="AG33" s="68"/>
    </row>
    <row r="34" spans="1:33" ht="15.75" thickBot="1">
      <c r="A34" s="46">
        <v>27</v>
      </c>
      <c r="B34" s="1028" t="s">
        <v>489</v>
      </c>
      <c r="C34" s="1030">
        <v>2176</v>
      </c>
      <c r="D34" s="1031">
        <v>2176</v>
      </c>
      <c r="E34" s="1031">
        <v>0</v>
      </c>
      <c r="F34" s="1031">
        <v>0</v>
      </c>
      <c r="G34" s="60">
        <f t="shared" si="16"/>
        <v>2176</v>
      </c>
      <c r="H34" s="60">
        <f t="shared" si="16"/>
        <v>2176</v>
      </c>
      <c r="I34" s="1032"/>
      <c r="J34" s="1032">
        <v>462</v>
      </c>
      <c r="K34" s="1030">
        <v>47</v>
      </c>
      <c r="L34" s="68">
        <f t="shared" si="17"/>
        <v>0</v>
      </c>
      <c r="M34" s="63">
        <v>0</v>
      </c>
      <c r="N34" s="76"/>
      <c r="O34" s="1033">
        <v>0</v>
      </c>
      <c r="P34" s="707">
        <f t="shared" si="5"/>
        <v>2176</v>
      </c>
      <c r="R34" s="31">
        <f t="shared" si="6"/>
        <v>27</v>
      </c>
      <c r="S34" s="39" t="s">
        <v>23</v>
      </c>
      <c r="T34" s="95">
        <v>214517</v>
      </c>
      <c r="U34" s="96">
        <v>211713</v>
      </c>
      <c r="V34" s="96">
        <v>10870</v>
      </c>
      <c r="W34" s="96">
        <v>10870</v>
      </c>
      <c r="X34" s="96">
        <v>225387</v>
      </c>
      <c r="Y34" s="97">
        <v>222583</v>
      </c>
      <c r="Z34" s="98"/>
      <c r="AA34" s="98">
        <v>11720</v>
      </c>
      <c r="AB34" s="99">
        <v>5891</v>
      </c>
      <c r="AC34" s="100">
        <v>1838</v>
      </c>
      <c r="AD34" s="100">
        <v>976</v>
      </c>
      <c r="AE34" s="101"/>
      <c r="AF34" s="95">
        <v>6139</v>
      </c>
      <c r="AG34" s="100">
        <v>228722</v>
      </c>
    </row>
    <row r="35" spans="1:33">
      <c r="A35" s="25">
        <v>28</v>
      </c>
      <c r="B35" s="37" t="s">
        <v>490</v>
      </c>
      <c r="C35" s="91">
        <v>211</v>
      </c>
      <c r="D35" s="92">
        <v>209</v>
      </c>
      <c r="E35" s="1031">
        <v>0</v>
      </c>
      <c r="F35" s="1031">
        <v>0</v>
      </c>
      <c r="G35" s="60">
        <f t="shared" si="16"/>
        <v>211</v>
      </c>
      <c r="H35" s="60">
        <f t="shared" si="16"/>
        <v>209</v>
      </c>
      <c r="I35" s="93"/>
      <c r="J35" s="93"/>
      <c r="K35" s="91">
        <v>11</v>
      </c>
      <c r="L35" s="68">
        <f t="shared" si="17"/>
        <v>2</v>
      </c>
      <c r="M35" s="63">
        <v>0</v>
      </c>
      <c r="N35" s="76"/>
      <c r="O35" s="1033">
        <v>0</v>
      </c>
      <c r="P35" s="707">
        <f t="shared" si="5"/>
        <v>209</v>
      </c>
    </row>
    <row r="36" spans="1:33">
      <c r="A36" s="24">
        <f t="shared" si="2"/>
        <v>29</v>
      </c>
      <c r="B36" s="38" t="s">
        <v>27</v>
      </c>
      <c r="C36" s="70">
        <f>+C37</f>
        <v>0</v>
      </c>
      <c r="D36" s="71">
        <f t="shared" ref="D36:O37" si="18">+D37</f>
        <v>0</v>
      </c>
      <c r="E36" s="71">
        <f t="shared" si="18"/>
        <v>0</v>
      </c>
      <c r="F36" s="71">
        <f t="shared" si="18"/>
        <v>0</v>
      </c>
      <c r="G36" s="71">
        <f>+C36+E36</f>
        <v>0</v>
      </c>
      <c r="H36" s="72">
        <f>+D36+F36</f>
        <v>0</v>
      </c>
      <c r="I36" s="90"/>
      <c r="J36" s="90">
        <f>+J37</f>
        <v>0</v>
      </c>
      <c r="K36" s="73">
        <f>+K37</f>
        <v>0</v>
      </c>
      <c r="L36" s="74">
        <f t="shared" si="17"/>
        <v>0</v>
      </c>
      <c r="M36" s="74">
        <f>+M37</f>
        <v>0</v>
      </c>
      <c r="N36" s="76"/>
      <c r="O36" s="261">
        <f>+O37</f>
        <v>0</v>
      </c>
      <c r="P36" s="275">
        <f>H36+O36</f>
        <v>0</v>
      </c>
    </row>
    <row r="37" spans="1:33">
      <c r="A37" s="29">
        <f t="shared" si="2"/>
        <v>30</v>
      </c>
      <c r="B37" s="43" t="s">
        <v>34</v>
      </c>
      <c r="C37" s="60">
        <f>+C38</f>
        <v>0</v>
      </c>
      <c r="D37" s="60">
        <f t="shared" si="18"/>
        <v>0</v>
      </c>
      <c r="E37" s="60">
        <f t="shared" si="18"/>
        <v>0</v>
      </c>
      <c r="F37" s="60">
        <f t="shared" si="18"/>
        <v>0</v>
      </c>
      <c r="G37" s="60">
        <f t="shared" si="18"/>
        <v>0</v>
      </c>
      <c r="H37" s="61">
        <f t="shared" si="18"/>
        <v>0</v>
      </c>
      <c r="I37" s="78"/>
      <c r="J37" s="78">
        <f t="shared" si="18"/>
        <v>0</v>
      </c>
      <c r="K37" s="62">
        <f t="shared" si="18"/>
        <v>0</v>
      </c>
      <c r="L37" s="63">
        <f t="shared" si="18"/>
        <v>0</v>
      </c>
      <c r="M37" s="63">
        <f t="shared" si="18"/>
        <v>0</v>
      </c>
      <c r="N37" s="76"/>
      <c r="O37" s="701">
        <f t="shared" si="18"/>
        <v>0</v>
      </c>
      <c r="P37" s="700">
        <f t="shared" si="5"/>
        <v>0</v>
      </c>
    </row>
    <row r="38" spans="1:33">
      <c r="A38" s="25">
        <f t="shared" si="2"/>
        <v>31</v>
      </c>
      <c r="B38" s="37" t="s">
        <v>60</v>
      </c>
      <c r="C38" s="91"/>
      <c r="D38" s="92"/>
      <c r="E38" s="92"/>
      <c r="F38" s="92"/>
      <c r="G38" s="65">
        <f>+C38+E38</f>
        <v>0</v>
      </c>
      <c r="H38" s="66">
        <f>+D38+F38</f>
        <v>0</v>
      </c>
      <c r="I38" s="93"/>
      <c r="J38" s="93"/>
      <c r="K38" s="91"/>
      <c r="L38" s="68">
        <f>+G38-H38</f>
        <v>0</v>
      </c>
      <c r="M38" s="68">
        <v>0</v>
      </c>
      <c r="N38" s="76"/>
      <c r="O38" s="1035"/>
      <c r="P38" s="707">
        <f t="shared" si="5"/>
        <v>0</v>
      </c>
    </row>
    <row r="39" spans="1:33">
      <c r="A39" s="24">
        <f t="shared" si="2"/>
        <v>32</v>
      </c>
      <c r="B39" s="38" t="s">
        <v>32</v>
      </c>
      <c r="C39" s="70">
        <f>+C40+C41+C42</f>
        <v>1558</v>
      </c>
      <c r="D39" s="70">
        <f t="shared" ref="D39:M39" si="19">+D40+D41+D42</f>
        <v>592</v>
      </c>
      <c r="E39" s="70">
        <f t="shared" si="19"/>
        <v>0</v>
      </c>
      <c r="F39" s="70">
        <f t="shared" si="19"/>
        <v>0</v>
      </c>
      <c r="G39" s="70">
        <f t="shared" si="19"/>
        <v>1558</v>
      </c>
      <c r="H39" s="70">
        <f t="shared" si="19"/>
        <v>592</v>
      </c>
      <c r="I39" s="70">
        <f t="shared" si="19"/>
        <v>0</v>
      </c>
      <c r="J39" s="70">
        <f t="shared" si="19"/>
        <v>0</v>
      </c>
      <c r="K39" s="70">
        <f t="shared" si="19"/>
        <v>0</v>
      </c>
      <c r="L39" s="70">
        <f t="shared" si="19"/>
        <v>0</v>
      </c>
      <c r="M39" s="70">
        <f t="shared" si="19"/>
        <v>0</v>
      </c>
      <c r="N39" s="76"/>
      <c r="O39" s="261">
        <f>+O40</f>
        <v>0</v>
      </c>
      <c r="P39" s="275">
        <f>H39+O39</f>
        <v>592</v>
      </c>
    </row>
    <row r="40" spans="1:33">
      <c r="A40" s="46">
        <f t="shared" si="2"/>
        <v>33</v>
      </c>
      <c r="B40" s="1028" t="s">
        <v>491</v>
      </c>
      <c r="C40" s="60">
        <v>1125</v>
      </c>
      <c r="D40" s="60">
        <v>387</v>
      </c>
      <c r="E40" s="60">
        <f>+E42</f>
        <v>0</v>
      </c>
      <c r="F40" s="60">
        <f>+F42</f>
        <v>0</v>
      </c>
      <c r="G40" s="65">
        <f t="shared" ref="G40:H42" si="20">+C40+E40</f>
        <v>1125</v>
      </c>
      <c r="H40" s="66">
        <f t="shared" si="20"/>
        <v>387</v>
      </c>
      <c r="I40" s="78"/>
      <c r="J40" s="78">
        <f>+J42</f>
        <v>0</v>
      </c>
      <c r="K40" s="62">
        <f>+K42</f>
        <v>0</v>
      </c>
      <c r="L40" s="63">
        <f>+L42</f>
        <v>0</v>
      </c>
      <c r="M40" s="63">
        <f>+M42</f>
        <v>0</v>
      </c>
      <c r="N40" s="76"/>
      <c r="O40" s="701">
        <f>+O42</f>
        <v>0</v>
      </c>
      <c r="P40" s="700">
        <f t="shared" si="5"/>
        <v>387</v>
      </c>
    </row>
    <row r="41" spans="1:33">
      <c r="A41" s="46">
        <f t="shared" si="2"/>
        <v>34</v>
      </c>
      <c r="B41" s="1028" t="s">
        <v>492</v>
      </c>
      <c r="C41" s="62">
        <v>228</v>
      </c>
      <c r="D41" s="60">
        <v>0</v>
      </c>
      <c r="E41" s="60">
        <v>0</v>
      </c>
      <c r="F41" s="60">
        <v>0</v>
      </c>
      <c r="G41" s="65">
        <f t="shared" si="20"/>
        <v>228</v>
      </c>
      <c r="H41" s="66">
        <f t="shared" si="20"/>
        <v>0</v>
      </c>
      <c r="I41" s="78"/>
      <c r="J41" s="78"/>
      <c r="K41" s="62"/>
      <c r="L41" s="63">
        <v>0</v>
      </c>
      <c r="M41" s="63">
        <v>0</v>
      </c>
      <c r="N41" s="76"/>
      <c r="O41" s="701"/>
      <c r="P41" s="700"/>
    </row>
    <row r="42" spans="1:33" ht="15.75" thickBot="1">
      <c r="A42" s="46">
        <f t="shared" si="2"/>
        <v>35</v>
      </c>
      <c r="B42" s="37" t="s">
        <v>493</v>
      </c>
      <c r="C42" s="86">
        <v>205</v>
      </c>
      <c r="D42" s="87">
        <v>205</v>
      </c>
      <c r="E42" s="87">
        <v>0</v>
      </c>
      <c r="F42" s="87">
        <v>0</v>
      </c>
      <c r="G42" s="65">
        <f t="shared" si="20"/>
        <v>205</v>
      </c>
      <c r="H42" s="66">
        <f t="shared" si="20"/>
        <v>205</v>
      </c>
      <c r="I42" s="88"/>
      <c r="J42" s="88"/>
      <c r="K42" s="86"/>
      <c r="L42" s="68">
        <f>+G42-H42</f>
        <v>0</v>
      </c>
      <c r="M42" s="68">
        <v>0</v>
      </c>
      <c r="N42" s="76"/>
      <c r="O42" s="85"/>
      <c r="P42" s="707">
        <f t="shared" si="5"/>
        <v>205</v>
      </c>
    </row>
    <row r="43" spans="1:33" ht="15.75" thickBot="1">
      <c r="A43" s="46">
        <f t="shared" si="2"/>
        <v>36</v>
      </c>
      <c r="B43" s="39" t="s">
        <v>23</v>
      </c>
      <c r="C43" s="95">
        <f t="shared" ref="C43:H43" si="21">+C7+C22+C36+C39</f>
        <v>214517</v>
      </c>
      <c r="D43" s="96">
        <f t="shared" si="21"/>
        <v>211713</v>
      </c>
      <c r="E43" s="96">
        <f t="shared" si="21"/>
        <v>10870</v>
      </c>
      <c r="F43" s="96">
        <f t="shared" si="21"/>
        <v>10870</v>
      </c>
      <c r="G43" s="96">
        <f t="shared" si="21"/>
        <v>225387</v>
      </c>
      <c r="H43" s="97">
        <f t="shared" si="21"/>
        <v>222583</v>
      </c>
      <c r="I43" s="98"/>
      <c r="J43" s="98">
        <f>+J7+J22+J36+J39</f>
        <v>11720</v>
      </c>
      <c r="K43" s="99">
        <f>+K7+K22+K36+K39</f>
        <v>5891</v>
      </c>
      <c r="L43" s="100">
        <f>+L7+L22+L36+L39</f>
        <v>1838</v>
      </c>
      <c r="M43" s="100">
        <f>+M7+M22+M36+M39</f>
        <v>976</v>
      </c>
      <c r="N43" s="101"/>
      <c r="O43" s="95">
        <f>+O7+O22+O36+O39</f>
        <v>6139</v>
      </c>
      <c r="P43" s="100">
        <f>+P7+P22+P36+P39</f>
        <v>228722</v>
      </c>
    </row>
  </sheetData>
  <mergeCells count="24">
    <mergeCell ref="A4:A6"/>
    <mergeCell ref="B4:B6"/>
    <mergeCell ref="C4:D4"/>
    <mergeCell ref="E4:F4"/>
    <mergeCell ref="G4:H4"/>
    <mergeCell ref="I4:I5"/>
    <mergeCell ref="J4:J5"/>
    <mergeCell ref="K4:K5"/>
    <mergeCell ref="L4:L5"/>
    <mergeCell ref="M4:M5"/>
    <mergeCell ref="O4:O5"/>
    <mergeCell ref="P4:P5"/>
    <mergeCell ref="R4:R6"/>
    <mergeCell ref="S4:S6"/>
    <mergeCell ref="T4:U4"/>
    <mergeCell ref="V4:W4"/>
    <mergeCell ref="X4:Y4"/>
    <mergeCell ref="Z4:Z5"/>
    <mergeCell ref="AA4:AA5"/>
    <mergeCell ref="AB4:AB5"/>
    <mergeCell ref="AC4:AC5"/>
    <mergeCell ref="AD4:AD5"/>
    <mergeCell ref="AF4:AF5"/>
    <mergeCell ref="AG4:AG5"/>
  </mergeCells>
  <pageMargins left="0.7" right="0.7" top="0.78740157499999996" bottom="0.78740157499999996"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9"/>
  <dimension ref="A1:AG34"/>
  <sheetViews>
    <sheetView zoomScale="85" zoomScaleNormal="85" workbookViewId="0">
      <selection activeCell="R1" sqref="R1:AG65536"/>
    </sheetView>
  </sheetViews>
  <sheetFormatPr defaultRowHeight="15"/>
  <cols>
    <col min="1" max="1" width="9.42578125" customWidth="1"/>
    <col min="2" max="2" width="45.85546875" customWidth="1"/>
    <col min="3" max="3" width="12.7109375" customWidth="1"/>
    <col min="4" max="4" width="11.5703125" customWidth="1"/>
    <col min="5" max="5" width="11.28515625" customWidth="1"/>
    <col min="6" max="6" width="11.5703125" customWidth="1"/>
    <col min="7" max="7" width="12.42578125" customWidth="1"/>
    <col min="8" max="8" width="12.5703125" customWidth="1"/>
    <col min="9" max="9" width="10.42578125" customWidth="1"/>
    <col min="10" max="10" width="12.5703125" customWidth="1"/>
    <col min="11" max="11" width="10.5703125" customWidth="1"/>
    <col min="12" max="12" width="14" customWidth="1"/>
    <col min="13" max="13" width="12.42578125" customWidth="1"/>
    <col min="14" max="14" width="1.7109375" customWidth="1"/>
    <col min="15" max="15" width="11" customWidth="1"/>
    <col min="16" max="16" width="10.85546875" customWidth="1"/>
    <col min="18" max="18" width="9.42578125" hidden="1" customWidth="1"/>
    <col min="19" max="19" width="45.85546875" hidden="1" customWidth="1"/>
    <col min="20" max="20" width="12.7109375" hidden="1" customWidth="1"/>
    <col min="21" max="21" width="11.5703125" hidden="1" customWidth="1"/>
    <col min="22" max="22" width="11.28515625" hidden="1" customWidth="1"/>
    <col min="23" max="23" width="11.5703125" hidden="1" customWidth="1"/>
    <col min="24" max="25" width="12.140625" hidden="1" customWidth="1"/>
    <col min="26" max="26" width="10.42578125" hidden="1" customWidth="1"/>
    <col min="27" max="27" width="12.5703125" hidden="1" customWidth="1"/>
    <col min="28" max="28" width="10.5703125" hidden="1" customWidth="1"/>
    <col min="29" max="29" width="14" hidden="1" customWidth="1"/>
    <col min="30" max="30" width="12.42578125" hidden="1" customWidth="1"/>
    <col min="31" max="31" width="1.7109375" hidden="1" customWidth="1"/>
    <col min="32" max="32" width="11" hidden="1" customWidth="1"/>
    <col min="33" max="33" width="10.85546875" hidden="1" customWidth="1"/>
  </cols>
  <sheetData>
    <row r="1" spans="1:33" ht="15.75">
      <c r="A1" s="102" t="s">
        <v>44</v>
      </c>
      <c r="B1" s="28"/>
      <c r="C1" s="20"/>
      <c r="D1" s="20"/>
      <c r="E1" s="20"/>
      <c r="F1" s="20"/>
      <c r="G1" s="20"/>
      <c r="H1" s="20"/>
      <c r="I1" s="20"/>
      <c r="J1" s="20"/>
      <c r="K1" s="20"/>
      <c r="L1" s="20"/>
      <c r="M1" s="20"/>
      <c r="N1" s="22"/>
      <c r="O1" s="20"/>
      <c r="P1" s="20"/>
    </row>
    <row r="2" spans="1:33" ht="15.75">
      <c r="A2" s="3"/>
      <c r="B2" s="2" t="s">
        <v>43</v>
      </c>
      <c r="C2" s="20"/>
      <c r="D2" s="20"/>
      <c r="E2" s="20"/>
      <c r="F2" s="20"/>
      <c r="G2" s="20"/>
      <c r="H2" s="20"/>
      <c r="I2" s="20"/>
      <c r="J2" s="20"/>
      <c r="K2" s="20"/>
      <c r="L2" s="20"/>
      <c r="M2" s="20"/>
      <c r="N2" s="22"/>
      <c r="O2" s="20"/>
      <c r="P2" s="20"/>
    </row>
    <row r="3" spans="1:33" ht="16.5" thickBot="1">
      <c r="A3" s="20"/>
      <c r="B3" s="19"/>
      <c r="C3" s="20"/>
      <c r="D3" s="20"/>
      <c r="E3" s="20"/>
      <c r="F3" s="20"/>
      <c r="G3" s="20"/>
      <c r="H3" s="20"/>
      <c r="I3" s="20"/>
      <c r="J3" s="20"/>
      <c r="K3" s="20"/>
      <c r="L3" s="20"/>
      <c r="M3" s="20"/>
      <c r="N3" s="22"/>
      <c r="O3" s="20"/>
      <c r="P3" s="23" t="s">
        <v>2</v>
      </c>
    </row>
    <row r="4" spans="1:33">
      <c r="A4" s="1357" t="s">
        <v>1</v>
      </c>
      <c r="B4" s="1354" t="s">
        <v>46</v>
      </c>
      <c r="C4" s="1394" t="s">
        <v>18</v>
      </c>
      <c r="D4" s="1361"/>
      <c r="E4" s="1361" t="s">
        <v>19</v>
      </c>
      <c r="F4" s="1361"/>
      <c r="G4" s="1364" t="s">
        <v>20</v>
      </c>
      <c r="H4" s="1365"/>
      <c r="I4" s="1349" t="s">
        <v>47</v>
      </c>
      <c r="J4" s="1349" t="s">
        <v>48</v>
      </c>
      <c r="K4" s="1351" t="s">
        <v>49</v>
      </c>
      <c r="L4" s="1362" t="s">
        <v>117</v>
      </c>
      <c r="M4" s="1370" t="s">
        <v>118</v>
      </c>
      <c r="N4" s="9"/>
      <c r="O4" s="1366" t="s">
        <v>65</v>
      </c>
      <c r="P4" s="1368" t="s">
        <v>21</v>
      </c>
      <c r="R4" s="1357" t="s">
        <v>1</v>
      </c>
      <c r="S4" s="1354" t="s">
        <v>46</v>
      </c>
      <c r="T4" s="1360" t="s">
        <v>18</v>
      </c>
      <c r="U4" s="1361"/>
      <c r="V4" s="1361" t="s">
        <v>19</v>
      </c>
      <c r="W4" s="1361"/>
      <c r="X4" s="1364" t="s">
        <v>20</v>
      </c>
      <c r="Y4" s="1365"/>
      <c r="Z4" s="1349" t="s">
        <v>47</v>
      </c>
      <c r="AA4" s="1349" t="s">
        <v>48</v>
      </c>
      <c r="AB4" s="1351" t="s">
        <v>49</v>
      </c>
      <c r="AC4" s="1362" t="s">
        <v>62</v>
      </c>
      <c r="AD4" s="1370" t="s">
        <v>69</v>
      </c>
      <c r="AE4" s="1037"/>
      <c r="AF4" s="1366" t="s">
        <v>65</v>
      </c>
      <c r="AG4" s="1368" t="s">
        <v>21</v>
      </c>
    </row>
    <row r="5" spans="1:33">
      <c r="A5" s="1358"/>
      <c r="B5" s="1355"/>
      <c r="C5" s="10" t="s">
        <v>26</v>
      </c>
      <c r="D5" s="11" t="s">
        <v>50</v>
      </c>
      <c r="E5" s="10" t="s">
        <v>12</v>
      </c>
      <c r="F5" s="11" t="s">
        <v>16</v>
      </c>
      <c r="G5" s="11" t="s">
        <v>12</v>
      </c>
      <c r="H5" s="33" t="s">
        <v>16</v>
      </c>
      <c r="I5" s="1350"/>
      <c r="J5" s="1350"/>
      <c r="K5" s="1352"/>
      <c r="L5" s="1363"/>
      <c r="M5" s="1371"/>
      <c r="N5" s="9"/>
      <c r="O5" s="1367"/>
      <c r="P5" s="1369"/>
      <c r="R5" s="1358"/>
      <c r="S5" s="1355"/>
      <c r="T5" s="1077" t="s">
        <v>26</v>
      </c>
      <c r="U5" s="11" t="s">
        <v>50</v>
      </c>
      <c r="V5" s="10" t="s">
        <v>12</v>
      </c>
      <c r="W5" s="11" t="s">
        <v>16</v>
      </c>
      <c r="X5" s="11" t="s">
        <v>12</v>
      </c>
      <c r="Y5" s="33" t="s">
        <v>16</v>
      </c>
      <c r="Z5" s="1350"/>
      <c r="AA5" s="1350"/>
      <c r="AB5" s="1352"/>
      <c r="AC5" s="1363"/>
      <c r="AD5" s="1371"/>
      <c r="AE5" s="1037"/>
      <c r="AF5" s="1367"/>
      <c r="AG5" s="1369"/>
    </row>
    <row r="6" spans="1:33" ht="15.75" thickBot="1">
      <c r="A6" s="1359"/>
      <c r="B6" s="1356"/>
      <c r="C6" s="12" t="s">
        <v>4</v>
      </c>
      <c r="D6" s="13" t="s">
        <v>5</v>
      </c>
      <c r="E6" s="13" t="s">
        <v>6</v>
      </c>
      <c r="F6" s="13" t="s">
        <v>7</v>
      </c>
      <c r="G6" s="13" t="s">
        <v>13</v>
      </c>
      <c r="H6" s="34" t="s">
        <v>14</v>
      </c>
      <c r="I6" s="45" t="s">
        <v>28</v>
      </c>
      <c r="J6" s="45" t="s">
        <v>31</v>
      </c>
      <c r="K6" s="32" t="s">
        <v>9</v>
      </c>
      <c r="L6" s="14" t="s">
        <v>22</v>
      </c>
      <c r="M6" s="14" t="s">
        <v>63</v>
      </c>
      <c r="N6" s="9"/>
      <c r="O6" s="44" t="s">
        <v>10</v>
      </c>
      <c r="P6" s="14" t="s">
        <v>64</v>
      </c>
      <c r="R6" s="1359"/>
      <c r="S6" s="1356"/>
      <c r="T6" s="1078" t="s">
        <v>4</v>
      </c>
      <c r="U6" s="13" t="s">
        <v>5</v>
      </c>
      <c r="V6" s="13" t="s">
        <v>6</v>
      </c>
      <c r="W6" s="13" t="s">
        <v>7</v>
      </c>
      <c r="X6" s="13" t="s">
        <v>13</v>
      </c>
      <c r="Y6" s="34" t="s">
        <v>14</v>
      </c>
      <c r="Z6" s="45" t="s">
        <v>28</v>
      </c>
      <c r="AA6" s="45" t="s">
        <v>31</v>
      </c>
      <c r="AB6" s="32" t="s">
        <v>9</v>
      </c>
      <c r="AC6" s="14" t="s">
        <v>22</v>
      </c>
      <c r="AD6" s="14" t="s">
        <v>63</v>
      </c>
      <c r="AE6" s="1037"/>
      <c r="AF6" s="44" t="s">
        <v>10</v>
      </c>
      <c r="AG6" s="14" t="s">
        <v>64</v>
      </c>
    </row>
    <row r="7" spans="1:33">
      <c r="A7" s="24">
        <v>1</v>
      </c>
      <c r="B7" s="38" t="s">
        <v>15</v>
      </c>
      <c r="C7" s="55">
        <f t="shared" ref="C7:H7" si="0">+C8+C11</f>
        <v>100100.111</v>
      </c>
      <c r="D7" s="55">
        <f t="shared" si="0"/>
        <v>100100.111</v>
      </c>
      <c r="E7" s="55">
        <f t="shared" si="0"/>
        <v>0</v>
      </c>
      <c r="F7" s="55">
        <f t="shared" si="0"/>
        <v>0</v>
      </c>
      <c r="G7" s="55">
        <f t="shared" si="0"/>
        <v>100100.111</v>
      </c>
      <c r="H7" s="56">
        <f t="shared" si="0"/>
        <v>100100.111</v>
      </c>
      <c r="I7" s="75">
        <v>0</v>
      </c>
      <c r="J7" s="75">
        <f>+J8+J11</f>
        <v>0</v>
      </c>
      <c r="K7" s="57">
        <f>+K8+K11</f>
        <v>790.01639</v>
      </c>
      <c r="L7" s="58">
        <f>+L8+L11</f>
        <v>0</v>
      </c>
      <c r="M7" s="58">
        <f>+M8+M11</f>
        <v>0</v>
      </c>
      <c r="N7" s="76"/>
      <c r="O7" s="54">
        <f>+O8+O11</f>
        <v>0</v>
      </c>
      <c r="P7" s="55">
        <f>+P8+P11</f>
        <v>100100.111</v>
      </c>
      <c r="R7" s="24">
        <v>1</v>
      </c>
      <c r="S7" s="38" t="s">
        <v>15</v>
      </c>
      <c r="T7" s="54">
        <v>100100.111</v>
      </c>
      <c r="U7" s="55">
        <v>100100.111</v>
      </c>
      <c r="V7" s="55">
        <v>0</v>
      </c>
      <c r="W7" s="55">
        <v>0</v>
      </c>
      <c r="X7" s="55">
        <v>100100.111</v>
      </c>
      <c r="Y7" s="56">
        <v>100100.111</v>
      </c>
      <c r="Z7" s="75">
        <v>0</v>
      </c>
      <c r="AA7" s="75">
        <v>0</v>
      </c>
      <c r="AB7" s="57">
        <v>790.01639</v>
      </c>
      <c r="AC7" s="58">
        <v>0</v>
      </c>
      <c r="AD7" s="58">
        <v>0</v>
      </c>
      <c r="AE7" s="1036"/>
      <c r="AF7" s="54">
        <v>0</v>
      </c>
      <c r="AG7" s="58">
        <v>100100.111</v>
      </c>
    </row>
    <row r="8" spans="1:33">
      <c r="A8" s="48">
        <f>A7+1</f>
        <v>2</v>
      </c>
      <c r="B8" s="35" t="s">
        <v>35</v>
      </c>
      <c r="C8" s="60">
        <f t="shared" ref="C8:H8" si="1">SUM(C9:C10)</f>
        <v>68808.993000000002</v>
      </c>
      <c r="D8" s="60">
        <f t="shared" si="1"/>
        <v>68808.993000000002</v>
      </c>
      <c r="E8" s="60">
        <f t="shared" si="1"/>
        <v>0</v>
      </c>
      <c r="F8" s="60">
        <f t="shared" si="1"/>
        <v>0</v>
      </c>
      <c r="G8" s="60">
        <f t="shared" si="1"/>
        <v>68808.993000000002</v>
      </c>
      <c r="H8" s="61">
        <f t="shared" si="1"/>
        <v>68808.993000000002</v>
      </c>
      <c r="I8" s="77">
        <v>0</v>
      </c>
      <c r="J8" s="78">
        <f>SUM(J9:J10)</f>
        <v>0</v>
      </c>
      <c r="K8" s="62">
        <f>SUM(K9:K10)</f>
        <v>742.226</v>
      </c>
      <c r="L8" s="63">
        <f>SUM(L9:L10)</f>
        <v>0</v>
      </c>
      <c r="M8" s="63">
        <f>SUM(M9:M10)</f>
        <v>0</v>
      </c>
      <c r="N8" s="76"/>
      <c r="O8" s="59">
        <f>SUM(O9:O10)</f>
        <v>0</v>
      </c>
      <c r="P8" s="63">
        <f>SUM(P9:P10)</f>
        <v>68808.993000000002</v>
      </c>
      <c r="R8" s="48">
        <f>R7+1</f>
        <v>2</v>
      </c>
      <c r="S8" s="35" t="s">
        <v>35</v>
      </c>
      <c r="T8" s="59">
        <v>68808.993000000002</v>
      </c>
      <c r="U8" s="60">
        <v>68808.993000000002</v>
      </c>
      <c r="V8" s="60">
        <v>0</v>
      </c>
      <c r="W8" s="60">
        <v>0</v>
      </c>
      <c r="X8" s="60">
        <v>68808.993000000002</v>
      </c>
      <c r="Y8" s="61">
        <v>68808.993000000002</v>
      </c>
      <c r="Z8" s="77">
        <v>0</v>
      </c>
      <c r="AA8" s="78">
        <v>0</v>
      </c>
      <c r="AB8" s="62">
        <v>742.226</v>
      </c>
      <c r="AC8" s="63">
        <v>0</v>
      </c>
      <c r="AD8" s="63">
        <v>0</v>
      </c>
      <c r="AE8" s="1036"/>
      <c r="AF8" s="59">
        <v>0</v>
      </c>
      <c r="AG8" s="63">
        <v>68808.993000000002</v>
      </c>
    </row>
    <row r="9" spans="1:33">
      <c r="A9" s="25">
        <f t="shared" ref="A9:A25" si="2">A8+1</f>
        <v>3</v>
      </c>
      <c r="B9" s="36" t="s">
        <v>58</v>
      </c>
      <c r="C9" s="65">
        <v>68808.993000000002</v>
      </c>
      <c r="D9" s="65">
        <v>68808.993000000002</v>
      </c>
      <c r="E9" s="65">
        <v>0</v>
      </c>
      <c r="F9" s="65">
        <v>0</v>
      </c>
      <c r="G9" s="65">
        <f t="shared" ref="G9:H11" si="3">+C9+E9</f>
        <v>68808.993000000002</v>
      </c>
      <c r="H9" s="66">
        <f t="shared" si="3"/>
        <v>68808.993000000002</v>
      </c>
      <c r="I9" s="79">
        <v>0</v>
      </c>
      <c r="J9" s="80">
        <v>0</v>
      </c>
      <c r="K9" s="67">
        <v>742.226</v>
      </c>
      <c r="L9" s="68">
        <f t="shared" ref="L9:L16" si="4">+G9-H9</f>
        <v>0</v>
      </c>
      <c r="M9" s="68">
        <v>0</v>
      </c>
      <c r="N9" s="76"/>
      <c r="O9" s="64">
        <v>0</v>
      </c>
      <c r="P9" s="68">
        <f>H9+O9</f>
        <v>68808.993000000002</v>
      </c>
      <c r="R9" s="25">
        <f t="shared" ref="R9:R34" si="5">R8+1</f>
        <v>3</v>
      </c>
      <c r="S9" s="36" t="s">
        <v>58</v>
      </c>
      <c r="T9" s="64">
        <v>68808.993000000002</v>
      </c>
      <c r="U9" s="65">
        <v>68808.993000000002</v>
      </c>
      <c r="V9" s="65">
        <v>0</v>
      </c>
      <c r="W9" s="65">
        <v>0</v>
      </c>
      <c r="X9" s="65">
        <v>68808.993000000002</v>
      </c>
      <c r="Y9" s="66">
        <v>68808.993000000002</v>
      </c>
      <c r="Z9" s="80">
        <v>0</v>
      </c>
      <c r="AA9" s="80">
        <v>0</v>
      </c>
      <c r="AB9" s="67">
        <v>742.226</v>
      </c>
      <c r="AC9" s="68">
        <v>0</v>
      </c>
      <c r="AD9" s="68">
        <v>0</v>
      </c>
      <c r="AE9" s="1036"/>
      <c r="AF9" s="64">
        <v>0</v>
      </c>
      <c r="AG9" s="68">
        <v>68808.993000000002</v>
      </c>
    </row>
    <row r="10" spans="1:33">
      <c r="A10" s="25">
        <f t="shared" si="2"/>
        <v>4</v>
      </c>
      <c r="B10" s="36" t="s">
        <v>36</v>
      </c>
      <c r="C10" s="65">
        <v>0</v>
      </c>
      <c r="D10" s="65">
        <v>0</v>
      </c>
      <c r="E10" s="65">
        <v>0</v>
      </c>
      <c r="F10" s="65">
        <v>0</v>
      </c>
      <c r="G10" s="65">
        <f t="shared" si="3"/>
        <v>0</v>
      </c>
      <c r="H10" s="66">
        <f t="shared" si="3"/>
        <v>0</v>
      </c>
      <c r="I10" s="79">
        <v>0</v>
      </c>
      <c r="J10" s="80">
        <v>0</v>
      </c>
      <c r="K10" s="67">
        <v>0</v>
      </c>
      <c r="L10" s="68">
        <f>+G10-H10</f>
        <v>0</v>
      </c>
      <c r="M10" s="68">
        <v>0</v>
      </c>
      <c r="N10" s="76"/>
      <c r="O10" s="64">
        <v>0</v>
      </c>
      <c r="P10" s="68">
        <f>H10+O10</f>
        <v>0</v>
      </c>
      <c r="R10" s="25">
        <f t="shared" si="5"/>
        <v>4</v>
      </c>
      <c r="S10" s="36" t="s">
        <v>36</v>
      </c>
      <c r="T10" s="64">
        <v>0</v>
      </c>
      <c r="U10" s="65">
        <v>0</v>
      </c>
      <c r="V10" s="65">
        <v>0</v>
      </c>
      <c r="W10" s="65">
        <v>0</v>
      </c>
      <c r="X10" s="65">
        <v>0</v>
      </c>
      <c r="Y10" s="249">
        <v>0</v>
      </c>
      <c r="Z10" s="80">
        <v>0</v>
      </c>
      <c r="AA10" s="80">
        <v>0</v>
      </c>
      <c r="AB10" s="67">
        <v>0</v>
      </c>
      <c r="AC10" s="68">
        <v>0</v>
      </c>
      <c r="AD10" s="68">
        <v>0</v>
      </c>
      <c r="AE10" s="1036"/>
      <c r="AF10" s="64">
        <v>0</v>
      </c>
      <c r="AG10" s="68">
        <v>0</v>
      </c>
    </row>
    <row r="11" spans="1:33">
      <c r="A11" s="48">
        <v>5</v>
      </c>
      <c r="B11" s="35" t="s">
        <v>42</v>
      </c>
      <c r="C11" s="60">
        <f>+C12+C14+C15+C16</f>
        <v>31291.117999999999</v>
      </c>
      <c r="D11" s="60">
        <f>+D12+D14+D15+D16</f>
        <v>31291.117999999999</v>
      </c>
      <c r="E11" s="60">
        <f>+E12+E14+E15+E16</f>
        <v>0</v>
      </c>
      <c r="F11" s="60">
        <f>+F12+F14+F15+F16</f>
        <v>0</v>
      </c>
      <c r="G11" s="60">
        <f t="shared" si="3"/>
        <v>31291.117999999999</v>
      </c>
      <c r="H11" s="61">
        <f t="shared" si="3"/>
        <v>31291.117999999999</v>
      </c>
      <c r="I11" s="78">
        <v>0</v>
      </c>
      <c r="J11" s="78">
        <f>+J12+J14+J15+J16</f>
        <v>0</v>
      </c>
      <c r="K11" s="62">
        <f>+K12+K14+K15+K16</f>
        <v>47.790390000000002</v>
      </c>
      <c r="L11" s="63">
        <f>+G11-H11</f>
        <v>0</v>
      </c>
      <c r="M11" s="63">
        <f>+M12+M14+M15+M16</f>
        <v>0</v>
      </c>
      <c r="N11" s="76"/>
      <c r="O11" s="59">
        <f>+O12+O14+O15+O16</f>
        <v>0</v>
      </c>
      <c r="P11" s="63">
        <f>H11+O11</f>
        <v>31291.117999999999</v>
      </c>
      <c r="R11" s="25">
        <f t="shared" si="5"/>
        <v>5</v>
      </c>
      <c r="S11" s="37" t="s">
        <v>30</v>
      </c>
      <c r="T11" s="64"/>
      <c r="U11" s="65"/>
      <c r="V11" s="65"/>
      <c r="W11" s="65"/>
      <c r="X11" s="65"/>
      <c r="Y11" s="66"/>
      <c r="Z11" s="79"/>
      <c r="AA11" s="80"/>
      <c r="AB11" s="67"/>
      <c r="AC11" s="68"/>
      <c r="AD11" s="68"/>
      <c r="AE11" s="1036"/>
      <c r="AF11" s="64"/>
      <c r="AG11" s="68"/>
    </row>
    <row r="12" spans="1:33">
      <c r="A12" s="29">
        <f t="shared" si="2"/>
        <v>6</v>
      </c>
      <c r="B12" s="36" t="s">
        <v>51</v>
      </c>
      <c r="C12" s="86">
        <v>11140</v>
      </c>
      <c r="D12" s="87">
        <v>11140</v>
      </c>
      <c r="E12" s="87">
        <v>0</v>
      </c>
      <c r="F12" s="87">
        <v>0</v>
      </c>
      <c r="G12" s="65">
        <f>+C12+E12</f>
        <v>11140</v>
      </c>
      <c r="H12" s="66">
        <f>+D12+F12</f>
        <v>11140</v>
      </c>
      <c r="I12" s="79">
        <v>0</v>
      </c>
      <c r="J12" s="88">
        <v>0</v>
      </c>
      <c r="K12" s="86">
        <v>0</v>
      </c>
      <c r="L12" s="68">
        <f>+G12-H12</f>
        <v>0</v>
      </c>
      <c r="M12" s="68">
        <v>0</v>
      </c>
      <c r="N12" s="76"/>
      <c r="O12" s="89">
        <v>0</v>
      </c>
      <c r="P12" s="68">
        <f>H12+O12</f>
        <v>11140</v>
      </c>
      <c r="R12" s="48">
        <f t="shared" si="5"/>
        <v>6</v>
      </c>
      <c r="S12" s="35" t="s">
        <v>42</v>
      </c>
      <c r="T12" s="59">
        <v>31291.117999999999</v>
      </c>
      <c r="U12" s="60">
        <v>31291.117999999999</v>
      </c>
      <c r="V12" s="60">
        <v>0</v>
      </c>
      <c r="W12" s="60">
        <v>0</v>
      </c>
      <c r="X12" s="60">
        <v>31291.117999999999</v>
      </c>
      <c r="Y12" s="61">
        <v>31291.117999999999</v>
      </c>
      <c r="Z12" s="78">
        <v>0</v>
      </c>
      <c r="AA12" s="78">
        <v>0</v>
      </c>
      <c r="AB12" s="62">
        <v>47.790390000000002</v>
      </c>
      <c r="AC12" s="63">
        <v>0</v>
      </c>
      <c r="AD12" s="63">
        <v>0</v>
      </c>
      <c r="AE12" s="1036"/>
      <c r="AF12" s="59">
        <v>0</v>
      </c>
      <c r="AG12" s="63">
        <v>31291.117999999999</v>
      </c>
    </row>
    <row r="13" spans="1:33">
      <c r="A13" s="29">
        <v>7</v>
      </c>
      <c r="B13" s="36" t="s">
        <v>61</v>
      </c>
      <c r="C13" s="86">
        <v>0</v>
      </c>
      <c r="D13" s="87">
        <v>0</v>
      </c>
      <c r="E13" s="87">
        <v>0</v>
      </c>
      <c r="F13" s="87">
        <v>0</v>
      </c>
      <c r="G13" s="65">
        <f>+C13+E13</f>
        <v>0</v>
      </c>
      <c r="H13" s="66">
        <f>+D13+F13</f>
        <v>0</v>
      </c>
      <c r="I13" s="79">
        <v>0</v>
      </c>
      <c r="J13" s="88">
        <v>0</v>
      </c>
      <c r="K13" s="86">
        <v>0</v>
      </c>
      <c r="L13" s="68">
        <f t="shared" si="4"/>
        <v>0</v>
      </c>
      <c r="M13" s="68">
        <v>0</v>
      </c>
      <c r="N13" s="76"/>
      <c r="O13" s="89">
        <v>0</v>
      </c>
      <c r="P13" s="68">
        <f>H13+O13</f>
        <v>0</v>
      </c>
      <c r="R13" s="29">
        <f t="shared" si="5"/>
        <v>7</v>
      </c>
      <c r="S13" s="36" t="s">
        <v>51</v>
      </c>
      <c r="T13" s="85">
        <v>11140</v>
      </c>
      <c r="U13" s="82">
        <v>11140</v>
      </c>
      <c r="V13" s="82">
        <v>0</v>
      </c>
      <c r="W13" s="82">
        <v>0</v>
      </c>
      <c r="X13" s="65">
        <v>11140</v>
      </c>
      <c r="Y13" s="66">
        <v>11140</v>
      </c>
      <c r="Z13" s="79">
        <v>0</v>
      </c>
      <c r="AA13" s="83">
        <v>0</v>
      </c>
      <c r="AB13" s="81">
        <v>0</v>
      </c>
      <c r="AC13" s="68">
        <v>0</v>
      </c>
      <c r="AD13" s="68">
        <v>0</v>
      </c>
      <c r="AE13" s="706"/>
      <c r="AF13" s="85">
        <v>0</v>
      </c>
      <c r="AG13" s="68">
        <v>11140</v>
      </c>
    </row>
    <row r="14" spans="1:33">
      <c r="A14" s="29">
        <v>8</v>
      </c>
      <c r="B14" s="36" t="s">
        <v>52</v>
      </c>
      <c r="C14" s="86">
        <v>0</v>
      </c>
      <c r="D14" s="87">
        <v>0</v>
      </c>
      <c r="E14" s="87">
        <v>0</v>
      </c>
      <c r="F14" s="87">
        <v>0</v>
      </c>
      <c r="G14" s="65">
        <f t="shared" ref="G14:H16" si="6">+C14+E14</f>
        <v>0</v>
      </c>
      <c r="H14" s="66">
        <f t="shared" si="6"/>
        <v>0</v>
      </c>
      <c r="I14" s="79">
        <v>0</v>
      </c>
      <c r="J14" s="88">
        <v>0</v>
      </c>
      <c r="K14" s="86">
        <v>0</v>
      </c>
      <c r="L14" s="68">
        <f t="shared" si="4"/>
        <v>0</v>
      </c>
      <c r="M14" s="68">
        <v>0</v>
      </c>
      <c r="N14" s="76"/>
      <c r="O14" s="89">
        <v>0</v>
      </c>
      <c r="P14" s="68">
        <f t="shared" ref="P14:P20" si="7">H14+O14</f>
        <v>0</v>
      </c>
      <c r="R14" s="29"/>
      <c r="S14" s="36" t="s">
        <v>61</v>
      </c>
      <c r="T14" s="85"/>
      <c r="U14" s="82"/>
      <c r="V14" s="82"/>
      <c r="W14" s="82"/>
      <c r="X14" s="65"/>
      <c r="Y14" s="66"/>
      <c r="Z14" s="79"/>
      <c r="AA14" s="83"/>
      <c r="AB14" s="81"/>
      <c r="AC14" s="68"/>
      <c r="AD14" s="68"/>
      <c r="AE14" s="706"/>
      <c r="AF14" s="85"/>
      <c r="AG14" s="68"/>
    </row>
    <row r="15" spans="1:33">
      <c r="A15" s="29">
        <v>9</v>
      </c>
      <c r="B15" s="36" t="s">
        <v>37</v>
      </c>
      <c r="C15" s="86">
        <v>20151.117999999999</v>
      </c>
      <c r="D15" s="87">
        <v>20151.117999999999</v>
      </c>
      <c r="E15" s="87">
        <v>0</v>
      </c>
      <c r="F15" s="87">
        <v>0</v>
      </c>
      <c r="G15" s="65">
        <f t="shared" si="6"/>
        <v>20151.117999999999</v>
      </c>
      <c r="H15" s="66">
        <f t="shared" si="6"/>
        <v>20151.117999999999</v>
      </c>
      <c r="I15" s="88">
        <v>0</v>
      </c>
      <c r="J15" s="88">
        <v>0</v>
      </c>
      <c r="K15" s="86">
        <v>47.790390000000002</v>
      </c>
      <c r="L15" s="68">
        <f t="shared" si="4"/>
        <v>0</v>
      </c>
      <c r="M15" s="68">
        <v>0</v>
      </c>
      <c r="N15" s="76"/>
      <c r="O15" s="89">
        <v>0</v>
      </c>
      <c r="P15" s="68">
        <f t="shared" si="7"/>
        <v>20151.117999999999</v>
      </c>
      <c r="R15" s="25">
        <f>R13+1</f>
        <v>8</v>
      </c>
      <c r="S15" s="37" t="s">
        <v>66</v>
      </c>
      <c r="T15" s="89"/>
      <c r="U15" s="87"/>
      <c r="V15" s="87"/>
      <c r="W15" s="87"/>
      <c r="X15" s="65"/>
      <c r="Y15" s="66"/>
      <c r="Z15" s="88"/>
      <c r="AA15" s="88"/>
      <c r="AB15" s="86"/>
      <c r="AC15" s="68"/>
      <c r="AD15" s="68"/>
      <c r="AE15" s="1036"/>
      <c r="AF15" s="89"/>
      <c r="AG15" s="68"/>
    </row>
    <row r="16" spans="1:33">
      <c r="A16" s="29">
        <f t="shared" si="2"/>
        <v>10</v>
      </c>
      <c r="B16" s="50" t="s">
        <v>38</v>
      </c>
      <c r="C16" s="86">
        <v>0</v>
      </c>
      <c r="D16" s="87">
        <v>0</v>
      </c>
      <c r="E16" s="87">
        <v>0</v>
      </c>
      <c r="F16" s="87">
        <v>0</v>
      </c>
      <c r="G16" s="65">
        <f t="shared" si="6"/>
        <v>0</v>
      </c>
      <c r="H16" s="66">
        <f t="shared" si="6"/>
        <v>0</v>
      </c>
      <c r="I16" s="88">
        <v>0</v>
      </c>
      <c r="J16" s="88">
        <v>0</v>
      </c>
      <c r="K16" s="86">
        <v>0</v>
      </c>
      <c r="L16" s="68">
        <f t="shared" si="4"/>
        <v>0</v>
      </c>
      <c r="M16" s="68">
        <v>0</v>
      </c>
      <c r="N16" s="76"/>
      <c r="O16" s="89">
        <v>0</v>
      </c>
      <c r="P16" s="68">
        <f t="shared" si="7"/>
        <v>0</v>
      </c>
      <c r="R16" s="29">
        <f t="shared" si="5"/>
        <v>9</v>
      </c>
      <c r="S16" s="36" t="s">
        <v>52</v>
      </c>
      <c r="T16" s="85"/>
      <c r="U16" s="82"/>
      <c r="V16" s="82"/>
      <c r="W16" s="82"/>
      <c r="X16" s="65"/>
      <c r="Y16" s="66"/>
      <c r="Z16" s="79"/>
      <c r="AA16" s="83"/>
      <c r="AB16" s="81"/>
      <c r="AC16" s="68"/>
      <c r="AD16" s="68"/>
      <c r="AE16" s="706"/>
      <c r="AF16" s="85"/>
      <c r="AG16" s="68"/>
    </row>
    <row r="17" spans="1:33">
      <c r="A17" s="24">
        <v>11</v>
      </c>
      <c r="B17" s="38" t="s">
        <v>29</v>
      </c>
      <c r="C17" s="70">
        <f>+C18+C19+C20</f>
        <v>44333.936000000002</v>
      </c>
      <c r="D17" s="71">
        <f>+D18+D19+D20</f>
        <v>44333.936000000002</v>
      </c>
      <c r="E17" s="71">
        <f>+E18+E19+E20</f>
        <v>0</v>
      </c>
      <c r="F17" s="71">
        <f>+F18+F19+F20</f>
        <v>0</v>
      </c>
      <c r="G17" s="71">
        <f>+C17+E17</f>
        <v>44333.936000000002</v>
      </c>
      <c r="H17" s="72">
        <f>+D17+F17</f>
        <v>44333.936000000002</v>
      </c>
      <c r="I17" s="90"/>
      <c r="J17" s="90">
        <f>+J18+J19+J20</f>
        <v>12740.536</v>
      </c>
      <c r="K17" s="73">
        <f>+K18+K19+K20</f>
        <v>423.55518999999998</v>
      </c>
      <c r="L17" s="74">
        <f>+L18+L19+L20</f>
        <v>0</v>
      </c>
      <c r="M17" s="74">
        <f>+M18+M19+M20</f>
        <v>0</v>
      </c>
      <c r="N17" s="76"/>
      <c r="O17" s="70">
        <f>+O18+O19+O20</f>
        <v>0</v>
      </c>
      <c r="P17" s="74">
        <f>H17+O17</f>
        <v>44333.936000000002</v>
      </c>
      <c r="R17" s="25">
        <f t="shared" si="5"/>
        <v>10</v>
      </c>
      <c r="S17" s="37" t="s">
        <v>30</v>
      </c>
      <c r="T17" s="89"/>
      <c r="U17" s="87"/>
      <c r="V17" s="87"/>
      <c r="W17" s="87"/>
      <c r="X17" s="65"/>
      <c r="Y17" s="66"/>
      <c r="Z17" s="88"/>
      <c r="AA17" s="88"/>
      <c r="AB17" s="86"/>
      <c r="AC17" s="68"/>
      <c r="AD17" s="68"/>
      <c r="AE17" s="1036"/>
      <c r="AF17" s="89"/>
      <c r="AG17" s="68"/>
    </row>
    <row r="18" spans="1:33">
      <c r="A18" s="46">
        <f t="shared" si="2"/>
        <v>12</v>
      </c>
      <c r="B18" s="43" t="s">
        <v>494</v>
      </c>
      <c r="C18" s="60">
        <v>5071</v>
      </c>
      <c r="D18" s="60">
        <v>5071</v>
      </c>
      <c r="E18" s="60">
        <v>0</v>
      </c>
      <c r="F18" s="60">
        <v>0</v>
      </c>
      <c r="G18" s="60">
        <f t="shared" ref="G18:H20" si="8">C18+E18</f>
        <v>5071</v>
      </c>
      <c r="H18" s="61">
        <f t="shared" si="8"/>
        <v>5071</v>
      </c>
      <c r="I18" s="78">
        <v>0</v>
      </c>
      <c r="J18" s="78">
        <v>0</v>
      </c>
      <c r="K18" s="62">
        <v>0</v>
      </c>
      <c r="L18" s="63">
        <f>G18-H18</f>
        <v>0</v>
      </c>
      <c r="M18" s="63">
        <v>0</v>
      </c>
      <c r="N18" s="76"/>
      <c r="O18" s="59">
        <v>0</v>
      </c>
      <c r="P18" s="63">
        <f t="shared" si="7"/>
        <v>5071</v>
      </c>
      <c r="R18" s="29">
        <f t="shared" si="5"/>
        <v>11</v>
      </c>
      <c r="S18" s="36" t="s">
        <v>37</v>
      </c>
      <c r="T18" s="85">
        <v>20151.117999999999</v>
      </c>
      <c r="U18" s="82">
        <v>20151.117999999999</v>
      </c>
      <c r="V18" s="82">
        <v>0</v>
      </c>
      <c r="W18" s="82">
        <v>0</v>
      </c>
      <c r="X18" s="65">
        <v>20151.117999999999</v>
      </c>
      <c r="Y18" s="66">
        <v>20151.117999999999</v>
      </c>
      <c r="Z18" s="83">
        <v>0</v>
      </c>
      <c r="AA18" s="83">
        <v>0</v>
      </c>
      <c r="AB18" s="81">
        <v>47.790390000000002</v>
      </c>
      <c r="AC18" s="68">
        <v>0</v>
      </c>
      <c r="AD18" s="68">
        <v>0</v>
      </c>
      <c r="AE18" s="706"/>
      <c r="AF18" s="85">
        <v>0</v>
      </c>
      <c r="AG18" s="68">
        <v>20151.117999999999</v>
      </c>
    </row>
    <row r="19" spans="1:33">
      <c r="A19" s="46">
        <v>13</v>
      </c>
      <c r="B19" s="47" t="s">
        <v>59</v>
      </c>
      <c r="C19" s="60">
        <v>36746</v>
      </c>
      <c r="D19" s="60">
        <v>36746</v>
      </c>
      <c r="E19" s="60">
        <v>0</v>
      </c>
      <c r="F19" s="60">
        <v>0</v>
      </c>
      <c r="G19" s="60">
        <f t="shared" si="8"/>
        <v>36746</v>
      </c>
      <c r="H19" s="60">
        <f t="shared" si="8"/>
        <v>36746</v>
      </c>
      <c r="I19" s="78">
        <v>0</v>
      </c>
      <c r="J19" s="78">
        <v>12000</v>
      </c>
      <c r="K19" s="62">
        <v>423.55518999999998</v>
      </c>
      <c r="L19" s="63">
        <f>G19-H19</f>
        <v>0</v>
      </c>
      <c r="M19" s="63">
        <v>0</v>
      </c>
      <c r="N19" s="76"/>
      <c r="O19" s="59">
        <v>0</v>
      </c>
      <c r="P19" s="63">
        <f t="shared" si="7"/>
        <v>36746</v>
      </c>
      <c r="R19" s="29">
        <f t="shared" si="5"/>
        <v>12</v>
      </c>
      <c r="S19" s="50" t="s">
        <v>38</v>
      </c>
      <c r="T19" s="85">
        <v>0</v>
      </c>
      <c r="U19" s="82">
        <v>0</v>
      </c>
      <c r="V19" s="82">
        <v>0</v>
      </c>
      <c r="W19" s="82">
        <v>0</v>
      </c>
      <c r="X19" s="65">
        <v>0</v>
      </c>
      <c r="Y19" s="66">
        <v>0</v>
      </c>
      <c r="Z19" s="83">
        <v>0</v>
      </c>
      <c r="AA19" s="83">
        <v>0</v>
      </c>
      <c r="AB19" s="81">
        <v>0</v>
      </c>
      <c r="AC19" s="68">
        <v>0</v>
      </c>
      <c r="AD19" s="68">
        <v>0</v>
      </c>
      <c r="AE19" s="706"/>
      <c r="AF19" s="85">
        <v>0</v>
      </c>
      <c r="AG19" s="68">
        <v>0</v>
      </c>
    </row>
    <row r="20" spans="1:33">
      <c r="A20" s="46">
        <v>14</v>
      </c>
      <c r="B20" s="47" t="s">
        <v>54</v>
      </c>
      <c r="C20" s="60">
        <v>2516.9360000000001</v>
      </c>
      <c r="D20" s="60">
        <v>2516.9360000000001</v>
      </c>
      <c r="E20" s="60">
        <v>0</v>
      </c>
      <c r="F20" s="60">
        <v>0</v>
      </c>
      <c r="G20" s="60">
        <f t="shared" si="8"/>
        <v>2516.9360000000001</v>
      </c>
      <c r="H20" s="61">
        <f t="shared" si="8"/>
        <v>2516.9360000000001</v>
      </c>
      <c r="I20" s="78">
        <v>0</v>
      </c>
      <c r="J20" s="78">
        <v>740.53599999999994</v>
      </c>
      <c r="K20" s="62">
        <v>0</v>
      </c>
      <c r="L20" s="63">
        <f>G20-H20</f>
        <v>0</v>
      </c>
      <c r="M20" s="63">
        <v>0</v>
      </c>
      <c r="N20" s="76"/>
      <c r="O20" s="59">
        <v>0</v>
      </c>
      <c r="P20" s="63">
        <f t="shared" si="7"/>
        <v>2516.9360000000001</v>
      </c>
      <c r="R20" s="25">
        <f t="shared" si="5"/>
        <v>13</v>
      </c>
      <c r="S20" s="37" t="s">
        <v>30</v>
      </c>
      <c r="T20" s="89"/>
      <c r="U20" s="87"/>
      <c r="V20" s="87"/>
      <c r="W20" s="87"/>
      <c r="X20" s="65"/>
      <c r="Y20" s="66"/>
      <c r="Z20" s="88"/>
      <c r="AA20" s="88"/>
      <c r="AB20" s="86"/>
      <c r="AC20" s="68"/>
      <c r="AD20" s="68"/>
      <c r="AE20" s="1036"/>
      <c r="AF20" s="89"/>
      <c r="AG20" s="68"/>
    </row>
    <row r="21" spans="1:33">
      <c r="A21" s="24">
        <v>15</v>
      </c>
      <c r="B21" s="38" t="s">
        <v>27</v>
      </c>
      <c r="C21" s="70">
        <v>0</v>
      </c>
      <c r="D21" s="71">
        <v>0</v>
      </c>
      <c r="E21" s="71">
        <v>0</v>
      </c>
      <c r="F21" s="71">
        <v>0</v>
      </c>
      <c r="G21" s="71">
        <f t="shared" ref="G21:H24" si="9">+C21+E21</f>
        <v>0</v>
      </c>
      <c r="H21" s="72">
        <f t="shared" si="9"/>
        <v>0</v>
      </c>
      <c r="I21" s="90">
        <v>0</v>
      </c>
      <c r="J21" s="90">
        <v>0</v>
      </c>
      <c r="K21" s="73">
        <v>0</v>
      </c>
      <c r="L21" s="74">
        <f>+G21-H21</f>
        <v>0</v>
      </c>
      <c r="M21" s="74">
        <v>0</v>
      </c>
      <c r="N21" s="76"/>
      <c r="O21" s="70">
        <v>0</v>
      </c>
      <c r="P21" s="74">
        <f>H21+O21</f>
        <v>0</v>
      </c>
      <c r="R21" s="24">
        <f t="shared" si="5"/>
        <v>14</v>
      </c>
      <c r="S21" s="38" t="s">
        <v>29</v>
      </c>
      <c r="T21" s="70">
        <v>44333.936000000002</v>
      </c>
      <c r="U21" s="71">
        <v>44333.936000000002</v>
      </c>
      <c r="V21" s="71">
        <v>0</v>
      </c>
      <c r="W21" s="71">
        <v>0</v>
      </c>
      <c r="X21" s="71">
        <v>44333.936000000002</v>
      </c>
      <c r="Y21" s="72">
        <v>44333.936000000002</v>
      </c>
      <c r="Z21" s="90"/>
      <c r="AA21" s="1252">
        <v>12740.536</v>
      </c>
      <c r="AB21" s="73">
        <v>423.55518999999998</v>
      </c>
      <c r="AC21" s="74">
        <v>0</v>
      </c>
      <c r="AD21" s="74">
        <v>0</v>
      </c>
      <c r="AE21" s="1036"/>
      <c r="AF21" s="70">
        <v>0</v>
      </c>
      <c r="AG21" s="74">
        <v>44333.936000000002</v>
      </c>
    </row>
    <row r="22" spans="1:33">
      <c r="A22" s="24">
        <v>16</v>
      </c>
      <c r="B22" s="38" t="s">
        <v>32</v>
      </c>
      <c r="C22" s="70">
        <f>+C23+C24</f>
        <v>634.08975999999996</v>
      </c>
      <c r="D22" s="71">
        <f>+D23+D24</f>
        <v>634.08975999999996</v>
      </c>
      <c r="E22" s="71">
        <f>+E23+E24</f>
        <v>0</v>
      </c>
      <c r="F22" s="71">
        <f>+F23+F24</f>
        <v>0</v>
      </c>
      <c r="G22" s="71">
        <f t="shared" si="9"/>
        <v>634.08975999999996</v>
      </c>
      <c r="H22" s="72">
        <f t="shared" si="9"/>
        <v>634.08975999999996</v>
      </c>
      <c r="I22" s="90">
        <f>I23+I24</f>
        <v>0</v>
      </c>
      <c r="J22" s="90">
        <f>J23+J24</f>
        <v>0</v>
      </c>
      <c r="K22" s="73">
        <f>K23+K24</f>
        <v>504</v>
      </c>
      <c r="L22" s="74">
        <f>+G22-H22</f>
        <v>0</v>
      </c>
      <c r="M22" s="74">
        <f>+M23+M24</f>
        <v>0</v>
      </c>
      <c r="N22" s="76"/>
      <c r="O22" s="70">
        <f>+O23+O24</f>
        <v>0</v>
      </c>
      <c r="P22" s="74">
        <f>H22+O22</f>
        <v>634.08975999999996</v>
      </c>
      <c r="R22" s="46">
        <f t="shared" si="5"/>
        <v>15</v>
      </c>
      <c r="S22" s="43" t="s">
        <v>53</v>
      </c>
      <c r="T22" s="59"/>
      <c r="U22" s="60"/>
      <c r="V22" s="60"/>
      <c r="W22" s="60"/>
      <c r="X22" s="60"/>
      <c r="Y22" s="61"/>
      <c r="Z22" s="78"/>
      <c r="AA22" s="78"/>
      <c r="AB22" s="62"/>
      <c r="AC22" s="63"/>
      <c r="AD22" s="63"/>
      <c r="AE22" s="1036"/>
      <c r="AF22" s="59"/>
      <c r="AG22" s="63"/>
    </row>
    <row r="23" spans="1:33">
      <c r="A23" s="46">
        <f t="shared" si="2"/>
        <v>17</v>
      </c>
      <c r="B23" s="47" t="s">
        <v>368</v>
      </c>
      <c r="C23" s="60">
        <v>503.70954999999998</v>
      </c>
      <c r="D23" s="60">
        <v>503.70954999999998</v>
      </c>
      <c r="E23" s="60">
        <f>+E24</f>
        <v>0</v>
      </c>
      <c r="F23" s="60">
        <f>+F24</f>
        <v>0</v>
      </c>
      <c r="G23" s="60">
        <f t="shared" si="9"/>
        <v>503.70954999999998</v>
      </c>
      <c r="H23" s="61">
        <f t="shared" si="9"/>
        <v>503.70954999999998</v>
      </c>
      <c r="I23" s="78">
        <v>0</v>
      </c>
      <c r="J23" s="78">
        <v>0</v>
      </c>
      <c r="K23" s="62">
        <v>504</v>
      </c>
      <c r="L23" s="63">
        <f>+G23-H23</f>
        <v>0</v>
      </c>
      <c r="M23" s="63">
        <v>0</v>
      </c>
      <c r="N23" s="76"/>
      <c r="O23" s="59">
        <v>0</v>
      </c>
      <c r="P23" s="63">
        <f>H23+O23</f>
        <v>503.70954999999998</v>
      </c>
      <c r="R23" s="25">
        <f t="shared" si="5"/>
        <v>16</v>
      </c>
      <c r="S23" s="37" t="s">
        <v>60</v>
      </c>
      <c r="T23" s="89"/>
      <c r="U23" s="87"/>
      <c r="V23" s="87"/>
      <c r="W23" s="87"/>
      <c r="X23" s="65"/>
      <c r="Y23" s="66"/>
      <c r="Z23" s="88"/>
      <c r="AA23" s="88"/>
      <c r="AB23" s="86"/>
      <c r="AC23" s="68"/>
      <c r="AD23" s="68"/>
      <c r="AE23" s="1036"/>
      <c r="AF23" s="89"/>
      <c r="AG23" s="68"/>
    </row>
    <row r="24" spans="1:33" ht="15.75" thickBot="1">
      <c r="A24" s="46">
        <f t="shared" si="2"/>
        <v>18</v>
      </c>
      <c r="B24" s="47" t="s">
        <v>495</v>
      </c>
      <c r="C24" s="60">
        <v>130.38021000000001</v>
      </c>
      <c r="D24" s="60">
        <v>130.38021000000001</v>
      </c>
      <c r="E24" s="60">
        <v>0</v>
      </c>
      <c r="F24" s="60">
        <v>0</v>
      </c>
      <c r="G24" s="60">
        <f t="shared" si="9"/>
        <v>130.38021000000001</v>
      </c>
      <c r="H24" s="61">
        <f t="shared" si="9"/>
        <v>130.38021000000001</v>
      </c>
      <c r="I24" s="78">
        <v>0</v>
      </c>
      <c r="J24" s="78">
        <v>0</v>
      </c>
      <c r="K24" s="62">
        <v>0</v>
      </c>
      <c r="L24" s="63">
        <f>+G24-H24</f>
        <v>0</v>
      </c>
      <c r="M24" s="63">
        <v>0</v>
      </c>
      <c r="N24" s="76"/>
      <c r="O24" s="59">
        <v>0</v>
      </c>
      <c r="P24" s="63">
        <f>H24+O24</f>
        <v>130.38021000000001</v>
      </c>
      <c r="R24" s="46">
        <f t="shared" si="5"/>
        <v>17</v>
      </c>
      <c r="S24" s="47" t="s">
        <v>59</v>
      </c>
      <c r="T24" s="59">
        <v>36746</v>
      </c>
      <c r="U24" s="60">
        <v>36746</v>
      </c>
      <c r="V24" s="60">
        <v>0</v>
      </c>
      <c r="W24" s="60">
        <v>0</v>
      </c>
      <c r="X24" s="60">
        <v>36746</v>
      </c>
      <c r="Y24" s="61">
        <v>36746</v>
      </c>
      <c r="Z24" s="78">
        <v>0</v>
      </c>
      <c r="AA24" s="78">
        <v>12000</v>
      </c>
      <c r="AB24" s="62">
        <v>423.55518999999998</v>
      </c>
      <c r="AC24" s="63">
        <v>0</v>
      </c>
      <c r="AD24" s="63">
        <v>0</v>
      </c>
      <c r="AE24" s="1036"/>
      <c r="AF24" s="59">
        <v>0</v>
      </c>
      <c r="AG24" s="63">
        <v>36746</v>
      </c>
    </row>
    <row r="25" spans="1:33" ht="15.75" thickBot="1">
      <c r="A25" s="31">
        <f t="shared" si="2"/>
        <v>19</v>
      </c>
      <c r="B25" s="39" t="s">
        <v>23</v>
      </c>
      <c r="C25" s="95">
        <f t="shared" ref="C25:M25" si="10">+C7+C17+C21+C22</f>
        <v>145068.13676000002</v>
      </c>
      <c r="D25" s="96">
        <f t="shared" si="10"/>
        <v>145068.13676000002</v>
      </c>
      <c r="E25" s="96">
        <f t="shared" si="10"/>
        <v>0</v>
      </c>
      <c r="F25" s="96">
        <f t="shared" si="10"/>
        <v>0</v>
      </c>
      <c r="G25" s="96">
        <f t="shared" si="10"/>
        <v>145068.13676000002</v>
      </c>
      <c r="H25" s="97">
        <f t="shared" si="10"/>
        <v>145068.13676000002</v>
      </c>
      <c r="I25" s="98">
        <f t="shared" si="10"/>
        <v>0</v>
      </c>
      <c r="J25" s="98">
        <f t="shared" si="10"/>
        <v>12740.536</v>
      </c>
      <c r="K25" s="99">
        <f t="shared" si="10"/>
        <v>1717.57158</v>
      </c>
      <c r="L25" s="100">
        <f t="shared" si="10"/>
        <v>0</v>
      </c>
      <c r="M25" s="100">
        <f t="shared" si="10"/>
        <v>0</v>
      </c>
      <c r="N25" s="1036"/>
      <c r="O25" s="95">
        <f>+O7+O17+O21+O22</f>
        <v>0</v>
      </c>
      <c r="P25" s="100">
        <f>+P7+P17+P21+P22</f>
        <v>145068.13676000002</v>
      </c>
      <c r="R25" s="25">
        <f t="shared" si="5"/>
        <v>18</v>
      </c>
      <c r="S25" s="37" t="s">
        <v>60</v>
      </c>
      <c r="T25" s="89"/>
      <c r="U25" s="87"/>
      <c r="V25" s="87"/>
      <c r="W25" s="87"/>
      <c r="X25" s="65"/>
      <c r="Y25" s="66"/>
      <c r="Z25" s="88"/>
      <c r="AA25" s="88"/>
      <c r="AB25" s="86"/>
      <c r="AC25" s="68"/>
      <c r="AD25" s="68"/>
      <c r="AE25" s="1036"/>
      <c r="AF25" s="89"/>
      <c r="AG25" s="68"/>
    </row>
    <row r="26" spans="1:33">
      <c r="R26" s="46">
        <f t="shared" si="5"/>
        <v>19</v>
      </c>
      <c r="S26" s="47" t="s">
        <v>54</v>
      </c>
      <c r="T26" s="59">
        <v>2516.9360000000001</v>
      </c>
      <c r="U26" s="60">
        <v>2516.9360000000001</v>
      </c>
      <c r="V26" s="60">
        <v>0</v>
      </c>
      <c r="W26" s="60">
        <v>0</v>
      </c>
      <c r="X26" s="60">
        <v>2516.9360000000001</v>
      </c>
      <c r="Y26" s="61">
        <v>2516.9360000000001</v>
      </c>
      <c r="Z26" s="78">
        <v>0</v>
      </c>
      <c r="AA26" s="78">
        <v>740.53599999999994</v>
      </c>
      <c r="AB26" s="62">
        <v>0</v>
      </c>
      <c r="AC26" s="63">
        <v>0</v>
      </c>
      <c r="AD26" s="63">
        <v>0</v>
      </c>
      <c r="AE26" s="1036"/>
      <c r="AF26" s="59">
        <v>0</v>
      </c>
      <c r="AG26" s="63">
        <v>2516.9360000000001</v>
      </c>
    </row>
    <row r="27" spans="1:33">
      <c r="R27" s="25">
        <f t="shared" si="5"/>
        <v>20</v>
      </c>
      <c r="S27" s="37" t="s">
        <v>60</v>
      </c>
      <c r="T27" s="94"/>
      <c r="U27" s="92"/>
      <c r="V27" s="92"/>
      <c r="W27" s="92"/>
      <c r="X27" s="65"/>
      <c r="Y27" s="66"/>
      <c r="Z27" s="93"/>
      <c r="AA27" s="93"/>
      <c r="AB27" s="91"/>
      <c r="AC27" s="68"/>
      <c r="AD27" s="68"/>
      <c r="AE27" s="1036"/>
      <c r="AF27" s="94"/>
      <c r="AG27" s="68"/>
    </row>
    <row r="28" spans="1:33">
      <c r="R28" s="24">
        <f t="shared" si="5"/>
        <v>21</v>
      </c>
      <c r="S28" s="38" t="s">
        <v>27</v>
      </c>
      <c r="T28" s="70"/>
      <c r="U28" s="71"/>
      <c r="V28" s="71"/>
      <c r="W28" s="71"/>
      <c r="X28" s="71"/>
      <c r="Y28" s="72"/>
      <c r="Z28" s="90"/>
      <c r="AA28" s="90"/>
      <c r="AB28" s="73"/>
      <c r="AC28" s="74"/>
      <c r="AD28" s="74"/>
      <c r="AE28" s="1036"/>
      <c r="AF28" s="70"/>
      <c r="AG28" s="74"/>
    </row>
    <row r="29" spans="1:33">
      <c r="R29" s="29">
        <f t="shared" si="5"/>
        <v>22</v>
      </c>
      <c r="S29" s="43" t="s">
        <v>34</v>
      </c>
      <c r="T29" s="59"/>
      <c r="U29" s="60"/>
      <c r="V29" s="60"/>
      <c r="W29" s="60"/>
      <c r="X29" s="60"/>
      <c r="Y29" s="61"/>
      <c r="Z29" s="78"/>
      <c r="AA29" s="78"/>
      <c r="AB29" s="62"/>
      <c r="AC29" s="63"/>
      <c r="AD29" s="63"/>
      <c r="AE29" s="1036"/>
      <c r="AF29" s="59"/>
      <c r="AG29" s="63"/>
    </row>
    <row r="30" spans="1:33">
      <c r="R30" s="25">
        <f t="shared" si="5"/>
        <v>23</v>
      </c>
      <c r="S30" s="37" t="s">
        <v>60</v>
      </c>
      <c r="T30" s="94"/>
      <c r="U30" s="92"/>
      <c r="V30" s="92"/>
      <c r="W30" s="92"/>
      <c r="X30" s="65"/>
      <c r="Y30" s="66"/>
      <c r="Z30" s="93"/>
      <c r="AA30" s="93"/>
      <c r="AB30" s="91"/>
      <c r="AC30" s="68"/>
      <c r="AD30" s="68"/>
      <c r="AE30" s="1036"/>
      <c r="AF30" s="94"/>
      <c r="AG30" s="68"/>
    </row>
    <row r="31" spans="1:33">
      <c r="R31" s="24">
        <f t="shared" si="5"/>
        <v>24</v>
      </c>
      <c r="S31" s="38" t="s">
        <v>32</v>
      </c>
      <c r="T31" s="70">
        <v>634.08975999999996</v>
      </c>
      <c r="U31" s="71">
        <v>634.08975999999996</v>
      </c>
      <c r="V31" s="71">
        <v>0</v>
      </c>
      <c r="W31" s="71">
        <v>0</v>
      </c>
      <c r="X31" s="71">
        <v>634.08975999999996</v>
      </c>
      <c r="Y31" s="72">
        <v>634.08975999999996</v>
      </c>
      <c r="Z31" s="90">
        <v>0</v>
      </c>
      <c r="AA31" s="90">
        <v>0</v>
      </c>
      <c r="AB31" s="73">
        <v>504</v>
      </c>
      <c r="AC31" s="74">
        <v>0</v>
      </c>
      <c r="AD31" s="74">
        <v>0</v>
      </c>
      <c r="AE31" s="1036"/>
      <c r="AF31" s="70">
        <v>0</v>
      </c>
      <c r="AG31" s="74">
        <v>634.08975999999996</v>
      </c>
    </row>
    <row r="32" spans="1:33">
      <c r="R32" s="46">
        <f t="shared" si="5"/>
        <v>25</v>
      </c>
      <c r="S32" s="47" t="s">
        <v>39</v>
      </c>
      <c r="T32" s="59"/>
      <c r="U32" s="60"/>
      <c r="V32" s="60"/>
      <c r="W32" s="60"/>
      <c r="X32" s="60"/>
      <c r="Y32" s="61"/>
      <c r="Z32" s="78"/>
      <c r="AA32" s="78"/>
      <c r="AB32" s="62"/>
      <c r="AC32" s="63"/>
      <c r="AD32" s="63"/>
      <c r="AE32" s="1036"/>
      <c r="AF32" s="59"/>
      <c r="AG32" s="63"/>
    </row>
    <row r="33" spans="18:33" ht="15.75" thickBot="1">
      <c r="R33" s="25">
        <f t="shared" si="5"/>
        <v>26</v>
      </c>
      <c r="S33" s="37" t="s">
        <v>60</v>
      </c>
      <c r="T33" s="89"/>
      <c r="U33" s="87"/>
      <c r="V33" s="87"/>
      <c r="W33" s="87"/>
      <c r="X33" s="65"/>
      <c r="Y33" s="66"/>
      <c r="Z33" s="88"/>
      <c r="AA33" s="88"/>
      <c r="AB33" s="86"/>
      <c r="AC33" s="68"/>
      <c r="AD33" s="68"/>
      <c r="AE33" s="1036"/>
      <c r="AF33" s="89"/>
      <c r="AG33" s="68"/>
    </row>
    <row r="34" spans="18:33" ht="15.75" thickBot="1">
      <c r="R34" s="31">
        <f t="shared" si="5"/>
        <v>27</v>
      </c>
      <c r="S34" s="39" t="s">
        <v>23</v>
      </c>
      <c r="T34" s="95">
        <v>145068.13676000002</v>
      </c>
      <c r="U34" s="96">
        <v>145068.13676000002</v>
      </c>
      <c r="V34" s="96">
        <v>0</v>
      </c>
      <c r="W34" s="96">
        <v>0</v>
      </c>
      <c r="X34" s="96">
        <v>145068.13676000002</v>
      </c>
      <c r="Y34" s="97">
        <v>145068.13676000002</v>
      </c>
      <c r="Z34" s="98">
        <v>0</v>
      </c>
      <c r="AA34" s="98">
        <v>12740.536</v>
      </c>
      <c r="AB34" s="99">
        <v>1717.57158</v>
      </c>
      <c r="AC34" s="100">
        <v>0</v>
      </c>
      <c r="AD34" s="100">
        <v>0</v>
      </c>
      <c r="AE34" s="101"/>
      <c r="AF34" s="95">
        <v>0</v>
      </c>
      <c r="AG34" s="100">
        <v>145068.13676000002</v>
      </c>
    </row>
  </sheetData>
  <mergeCells count="24">
    <mergeCell ref="A4:A6"/>
    <mergeCell ref="B4:B6"/>
    <mergeCell ref="C4:D4"/>
    <mergeCell ref="E4:F4"/>
    <mergeCell ref="G4:H4"/>
    <mergeCell ref="I4:I5"/>
    <mergeCell ref="J4:J5"/>
    <mergeCell ref="K4:K5"/>
    <mergeCell ref="L4:L5"/>
    <mergeCell ref="M4:M5"/>
    <mergeCell ref="O4:O5"/>
    <mergeCell ref="P4:P5"/>
    <mergeCell ref="R4:R6"/>
    <mergeCell ref="S4:S6"/>
    <mergeCell ref="T4:U4"/>
    <mergeCell ref="V4:W4"/>
    <mergeCell ref="X4:Y4"/>
    <mergeCell ref="Z4:Z5"/>
    <mergeCell ref="AA4:AA5"/>
    <mergeCell ref="AB4:AB5"/>
    <mergeCell ref="AC4:AC5"/>
    <mergeCell ref="AD4:AD5"/>
    <mergeCell ref="AF4:AF5"/>
    <mergeCell ref="AG4:AG5"/>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AG49"/>
  <sheetViews>
    <sheetView zoomScale="85" zoomScaleNormal="85" workbookViewId="0"/>
  </sheetViews>
  <sheetFormatPr defaultRowHeight="15"/>
  <cols>
    <col min="1" max="1" width="4.5703125" customWidth="1"/>
    <col min="2" max="2" width="52.28515625" customWidth="1"/>
    <col min="3" max="3" width="13.28515625" customWidth="1"/>
    <col min="4" max="4" width="11" customWidth="1"/>
    <col min="5" max="5" width="10.28515625" customWidth="1"/>
    <col min="6" max="6" width="11.140625" customWidth="1"/>
    <col min="7" max="7" width="9.28515625" bestFit="1" customWidth="1"/>
    <col min="8" max="8" width="10.85546875" bestFit="1" customWidth="1"/>
    <col min="9" max="9" width="10.140625" bestFit="1" customWidth="1"/>
    <col min="10" max="10" width="11.140625" customWidth="1"/>
    <col min="11" max="11" width="10.5703125" customWidth="1"/>
    <col min="12" max="12" width="11.140625" customWidth="1"/>
    <col min="13" max="13" width="12.28515625" customWidth="1"/>
    <col min="14" max="14" width="0.5703125" customWidth="1"/>
    <col min="15" max="15" width="15.85546875" customWidth="1"/>
    <col min="16" max="16" width="14.5703125" bestFit="1" customWidth="1"/>
    <col min="17" max="17" width="10.140625" bestFit="1" customWidth="1"/>
    <col min="18" max="18" width="0" hidden="1" customWidth="1"/>
    <col min="19" max="19" width="39.140625" hidden="1" customWidth="1"/>
    <col min="20" max="20" width="12.28515625" hidden="1" customWidth="1"/>
    <col min="21" max="21" width="12.7109375" hidden="1" customWidth="1"/>
    <col min="22" max="22" width="11.5703125" hidden="1" customWidth="1"/>
    <col min="23" max="23" width="11.28515625" hidden="1" customWidth="1"/>
    <col min="24" max="24" width="11.5703125" hidden="1" customWidth="1"/>
    <col min="25" max="26" width="12.140625" hidden="1" customWidth="1"/>
    <col min="27" max="27" width="10.42578125" hidden="1" customWidth="1"/>
    <col min="28" max="28" width="12.5703125" hidden="1" customWidth="1"/>
    <col min="29" max="29" width="10.5703125" hidden="1" customWidth="1"/>
    <col min="30" max="30" width="14" hidden="1" customWidth="1"/>
    <col min="31" max="31" width="2" hidden="1" customWidth="1"/>
    <col min="32" max="32" width="13.28515625" hidden="1" customWidth="1"/>
    <col min="33" max="33" width="11" hidden="1" customWidth="1"/>
    <col min="34" max="34" width="10.85546875" customWidth="1"/>
  </cols>
  <sheetData>
    <row r="1" spans="1:33" ht="28.5">
      <c r="A1" s="104" t="s">
        <v>72</v>
      </c>
      <c r="B1" s="17"/>
      <c r="C1" s="1"/>
      <c r="D1" s="1"/>
      <c r="E1" s="1"/>
      <c r="F1" s="1"/>
      <c r="G1" s="1"/>
      <c r="H1" s="1"/>
      <c r="I1" s="1"/>
      <c r="J1" s="1"/>
      <c r="K1" s="1"/>
      <c r="L1" s="1"/>
      <c r="M1" s="1"/>
      <c r="N1" s="1"/>
      <c r="O1" s="1"/>
      <c r="P1" s="1"/>
      <c r="Q1" s="1"/>
    </row>
    <row r="2" spans="1:33" ht="15.75">
      <c r="A2" s="17"/>
      <c r="B2" s="17"/>
      <c r="C2" s="105" t="s">
        <v>43</v>
      </c>
      <c r="D2" s="1"/>
      <c r="E2" s="1"/>
      <c r="F2" s="1"/>
      <c r="G2" s="1"/>
      <c r="H2" s="1"/>
      <c r="I2" s="1"/>
      <c r="J2" s="1"/>
      <c r="K2" s="1"/>
      <c r="L2" s="1"/>
      <c r="M2" s="1"/>
      <c r="N2" s="20"/>
      <c r="O2" s="1"/>
      <c r="P2" s="1"/>
    </row>
    <row r="3" spans="1:33" ht="16.5" thickBot="1">
      <c r="A3" s="1"/>
      <c r="B3" s="1"/>
      <c r="C3" s="105"/>
      <c r="D3" s="1"/>
      <c r="E3" s="1"/>
      <c r="F3" s="1"/>
      <c r="G3" s="1"/>
      <c r="H3" s="1"/>
      <c r="I3" s="1"/>
      <c r="J3" s="1"/>
      <c r="K3" s="1"/>
      <c r="L3" s="1"/>
      <c r="M3" s="1"/>
      <c r="N3" s="1"/>
      <c r="O3" s="1"/>
      <c r="P3" s="106" t="s">
        <v>2</v>
      </c>
      <c r="Q3" s="23"/>
    </row>
    <row r="4" spans="1:33">
      <c r="A4" s="1382" t="s">
        <v>1</v>
      </c>
      <c r="B4" s="1385" t="s">
        <v>73</v>
      </c>
      <c r="C4" s="1388" t="s">
        <v>18</v>
      </c>
      <c r="D4" s="1389"/>
      <c r="E4" s="1389" t="s">
        <v>19</v>
      </c>
      <c r="F4" s="1389"/>
      <c r="G4" s="1390" t="s">
        <v>20</v>
      </c>
      <c r="H4" s="1391"/>
      <c r="I4" s="1392" t="s">
        <v>74</v>
      </c>
      <c r="J4" s="1372" t="s">
        <v>75</v>
      </c>
      <c r="K4" s="1374" t="s">
        <v>76</v>
      </c>
      <c r="L4" s="1376" t="s">
        <v>77</v>
      </c>
      <c r="M4" s="1362" t="s">
        <v>78</v>
      </c>
      <c r="N4" s="107"/>
      <c r="O4" s="1378" t="s">
        <v>79</v>
      </c>
      <c r="P4" s="1380" t="s">
        <v>21</v>
      </c>
      <c r="R4" s="1357" t="s">
        <v>1</v>
      </c>
      <c r="S4" s="1354" t="s">
        <v>46</v>
      </c>
      <c r="T4" s="1360" t="s">
        <v>18</v>
      </c>
      <c r="U4" s="1361"/>
      <c r="V4" s="1361" t="s">
        <v>19</v>
      </c>
      <c r="W4" s="1361"/>
      <c r="X4" s="1364" t="s">
        <v>20</v>
      </c>
      <c r="Y4" s="1365"/>
      <c r="Z4" s="1349" t="s">
        <v>47</v>
      </c>
      <c r="AA4" s="1349" t="s">
        <v>48</v>
      </c>
      <c r="AB4" s="1351" t="s">
        <v>49</v>
      </c>
      <c r="AC4" s="1362" t="s">
        <v>62</v>
      </c>
      <c r="AD4" s="1370" t="s">
        <v>69</v>
      </c>
      <c r="AE4" s="1037"/>
      <c r="AF4" s="1366" t="s">
        <v>65</v>
      </c>
      <c r="AG4" s="1368" t="s">
        <v>21</v>
      </c>
    </row>
    <row r="5" spans="1:33" ht="25.5">
      <c r="A5" s="1383"/>
      <c r="B5" s="1386"/>
      <c r="C5" s="108" t="s">
        <v>80</v>
      </c>
      <c r="D5" s="109" t="s">
        <v>81</v>
      </c>
      <c r="E5" s="15" t="s">
        <v>12</v>
      </c>
      <c r="F5" s="5" t="s">
        <v>16</v>
      </c>
      <c r="G5" s="5" t="s">
        <v>12</v>
      </c>
      <c r="H5" s="110" t="s">
        <v>16</v>
      </c>
      <c r="I5" s="1393"/>
      <c r="J5" s="1373"/>
      <c r="K5" s="1375"/>
      <c r="L5" s="1377"/>
      <c r="M5" s="1363"/>
      <c r="N5" s="107"/>
      <c r="O5" s="1379"/>
      <c r="P5" s="1381"/>
      <c r="R5" s="1358"/>
      <c r="S5" s="1355"/>
      <c r="T5" s="1077" t="s">
        <v>26</v>
      </c>
      <c r="U5" s="11" t="s">
        <v>50</v>
      </c>
      <c r="V5" s="10" t="s">
        <v>12</v>
      </c>
      <c r="W5" s="11" t="s">
        <v>16</v>
      </c>
      <c r="X5" s="11" t="s">
        <v>12</v>
      </c>
      <c r="Y5" s="33" t="s">
        <v>16</v>
      </c>
      <c r="Z5" s="1350"/>
      <c r="AA5" s="1350"/>
      <c r="AB5" s="1352"/>
      <c r="AC5" s="1363"/>
      <c r="AD5" s="1371"/>
      <c r="AE5" s="1037"/>
      <c r="AF5" s="1367"/>
      <c r="AG5" s="1369"/>
    </row>
    <row r="6" spans="1:33" ht="15.75" thickBot="1">
      <c r="A6" s="1384"/>
      <c r="B6" s="1387"/>
      <c r="C6" s="111" t="s">
        <v>4</v>
      </c>
      <c r="D6" s="112" t="s">
        <v>5</v>
      </c>
      <c r="E6" s="113" t="s">
        <v>6</v>
      </c>
      <c r="F6" s="113" t="s">
        <v>7</v>
      </c>
      <c r="G6" s="113" t="s">
        <v>13</v>
      </c>
      <c r="H6" s="114" t="s">
        <v>14</v>
      </c>
      <c r="I6" s="115" t="s">
        <v>28</v>
      </c>
      <c r="J6" s="116" t="s">
        <v>31</v>
      </c>
      <c r="K6" s="117" t="s">
        <v>9</v>
      </c>
      <c r="L6" s="118" t="s">
        <v>22</v>
      </c>
      <c r="M6" s="14" t="s">
        <v>63</v>
      </c>
      <c r="N6" s="107"/>
      <c r="O6" s="119" t="s">
        <v>10</v>
      </c>
      <c r="P6" s="120" t="s">
        <v>64</v>
      </c>
      <c r="R6" s="1359"/>
      <c r="S6" s="1356"/>
      <c r="T6" s="1078" t="s">
        <v>4</v>
      </c>
      <c r="U6" s="13" t="s">
        <v>5</v>
      </c>
      <c r="V6" s="13" t="s">
        <v>6</v>
      </c>
      <c r="W6" s="13" t="s">
        <v>7</v>
      </c>
      <c r="X6" s="13" t="s">
        <v>13</v>
      </c>
      <c r="Y6" s="34" t="s">
        <v>14</v>
      </c>
      <c r="Z6" s="45" t="s">
        <v>28</v>
      </c>
      <c r="AA6" s="45" t="s">
        <v>31</v>
      </c>
      <c r="AB6" s="32" t="s">
        <v>9</v>
      </c>
      <c r="AC6" s="14" t="s">
        <v>22</v>
      </c>
      <c r="AD6" s="14" t="s">
        <v>63</v>
      </c>
      <c r="AE6" s="1037"/>
      <c r="AF6" s="44" t="s">
        <v>10</v>
      </c>
      <c r="AG6" s="14" t="s">
        <v>64</v>
      </c>
    </row>
    <row r="7" spans="1:33">
      <c r="A7" s="121">
        <v>1</v>
      </c>
      <c r="B7" s="38" t="s">
        <v>15</v>
      </c>
      <c r="C7" s="122">
        <v>1947001.2590000001</v>
      </c>
      <c r="D7" s="123">
        <v>1944658.2053099999</v>
      </c>
      <c r="E7" s="123">
        <v>29781.991999999998</v>
      </c>
      <c r="F7" s="123">
        <v>29777.467400000001</v>
      </c>
      <c r="G7" s="123">
        <v>1976783.2510000002</v>
      </c>
      <c r="H7" s="123">
        <v>1974435.6727099998</v>
      </c>
      <c r="I7" s="123"/>
      <c r="J7" s="123">
        <v>28395.468059999999</v>
      </c>
      <c r="K7" s="123">
        <v>45117.387269999992</v>
      </c>
      <c r="L7" s="124">
        <v>2347.5782900001223</v>
      </c>
      <c r="M7" s="125">
        <v>592.52830999999992</v>
      </c>
      <c r="N7" s="126"/>
      <c r="O7" s="127">
        <v>0</v>
      </c>
      <c r="P7" s="125">
        <v>1969445.6727099998</v>
      </c>
      <c r="R7" s="24">
        <v>1</v>
      </c>
      <c r="S7" s="38" t="s">
        <v>15</v>
      </c>
      <c r="T7" s="54">
        <v>1947001.2590000001</v>
      </c>
      <c r="U7" s="55">
        <v>1944658.2053099999</v>
      </c>
      <c r="V7" s="55">
        <v>29781.991999999998</v>
      </c>
      <c r="W7" s="55">
        <v>29777.467400000001</v>
      </c>
      <c r="X7" s="55">
        <v>1976783.2510000002</v>
      </c>
      <c r="Y7" s="56">
        <v>1974435.6727099998</v>
      </c>
      <c r="Z7" s="75"/>
      <c r="AA7" s="75">
        <v>28395.468059999999</v>
      </c>
      <c r="AB7" s="57">
        <v>45117.387269999992</v>
      </c>
      <c r="AC7" s="58">
        <v>2347.5782900001223</v>
      </c>
      <c r="AD7" s="58">
        <v>592.52830999999992</v>
      </c>
      <c r="AE7" s="1036"/>
      <c r="AF7" s="54">
        <v>0</v>
      </c>
      <c r="AG7" s="58">
        <v>1969445.6727099998</v>
      </c>
    </row>
    <row r="8" spans="1:33">
      <c r="A8" s="128">
        <f>A7+1</f>
        <v>2</v>
      </c>
      <c r="B8" s="129" t="s">
        <v>35</v>
      </c>
      <c r="C8" s="130">
        <v>1449799.358</v>
      </c>
      <c r="D8" s="131">
        <v>1447976.7486099999</v>
      </c>
      <c r="E8" s="131">
        <v>29781.991999999998</v>
      </c>
      <c r="F8" s="131">
        <v>29777.467400000001</v>
      </c>
      <c r="G8" s="131">
        <v>1479581.35</v>
      </c>
      <c r="H8" s="131">
        <v>1477754.2160099999</v>
      </c>
      <c r="I8" s="131"/>
      <c r="J8" s="131">
        <v>7994.7083899999998</v>
      </c>
      <c r="K8" s="131">
        <v>36922.863489999996</v>
      </c>
      <c r="L8" s="132">
        <v>1827.1339900001212</v>
      </c>
      <c r="M8" s="133">
        <v>176.95529999999999</v>
      </c>
      <c r="N8" s="126"/>
      <c r="O8" s="134">
        <v>0</v>
      </c>
      <c r="P8" s="133">
        <v>1477754.2160099999</v>
      </c>
      <c r="R8" s="48">
        <f>R7+1</f>
        <v>2</v>
      </c>
      <c r="S8" s="35" t="s">
        <v>35</v>
      </c>
      <c r="T8" s="59">
        <v>1449799.358</v>
      </c>
      <c r="U8" s="60">
        <v>1447976.7486099999</v>
      </c>
      <c r="V8" s="60">
        <v>29781.991999999998</v>
      </c>
      <c r="W8" s="60">
        <v>29777.467400000001</v>
      </c>
      <c r="X8" s="60">
        <v>1479581.35</v>
      </c>
      <c r="Y8" s="61">
        <v>1477754.2160099999</v>
      </c>
      <c r="Z8" s="77"/>
      <c r="AA8" s="78">
        <v>7994.7083899999998</v>
      </c>
      <c r="AB8" s="62">
        <v>36922.863489999996</v>
      </c>
      <c r="AC8" s="63">
        <v>1827.1339900001212</v>
      </c>
      <c r="AD8" s="63">
        <v>176.95529999999999</v>
      </c>
      <c r="AE8" s="1036"/>
      <c r="AF8" s="59">
        <v>0</v>
      </c>
      <c r="AG8" s="63">
        <v>1477754.2160099999</v>
      </c>
    </row>
    <row r="9" spans="1:33">
      <c r="A9" s="128">
        <v>3</v>
      </c>
      <c r="B9" s="135" t="s">
        <v>82</v>
      </c>
      <c r="C9" s="136">
        <v>1428567.7579999999</v>
      </c>
      <c r="D9" s="137">
        <v>1428567.7579999999</v>
      </c>
      <c r="E9" s="137">
        <v>29781.991999999998</v>
      </c>
      <c r="F9" s="137">
        <v>29777.467400000001</v>
      </c>
      <c r="G9" s="138">
        <v>1458349.75</v>
      </c>
      <c r="H9" s="138">
        <v>1458345.2253999999</v>
      </c>
      <c r="I9" s="137"/>
      <c r="J9" s="139">
        <v>0</v>
      </c>
      <c r="K9" s="137">
        <v>36857.716399999998</v>
      </c>
      <c r="L9" s="140">
        <v>4.5246000001206994</v>
      </c>
      <c r="M9" s="141">
        <v>0</v>
      </c>
      <c r="N9" s="142"/>
      <c r="O9" s="143"/>
      <c r="P9" s="144">
        <v>1458345.2253999999</v>
      </c>
      <c r="R9" s="25">
        <f t="shared" ref="R9:R34" si="0">R8+1</f>
        <v>3</v>
      </c>
      <c r="S9" s="36" t="s">
        <v>58</v>
      </c>
      <c r="T9" s="64">
        <v>1428567.7579999999</v>
      </c>
      <c r="U9" s="65">
        <v>1428567.7579999999</v>
      </c>
      <c r="V9" s="65">
        <v>29781.991999999998</v>
      </c>
      <c r="W9" s="65">
        <v>29777.467400000001</v>
      </c>
      <c r="X9" s="65">
        <v>1458349.75</v>
      </c>
      <c r="Y9" s="66">
        <v>1458345.2253999999</v>
      </c>
      <c r="Z9" s="80"/>
      <c r="AA9" s="80">
        <v>0</v>
      </c>
      <c r="AB9" s="67">
        <v>36857.716399999998</v>
      </c>
      <c r="AC9" s="68">
        <v>4.5246000001206994</v>
      </c>
      <c r="AD9" s="68">
        <v>0</v>
      </c>
      <c r="AE9" s="1036"/>
      <c r="AF9" s="64"/>
      <c r="AG9" s="68">
        <v>1458345.2253999999</v>
      </c>
    </row>
    <row r="10" spans="1:33">
      <c r="A10" s="18">
        <v>4</v>
      </c>
      <c r="B10" s="135" t="s">
        <v>36</v>
      </c>
      <c r="C10" s="145">
        <v>21231.599999999999</v>
      </c>
      <c r="D10" s="145">
        <v>19408.990609999997</v>
      </c>
      <c r="E10" s="145">
        <v>0</v>
      </c>
      <c r="F10" s="145">
        <v>0</v>
      </c>
      <c r="G10" s="145">
        <v>21231.599999999999</v>
      </c>
      <c r="H10" s="145">
        <v>19408.990609999997</v>
      </c>
      <c r="I10" s="145"/>
      <c r="J10" s="145">
        <v>7994.7083899999998</v>
      </c>
      <c r="K10" s="145">
        <v>65.147090000000006</v>
      </c>
      <c r="L10" s="146">
        <v>1822.6093900000005</v>
      </c>
      <c r="M10" s="147">
        <v>176.95529999999999</v>
      </c>
      <c r="N10" s="142"/>
      <c r="O10" s="148">
        <v>0</v>
      </c>
      <c r="P10" s="149">
        <v>19408.990609999997</v>
      </c>
      <c r="R10" s="25">
        <f t="shared" si="0"/>
        <v>4</v>
      </c>
      <c r="S10" s="36" t="s">
        <v>36</v>
      </c>
      <c r="T10" s="64">
        <v>21231.599999999999</v>
      </c>
      <c r="U10" s="65">
        <v>19408.990609999997</v>
      </c>
      <c r="V10" s="65">
        <v>0</v>
      </c>
      <c r="W10" s="65">
        <v>0</v>
      </c>
      <c r="X10" s="65">
        <v>21231.599999999999</v>
      </c>
      <c r="Y10" s="249">
        <v>19408.990609999997</v>
      </c>
      <c r="Z10" s="80"/>
      <c r="AA10" s="80">
        <v>7994.7083899999998</v>
      </c>
      <c r="AB10" s="67">
        <v>65.147090000000006</v>
      </c>
      <c r="AC10" s="68">
        <v>1822.6093900000005</v>
      </c>
      <c r="AD10" s="68">
        <v>176.95529999999999</v>
      </c>
      <c r="AE10" s="1036"/>
      <c r="AF10" s="64">
        <v>0</v>
      </c>
      <c r="AG10" s="68">
        <v>19408.990609999997</v>
      </c>
    </row>
    <row r="11" spans="1:33">
      <c r="A11" s="18">
        <v>5</v>
      </c>
      <c r="B11" s="150" t="s">
        <v>83</v>
      </c>
      <c r="C11" s="136">
        <v>506</v>
      </c>
      <c r="D11" s="136">
        <v>506</v>
      </c>
      <c r="E11" s="137">
        <v>0</v>
      </c>
      <c r="F11" s="137">
        <v>0</v>
      </c>
      <c r="G11" s="138">
        <v>506</v>
      </c>
      <c r="H11" s="138">
        <v>506</v>
      </c>
      <c r="I11" s="137"/>
      <c r="J11" s="137">
        <v>0</v>
      </c>
      <c r="K11" s="137"/>
      <c r="L11" s="140">
        <v>0</v>
      </c>
      <c r="M11" s="141">
        <v>0</v>
      </c>
      <c r="N11" s="142"/>
      <c r="O11" s="143"/>
      <c r="P11" s="144">
        <v>506</v>
      </c>
      <c r="R11" s="25">
        <f t="shared" si="0"/>
        <v>5</v>
      </c>
      <c r="S11" s="37" t="s">
        <v>30</v>
      </c>
      <c r="T11" s="64"/>
      <c r="U11" s="65"/>
      <c r="V11" s="65"/>
      <c r="W11" s="65"/>
      <c r="X11" s="65"/>
      <c r="Y11" s="66"/>
      <c r="Z11" s="79"/>
      <c r="AA11" s="80"/>
      <c r="AB11" s="67"/>
      <c r="AC11" s="68"/>
      <c r="AD11" s="68"/>
      <c r="AE11" s="1036"/>
      <c r="AF11" s="64"/>
      <c r="AG11" s="68"/>
    </row>
    <row r="12" spans="1:33">
      <c r="A12" s="18">
        <v>6</v>
      </c>
      <c r="B12" s="151" t="s">
        <v>84</v>
      </c>
      <c r="C12" s="136">
        <v>1611</v>
      </c>
      <c r="D12" s="137">
        <v>1113.00083</v>
      </c>
      <c r="E12" s="137">
        <v>0</v>
      </c>
      <c r="F12" s="137">
        <v>0</v>
      </c>
      <c r="G12" s="138">
        <v>1611</v>
      </c>
      <c r="H12" s="138">
        <v>1113.00083</v>
      </c>
      <c r="I12" s="137"/>
      <c r="J12" s="139">
        <v>0</v>
      </c>
      <c r="K12" s="137">
        <v>31.16207</v>
      </c>
      <c r="L12" s="140">
        <v>497.99917000000005</v>
      </c>
      <c r="M12" s="141">
        <v>176.95529999999999</v>
      </c>
      <c r="N12" s="142"/>
      <c r="O12" s="143"/>
      <c r="P12" s="144">
        <v>1113.00083</v>
      </c>
      <c r="R12" s="48">
        <f t="shared" si="0"/>
        <v>6</v>
      </c>
      <c r="S12" s="35" t="s">
        <v>42</v>
      </c>
      <c r="T12" s="59">
        <v>497201.90100000001</v>
      </c>
      <c r="U12" s="60">
        <v>496681.45669999998</v>
      </c>
      <c r="V12" s="60">
        <v>0</v>
      </c>
      <c r="W12" s="60">
        <v>0</v>
      </c>
      <c r="X12" s="60">
        <v>497201.90100000001</v>
      </c>
      <c r="Y12" s="61">
        <v>496681.45669999998</v>
      </c>
      <c r="Z12" s="78"/>
      <c r="AA12" s="78">
        <v>20400.759669999999</v>
      </c>
      <c r="AB12" s="62">
        <v>8194.5237799999995</v>
      </c>
      <c r="AC12" s="63">
        <v>520.44430000000102</v>
      </c>
      <c r="AD12" s="63">
        <v>415.57300999999995</v>
      </c>
      <c r="AE12" s="1036"/>
      <c r="AF12" s="59">
        <v>0</v>
      </c>
      <c r="AG12" s="63">
        <v>491691.45669999998</v>
      </c>
    </row>
    <row r="13" spans="1:33">
      <c r="A13" s="18">
        <v>7</v>
      </c>
      <c r="B13" s="151" t="s">
        <v>85</v>
      </c>
      <c r="C13" s="136">
        <v>16236</v>
      </c>
      <c r="D13" s="137">
        <v>14911.38978</v>
      </c>
      <c r="E13" s="137">
        <v>0</v>
      </c>
      <c r="F13" s="137">
        <v>0</v>
      </c>
      <c r="G13" s="138">
        <v>16236</v>
      </c>
      <c r="H13" s="138">
        <v>14911.38978</v>
      </c>
      <c r="I13" s="137"/>
      <c r="J13" s="139">
        <v>7994.7083899999998</v>
      </c>
      <c r="K13" s="137"/>
      <c r="L13" s="140">
        <v>1324.6102200000005</v>
      </c>
      <c r="M13" s="141">
        <v>0</v>
      </c>
      <c r="N13" s="142"/>
      <c r="O13" s="143"/>
      <c r="P13" s="144">
        <v>14911.38978</v>
      </c>
      <c r="R13" s="29">
        <f t="shared" si="0"/>
        <v>7</v>
      </c>
      <c r="S13" s="36" t="s">
        <v>51</v>
      </c>
      <c r="T13" s="89">
        <v>84148</v>
      </c>
      <c r="U13" s="87">
        <v>84118.718710000001</v>
      </c>
      <c r="V13" s="87">
        <v>0</v>
      </c>
      <c r="W13" s="87">
        <v>0</v>
      </c>
      <c r="X13" s="65">
        <v>84148</v>
      </c>
      <c r="Y13" s="66">
        <v>84118.718710000001</v>
      </c>
      <c r="Z13" s="79"/>
      <c r="AA13" s="88">
        <v>0</v>
      </c>
      <c r="AB13" s="86">
        <v>1147.46442</v>
      </c>
      <c r="AC13" s="68">
        <v>29.281290000000809</v>
      </c>
      <c r="AD13" s="68">
        <v>0</v>
      </c>
      <c r="AE13" s="1036"/>
      <c r="AF13" s="89">
        <v>0</v>
      </c>
      <c r="AG13" s="68">
        <v>84118.718710000001</v>
      </c>
    </row>
    <row r="14" spans="1:33">
      <c r="A14" s="152">
        <v>8</v>
      </c>
      <c r="B14" s="153" t="s">
        <v>86</v>
      </c>
      <c r="C14" s="136">
        <v>2269</v>
      </c>
      <c r="D14" s="137">
        <v>2269</v>
      </c>
      <c r="E14" s="137">
        <v>0</v>
      </c>
      <c r="F14" s="137">
        <v>0</v>
      </c>
      <c r="G14" s="138">
        <v>2269</v>
      </c>
      <c r="H14" s="138">
        <v>2269</v>
      </c>
      <c r="I14" s="137"/>
      <c r="J14" s="154">
        <v>0</v>
      </c>
      <c r="K14" s="137">
        <v>33.985019999999999</v>
      </c>
      <c r="L14" s="140">
        <v>0</v>
      </c>
      <c r="M14" s="141">
        <v>0</v>
      </c>
      <c r="N14" s="142"/>
      <c r="O14" s="143"/>
      <c r="P14" s="144">
        <v>2269</v>
      </c>
      <c r="R14" s="29"/>
      <c r="S14" s="36" t="s">
        <v>61</v>
      </c>
      <c r="T14" s="89">
        <v>48264</v>
      </c>
      <c r="U14" s="87">
        <v>48264</v>
      </c>
      <c r="V14" s="87">
        <v>0</v>
      </c>
      <c r="W14" s="87">
        <v>0</v>
      </c>
      <c r="X14" s="65">
        <v>48264</v>
      </c>
      <c r="Y14" s="66">
        <v>48264</v>
      </c>
      <c r="Z14" s="79"/>
      <c r="AA14" s="88">
        <v>0</v>
      </c>
      <c r="AB14" s="86">
        <v>1147.46442</v>
      </c>
      <c r="AC14" s="68">
        <v>0</v>
      </c>
      <c r="AD14" s="68">
        <v>0</v>
      </c>
      <c r="AE14" s="1036"/>
      <c r="AF14" s="89">
        <v>0</v>
      </c>
      <c r="AG14" s="68">
        <v>48264</v>
      </c>
    </row>
    <row r="15" spans="1:33">
      <c r="A15" s="152">
        <v>9</v>
      </c>
      <c r="B15" s="153" t="s">
        <v>87</v>
      </c>
      <c r="C15" s="136">
        <v>5.6</v>
      </c>
      <c r="D15" s="136">
        <v>5.6</v>
      </c>
      <c r="E15" s="137">
        <v>0</v>
      </c>
      <c r="F15" s="137">
        <v>0</v>
      </c>
      <c r="G15" s="138">
        <v>5.6</v>
      </c>
      <c r="H15" s="138">
        <v>5.6</v>
      </c>
      <c r="I15" s="137"/>
      <c r="J15" s="154">
        <v>0</v>
      </c>
      <c r="K15" s="137"/>
      <c r="L15" s="140">
        <v>0</v>
      </c>
      <c r="M15" s="141">
        <v>0</v>
      </c>
      <c r="N15" s="142"/>
      <c r="O15" s="143"/>
      <c r="P15" s="144">
        <v>5.6</v>
      </c>
      <c r="R15" s="25">
        <f>R13+1</f>
        <v>8</v>
      </c>
      <c r="S15" s="37" t="s">
        <v>66</v>
      </c>
      <c r="T15" s="89"/>
      <c r="U15" s="87"/>
      <c r="V15" s="87"/>
      <c r="W15" s="87"/>
      <c r="X15" s="65"/>
      <c r="Y15" s="66"/>
      <c r="Z15" s="88"/>
      <c r="AA15" s="88"/>
      <c r="AB15" s="86"/>
      <c r="AC15" s="68"/>
      <c r="AD15" s="68"/>
      <c r="AE15" s="1036"/>
      <c r="AF15" s="89"/>
      <c r="AG15" s="68"/>
    </row>
    <row r="16" spans="1:33">
      <c r="A16" s="152">
        <v>10</v>
      </c>
      <c r="B16" s="153" t="s">
        <v>88</v>
      </c>
      <c r="C16" s="136">
        <v>604</v>
      </c>
      <c r="D16" s="136">
        <v>604</v>
      </c>
      <c r="E16" s="137">
        <v>0</v>
      </c>
      <c r="F16" s="137">
        <v>0</v>
      </c>
      <c r="G16" s="138">
        <v>604</v>
      </c>
      <c r="H16" s="138">
        <v>604</v>
      </c>
      <c r="I16" s="137"/>
      <c r="J16" s="154">
        <v>0</v>
      </c>
      <c r="K16" s="137"/>
      <c r="L16" s="140">
        <v>0</v>
      </c>
      <c r="M16" s="141">
        <v>0</v>
      </c>
      <c r="N16" s="142"/>
      <c r="O16" s="143"/>
      <c r="P16" s="144">
        <v>604</v>
      </c>
      <c r="R16" s="29">
        <f t="shared" si="0"/>
        <v>9</v>
      </c>
      <c r="S16" s="36" t="s">
        <v>52</v>
      </c>
      <c r="T16" s="89">
        <v>35741.059000000001</v>
      </c>
      <c r="U16" s="87">
        <v>35249.895990000005</v>
      </c>
      <c r="V16" s="87">
        <v>0</v>
      </c>
      <c r="W16" s="87">
        <v>0</v>
      </c>
      <c r="X16" s="65">
        <v>35741.059000000001</v>
      </c>
      <c r="Y16" s="66">
        <v>35249.895990000005</v>
      </c>
      <c r="Z16" s="79"/>
      <c r="AA16" s="88">
        <v>5852.7596700000004</v>
      </c>
      <c r="AB16" s="86">
        <v>357.10937000000001</v>
      </c>
      <c r="AC16" s="68">
        <v>491.16301000000021</v>
      </c>
      <c r="AD16" s="68">
        <v>415.57300999999995</v>
      </c>
      <c r="AE16" s="1036"/>
      <c r="AF16" s="89">
        <v>0</v>
      </c>
      <c r="AG16" s="68">
        <v>30259.895990000001</v>
      </c>
    </row>
    <row r="17" spans="1:33">
      <c r="A17" s="152">
        <v>11</v>
      </c>
      <c r="B17" s="155" t="s">
        <v>42</v>
      </c>
      <c r="C17" s="130">
        <v>497201.90100000001</v>
      </c>
      <c r="D17" s="130">
        <v>496681.45669999998</v>
      </c>
      <c r="E17" s="130">
        <v>0</v>
      </c>
      <c r="F17" s="130">
        <v>0</v>
      </c>
      <c r="G17" s="130">
        <v>497201.90100000001</v>
      </c>
      <c r="H17" s="130">
        <v>496681.45669999998</v>
      </c>
      <c r="I17" s="130"/>
      <c r="J17" s="130">
        <v>20400.759669999999</v>
      </c>
      <c r="K17" s="130">
        <v>8194.5237799999995</v>
      </c>
      <c r="L17" s="156">
        <v>520.44430000000102</v>
      </c>
      <c r="M17" s="133">
        <v>415.57300999999995</v>
      </c>
      <c r="N17" s="126"/>
      <c r="O17" s="134">
        <v>0</v>
      </c>
      <c r="P17" s="157">
        <v>491691.45669999998</v>
      </c>
      <c r="R17" s="25">
        <f t="shared" si="0"/>
        <v>10</v>
      </c>
      <c r="S17" s="37" t="s">
        <v>30</v>
      </c>
      <c r="T17" s="89"/>
      <c r="U17" s="87"/>
      <c r="V17" s="87"/>
      <c r="W17" s="87"/>
      <c r="X17" s="65"/>
      <c r="Y17" s="66"/>
      <c r="Z17" s="88"/>
      <c r="AA17" s="88"/>
      <c r="AB17" s="86"/>
      <c r="AC17" s="68"/>
      <c r="AD17" s="68"/>
      <c r="AE17" s="1036"/>
      <c r="AF17" s="89"/>
      <c r="AG17" s="68"/>
    </row>
    <row r="18" spans="1:33">
      <c r="A18" s="18">
        <v>12</v>
      </c>
      <c r="B18" s="155" t="s">
        <v>89</v>
      </c>
      <c r="C18" s="158">
        <v>84148</v>
      </c>
      <c r="D18" s="158">
        <v>84118.718710000001</v>
      </c>
      <c r="E18" s="158">
        <v>0</v>
      </c>
      <c r="F18" s="158">
        <v>0</v>
      </c>
      <c r="G18" s="158">
        <v>84148</v>
      </c>
      <c r="H18" s="158">
        <v>84118.718710000001</v>
      </c>
      <c r="I18" s="158"/>
      <c r="J18" s="158">
        <v>0</v>
      </c>
      <c r="K18" s="158">
        <v>1147.46442</v>
      </c>
      <c r="L18" s="159">
        <v>29.281290000000809</v>
      </c>
      <c r="M18" s="160">
        <v>0</v>
      </c>
      <c r="N18" s="161"/>
      <c r="O18" s="162">
        <v>0</v>
      </c>
      <c r="P18" s="163">
        <v>84118.718710000001</v>
      </c>
      <c r="R18" s="29">
        <f t="shared" si="0"/>
        <v>11</v>
      </c>
      <c r="S18" s="36" t="s">
        <v>37</v>
      </c>
      <c r="T18" s="89">
        <v>295857.842</v>
      </c>
      <c r="U18" s="87">
        <v>295857.842</v>
      </c>
      <c r="V18" s="87">
        <v>0</v>
      </c>
      <c r="W18" s="87">
        <v>0</v>
      </c>
      <c r="X18" s="65">
        <v>295857.842</v>
      </c>
      <c r="Y18" s="66">
        <v>295857.842</v>
      </c>
      <c r="Z18" s="88"/>
      <c r="AA18" s="88">
        <v>0</v>
      </c>
      <c r="AB18" s="86">
        <v>4664.4489100000001</v>
      </c>
      <c r="AC18" s="68">
        <v>0</v>
      </c>
      <c r="AD18" s="68"/>
      <c r="AE18" s="1036"/>
      <c r="AF18" s="89">
        <v>0</v>
      </c>
      <c r="AG18" s="68">
        <v>295857.842</v>
      </c>
    </row>
    <row r="19" spans="1:33">
      <c r="A19" s="18">
        <v>13</v>
      </c>
      <c r="B19" s="153" t="s">
        <v>90</v>
      </c>
      <c r="C19" s="164">
        <v>13542</v>
      </c>
      <c r="D19" s="165">
        <v>13512.718709999999</v>
      </c>
      <c r="E19" s="165">
        <v>0</v>
      </c>
      <c r="F19" s="165">
        <v>0</v>
      </c>
      <c r="G19" s="138">
        <v>13542</v>
      </c>
      <c r="H19" s="138">
        <v>13512.718709999999</v>
      </c>
      <c r="I19" s="165"/>
      <c r="J19" s="165">
        <v>0</v>
      </c>
      <c r="K19" s="166"/>
      <c r="L19" s="140">
        <v>29.281290000000809</v>
      </c>
      <c r="M19" s="167">
        <v>0</v>
      </c>
      <c r="N19" s="142"/>
      <c r="O19" s="168">
        <v>0</v>
      </c>
      <c r="P19" s="144">
        <v>13512.718709999999</v>
      </c>
      <c r="R19" s="29">
        <f t="shared" si="0"/>
        <v>12</v>
      </c>
      <c r="S19" s="50" t="s">
        <v>38</v>
      </c>
      <c r="T19" s="89">
        <v>81455</v>
      </c>
      <c r="U19" s="87">
        <v>81455</v>
      </c>
      <c r="V19" s="87">
        <v>0</v>
      </c>
      <c r="W19" s="87">
        <v>0</v>
      </c>
      <c r="X19" s="65">
        <v>81455</v>
      </c>
      <c r="Y19" s="66">
        <v>81455</v>
      </c>
      <c r="Z19" s="88"/>
      <c r="AA19" s="88">
        <v>14548</v>
      </c>
      <c r="AB19" s="86">
        <v>2025.50108</v>
      </c>
      <c r="AC19" s="68">
        <v>0</v>
      </c>
      <c r="AD19" s="68"/>
      <c r="AE19" s="1036"/>
      <c r="AF19" s="89">
        <v>0</v>
      </c>
      <c r="AG19" s="68">
        <v>81455</v>
      </c>
    </row>
    <row r="20" spans="1:33">
      <c r="A20" s="18">
        <v>14</v>
      </c>
      <c r="B20" s="153" t="s">
        <v>91</v>
      </c>
      <c r="C20" s="164">
        <v>48264</v>
      </c>
      <c r="D20" s="165">
        <v>48264</v>
      </c>
      <c r="E20" s="165">
        <v>0</v>
      </c>
      <c r="F20" s="165">
        <v>0</v>
      </c>
      <c r="G20" s="138">
        <v>48264</v>
      </c>
      <c r="H20" s="138">
        <v>48264</v>
      </c>
      <c r="I20" s="165"/>
      <c r="J20" s="165">
        <v>0</v>
      </c>
      <c r="K20" s="166">
        <v>1147.46442</v>
      </c>
      <c r="L20" s="140">
        <v>0</v>
      </c>
      <c r="M20" s="167">
        <v>0</v>
      </c>
      <c r="N20" s="142"/>
      <c r="O20" s="168">
        <v>0</v>
      </c>
      <c r="P20" s="144">
        <v>48264</v>
      </c>
      <c r="R20" s="25">
        <f t="shared" si="0"/>
        <v>13</v>
      </c>
      <c r="S20" s="37" t="s">
        <v>30</v>
      </c>
      <c r="T20" s="89"/>
      <c r="U20" s="87"/>
      <c r="V20" s="87"/>
      <c r="W20" s="87"/>
      <c r="X20" s="65"/>
      <c r="Y20" s="66"/>
      <c r="Z20" s="88"/>
      <c r="AA20" s="88"/>
      <c r="AB20" s="86"/>
      <c r="AC20" s="68"/>
      <c r="AD20" s="68"/>
      <c r="AE20" s="1036"/>
      <c r="AF20" s="89"/>
      <c r="AG20" s="68"/>
    </row>
    <row r="21" spans="1:33">
      <c r="A21" s="18">
        <v>15</v>
      </c>
      <c r="B21" s="153" t="s">
        <v>92</v>
      </c>
      <c r="C21" s="164">
        <v>22342</v>
      </c>
      <c r="D21" s="164">
        <v>22342</v>
      </c>
      <c r="E21" s="165">
        <v>0</v>
      </c>
      <c r="F21" s="165">
        <v>0</v>
      </c>
      <c r="G21" s="138">
        <v>22342</v>
      </c>
      <c r="H21" s="138">
        <v>22342</v>
      </c>
      <c r="I21" s="165"/>
      <c r="J21" s="165">
        <v>0</v>
      </c>
      <c r="K21" s="166"/>
      <c r="L21" s="140">
        <v>0</v>
      </c>
      <c r="M21" s="167">
        <v>0</v>
      </c>
      <c r="N21" s="142"/>
      <c r="O21" s="168">
        <v>0</v>
      </c>
      <c r="P21" s="144">
        <v>22342</v>
      </c>
      <c r="R21" s="24">
        <f t="shared" si="0"/>
        <v>14</v>
      </c>
      <c r="S21" s="38" t="s">
        <v>29</v>
      </c>
      <c r="T21" s="70">
        <v>963031.44299999997</v>
      </c>
      <c r="U21" s="71">
        <v>954872.38556999993</v>
      </c>
      <c r="V21" s="71">
        <v>674</v>
      </c>
      <c r="W21" s="71">
        <v>620.98599999999999</v>
      </c>
      <c r="X21" s="71">
        <v>963705.44299999997</v>
      </c>
      <c r="Y21" s="72">
        <v>955493.37156999996</v>
      </c>
      <c r="Z21" s="90"/>
      <c r="AA21" s="1252">
        <v>161683.38806</v>
      </c>
      <c r="AB21" s="73">
        <v>12299.43115</v>
      </c>
      <c r="AC21" s="74">
        <v>8212.0714299999527</v>
      </c>
      <c r="AD21" s="74">
        <v>1766.1190200000001</v>
      </c>
      <c r="AE21" s="1036"/>
      <c r="AF21" s="70">
        <v>124.14241</v>
      </c>
      <c r="AG21" s="74">
        <v>955617.51397999993</v>
      </c>
    </row>
    <row r="22" spans="1:33">
      <c r="A22" s="18">
        <v>16</v>
      </c>
      <c r="B22" s="155" t="s">
        <v>93</v>
      </c>
      <c r="C22" s="169">
        <v>35741.059000000001</v>
      </c>
      <c r="D22" s="169">
        <v>35249.895990000005</v>
      </c>
      <c r="E22" s="169">
        <v>0</v>
      </c>
      <c r="F22" s="169">
        <v>0</v>
      </c>
      <c r="G22" s="169">
        <v>35741.059000000001</v>
      </c>
      <c r="H22" s="169">
        <v>35249.895990000005</v>
      </c>
      <c r="I22" s="169"/>
      <c r="J22" s="169">
        <v>5852.7596700000004</v>
      </c>
      <c r="K22" s="169">
        <v>357.10937000000001</v>
      </c>
      <c r="L22" s="170">
        <v>491.16301000000021</v>
      </c>
      <c r="M22" s="171">
        <v>415.57300999999995</v>
      </c>
      <c r="N22" s="172"/>
      <c r="O22" s="173">
        <v>0</v>
      </c>
      <c r="P22" s="174">
        <v>30259.895990000001</v>
      </c>
      <c r="R22" s="46">
        <f t="shared" si="0"/>
        <v>15</v>
      </c>
      <c r="S22" s="43" t="s">
        <v>53</v>
      </c>
      <c r="T22" s="59"/>
      <c r="U22" s="60"/>
      <c r="V22" s="60"/>
      <c r="W22" s="60"/>
      <c r="X22" s="60"/>
      <c r="Y22" s="61"/>
      <c r="Z22" s="78"/>
      <c r="AA22" s="78"/>
      <c r="AB22" s="62"/>
      <c r="AC22" s="63"/>
      <c r="AD22" s="63"/>
      <c r="AE22" s="1036"/>
      <c r="AF22" s="59"/>
      <c r="AG22" s="63"/>
    </row>
    <row r="23" spans="1:33">
      <c r="A23" s="18">
        <v>17</v>
      </c>
      <c r="B23" s="153" t="s">
        <v>94</v>
      </c>
      <c r="C23" s="164">
        <v>4865</v>
      </c>
      <c r="D23" s="164">
        <v>4865</v>
      </c>
      <c r="E23" s="165">
        <v>0</v>
      </c>
      <c r="F23" s="165">
        <v>0</v>
      </c>
      <c r="G23" s="138">
        <v>4865</v>
      </c>
      <c r="H23" s="138">
        <v>4865</v>
      </c>
      <c r="I23" s="165"/>
      <c r="J23" s="165">
        <v>306</v>
      </c>
      <c r="K23" s="166"/>
      <c r="L23" s="140">
        <v>0</v>
      </c>
      <c r="M23" s="167">
        <v>0</v>
      </c>
      <c r="N23" s="142"/>
      <c r="O23" s="168">
        <v>0</v>
      </c>
      <c r="P23" s="144">
        <v>4865</v>
      </c>
      <c r="R23" s="25">
        <f t="shared" si="0"/>
        <v>16</v>
      </c>
      <c r="S23" s="37" t="s">
        <v>60</v>
      </c>
      <c r="T23" s="89"/>
      <c r="U23" s="87"/>
      <c r="V23" s="87"/>
      <c r="W23" s="87"/>
      <c r="X23" s="65"/>
      <c r="Y23" s="66"/>
      <c r="Z23" s="88"/>
      <c r="AA23" s="88"/>
      <c r="AB23" s="86"/>
      <c r="AC23" s="68"/>
      <c r="AD23" s="68"/>
      <c r="AE23" s="1036"/>
      <c r="AF23" s="89"/>
      <c r="AG23" s="68"/>
    </row>
    <row r="24" spans="1:33">
      <c r="A24" s="18">
        <v>18</v>
      </c>
      <c r="B24" s="153" t="s">
        <v>95</v>
      </c>
      <c r="C24" s="164">
        <v>2435</v>
      </c>
      <c r="D24" s="164">
        <v>2269.8804799999998</v>
      </c>
      <c r="E24" s="165">
        <v>0</v>
      </c>
      <c r="F24" s="165">
        <v>0</v>
      </c>
      <c r="G24" s="138">
        <v>2435</v>
      </c>
      <c r="H24" s="138">
        <v>2269.8804799999998</v>
      </c>
      <c r="I24" s="165"/>
      <c r="J24" s="165">
        <v>0</v>
      </c>
      <c r="K24" s="166"/>
      <c r="L24" s="140">
        <v>165.11952000000019</v>
      </c>
      <c r="M24" s="167">
        <v>165.11951999999999</v>
      </c>
      <c r="N24" s="142"/>
      <c r="O24" s="168">
        <v>0</v>
      </c>
      <c r="P24" s="144">
        <v>2269.8804799999998</v>
      </c>
      <c r="R24" s="46">
        <f t="shared" si="0"/>
        <v>17</v>
      </c>
      <c r="S24" s="47" t="s">
        <v>59</v>
      </c>
      <c r="T24" s="59">
        <v>694021</v>
      </c>
      <c r="U24" s="60">
        <v>690858.81726000004</v>
      </c>
      <c r="V24" s="60">
        <v>55</v>
      </c>
      <c r="W24" s="60">
        <v>55</v>
      </c>
      <c r="X24" s="60">
        <v>694076</v>
      </c>
      <c r="Y24" s="61">
        <v>690913.81726000004</v>
      </c>
      <c r="Z24" s="78"/>
      <c r="AA24" s="78">
        <v>134244.32566</v>
      </c>
      <c r="AB24" s="62">
        <v>9561.8986199999999</v>
      </c>
      <c r="AC24" s="63">
        <v>3162.1827399999602</v>
      </c>
      <c r="AD24" s="63">
        <v>1595.24755</v>
      </c>
      <c r="AE24" s="1036"/>
      <c r="AF24" s="59">
        <v>3.8725200000000002</v>
      </c>
      <c r="AG24" s="63">
        <v>690917.68978000002</v>
      </c>
    </row>
    <row r="25" spans="1:33">
      <c r="A25" s="18">
        <v>19</v>
      </c>
      <c r="B25" s="153" t="s">
        <v>96</v>
      </c>
      <c r="C25" s="136">
        <v>6622</v>
      </c>
      <c r="D25" s="136">
        <v>6371.5465100000001</v>
      </c>
      <c r="E25" s="166">
        <v>0</v>
      </c>
      <c r="F25" s="166">
        <v>0</v>
      </c>
      <c r="G25" s="138">
        <v>6622</v>
      </c>
      <c r="H25" s="138">
        <v>6371.5465100000001</v>
      </c>
      <c r="I25" s="166"/>
      <c r="J25" s="166">
        <v>4487.5186700000004</v>
      </c>
      <c r="K25" s="166"/>
      <c r="L25" s="140">
        <v>250.45348999999987</v>
      </c>
      <c r="M25" s="167">
        <v>250.45348999999999</v>
      </c>
      <c r="N25" s="142"/>
      <c r="O25" s="175">
        <v>0</v>
      </c>
      <c r="P25" s="144">
        <v>6371.5465100000001</v>
      </c>
      <c r="R25" s="25">
        <f t="shared" si="0"/>
        <v>18</v>
      </c>
      <c r="S25" s="37" t="s">
        <v>60</v>
      </c>
      <c r="T25" s="89"/>
      <c r="U25" s="87"/>
      <c r="V25" s="87"/>
      <c r="W25" s="87"/>
      <c r="X25" s="65"/>
      <c r="Y25" s="66"/>
      <c r="Z25" s="88"/>
      <c r="AA25" s="88"/>
      <c r="AB25" s="86"/>
      <c r="AC25" s="68"/>
      <c r="AD25" s="68"/>
      <c r="AE25" s="1036"/>
      <c r="AF25" s="89"/>
      <c r="AG25" s="68"/>
    </row>
    <row r="26" spans="1:33">
      <c r="A26" s="18">
        <v>20</v>
      </c>
      <c r="B26" s="153" t="s">
        <v>97</v>
      </c>
      <c r="C26" s="136">
        <v>4990</v>
      </c>
      <c r="D26" s="136">
        <v>4990</v>
      </c>
      <c r="E26" s="166">
        <v>0</v>
      </c>
      <c r="F26" s="166">
        <v>0</v>
      </c>
      <c r="G26" s="138">
        <v>4990</v>
      </c>
      <c r="H26" s="138">
        <v>4990</v>
      </c>
      <c r="I26" s="166"/>
      <c r="J26" s="166">
        <v>0</v>
      </c>
      <c r="K26" s="166"/>
      <c r="L26" s="140">
        <v>0</v>
      </c>
      <c r="M26" s="167">
        <v>0</v>
      </c>
      <c r="N26" s="142"/>
      <c r="O26" s="175"/>
      <c r="P26" s="176">
        <v>0</v>
      </c>
      <c r="R26" s="46">
        <f t="shared" si="0"/>
        <v>19</v>
      </c>
      <c r="S26" s="47" t="s">
        <v>54</v>
      </c>
      <c r="T26" s="59">
        <v>22227.62</v>
      </c>
      <c r="U26" s="60">
        <v>19210.527300000002</v>
      </c>
      <c r="V26" s="60">
        <v>0</v>
      </c>
      <c r="W26" s="60">
        <v>0</v>
      </c>
      <c r="X26" s="60">
        <v>22227.62</v>
      </c>
      <c r="Y26" s="61">
        <v>19210.527300000002</v>
      </c>
      <c r="Z26" s="78"/>
      <c r="AA26" s="78">
        <v>729.22</v>
      </c>
      <c r="AB26" s="62">
        <v>22.047440000000002</v>
      </c>
      <c r="AC26" s="63">
        <v>3017.0926999999974</v>
      </c>
      <c r="AD26" s="63"/>
      <c r="AE26" s="1036"/>
      <c r="AF26" s="59">
        <v>0</v>
      </c>
      <c r="AG26" s="63">
        <v>19210.527300000002</v>
      </c>
    </row>
    <row r="27" spans="1:33">
      <c r="A27" s="18">
        <v>21</v>
      </c>
      <c r="B27" s="153" t="s">
        <v>98</v>
      </c>
      <c r="C27" s="164">
        <v>16829.059000000001</v>
      </c>
      <c r="D27" s="164">
        <v>16753.469000000001</v>
      </c>
      <c r="E27" s="165">
        <v>0</v>
      </c>
      <c r="F27" s="165">
        <v>0</v>
      </c>
      <c r="G27" s="138">
        <v>16829.059000000001</v>
      </c>
      <c r="H27" s="138">
        <v>16753.469000000001</v>
      </c>
      <c r="I27" s="165"/>
      <c r="J27" s="165">
        <v>1059.241</v>
      </c>
      <c r="K27" s="166">
        <v>357.10937000000001</v>
      </c>
      <c r="L27" s="140">
        <v>75.590000000000146</v>
      </c>
      <c r="M27" s="167">
        <v>0</v>
      </c>
      <c r="N27" s="142"/>
      <c r="O27" s="168">
        <v>0</v>
      </c>
      <c r="P27" s="144">
        <v>16753.469000000001</v>
      </c>
      <c r="R27" s="25">
        <f t="shared" si="0"/>
        <v>20</v>
      </c>
      <c r="S27" s="37" t="s">
        <v>60</v>
      </c>
      <c r="T27" s="94"/>
      <c r="U27" s="92"/>
      <c r="V27" s="92"/>
      <c r="W27" s="92"/>
      <c r="X27" s="65"/>
      <c r="Y27" s="66"/>
      <c r="Z27" s="93"/>
      <c r="AA27" s="93"/>
      <c r="AB27" s="91"/>
      <c r="AC27" s="68"/>
      <c r="AD27" s="68"/>
      <c r="AE27" s="1036"/>
      <c r="AF27" s="94"/>
      <c r="AG27" s="68"/>
    </row>
    <row r="28" spans="1:33">
      <c r="A28" s="18">
        <v>22</v>
      </c>
      <c r="B28" s="177" t="s">
        <v>37</v>
      </c>
      <c r="C28" s="178">
        <v>295857.842</v>
      </c>
      <c r="D28" s="179">
        <v>295857.842</v>
      </c>
      <c r="E28" s="179">
        <v>0</v>
      </c>
      <c r="F28" s="179">
        <v>0</v>
      </c>
      <c r="G28" s="180">
        <v>295857.842</v>
      </c>
      <c r="H28" s="180">
        <v>295857.842</v>
      </c>
      <c r="I28" s="179"/>
      <c r="J28" s="179">
        <v>0</v>
      </c>
      <c r="K28" s="179">
        <v>4664.4489100000001</v>
      </c>
      <c r="L28" s="181">
        <v>0</v>
      </c>
      <c r="M28" s="182"/>
      <c r="N28" s="126"/>
      <c r="O28" s="183">
        <v>0</v>
      </c>
      <c r="P28" s="184">
        <v>295857.842</v>
      </c>
      <c r="R28" s="24">
        <f t="shared" si="0"/>
        <v>21</v>
      </c>
      <c r="S28" s="38" t="s">
        <v>27</v>
      </c>
      <c r="T28" s="70">
        <v>90</v>
      </c>
      <c r="U28" s="71">
        <v>90</v>
      </c>
      <c r="V28" s="71">
        <v>0</v>
      </c>
      <c r="W28" s="71">
        <v>0</v>
      </c>
      <c r="X28" s="71">
        <v>90</v>
      </c>
      <c r="Y28" s="72">
        <v>90</v>
      </c>
      <c r="Z28" s="90"/>
      <c r="AA28" s="90">
        <v>0</v>
      </c>
      <c r="AB28" s="73">
        <v>0</v>
      </c>
      <c r="AC28" s="74">
        <v>0</v>
      </c>
      <c r="AD28" s="74">
        <v>0</v>
      </c>
      <c r="AE28" s="1036"/>
      <c r="AF28" s="70">
        <v>0</v>
      </c>
      <c r="AG28" s="74">
        <v>90</v>
      </c>
    </row>
    <row r="29" spans="1:33">
      <c r="A29" s="18">
        <v>23</v>
      </c>
      <c r="B29" s="177" t="s">
        <v>38</v>
      </c>
      <c r="C29" s="178">
        <v>81455</v>
      </c>
      <c r="D29" s="179">
        <v>81455</v>
      </c>
      <c r="E29" s="179">
        <v>0</v>
      </c>
      <c r="F29" s="179">
        <v>0</v>
      </c>
      <c r="G29" s="180">
        <v>81455</v>
      </c>
      <c r="H29" s="180">
        <v>81455</v>
      </c>
      <c r="I29" s="179"/>
      <c r="J29" s="179">
        <v>14548</v>
      </c>
      <c r="K29" s="185">
        <v>2025.50108</v>
      </c>
      <c r="L29" s="181">
        <v>0</v>
      </c>
      <c r="M29" s="182"/>
      <c r="N29" s="126"/>
      <c r="O29" s="183">
        <v>0</v>
      </c>
      <c r="P29" s="184">
        <v>81455</v>
      </c>
      <c r="R29" s="29">
        <f t="shared" si="0"/>
        <v>22</v>
      </c>
      <c r="S29" s="43" t="s">
        <v>34</v>
      </c>
      <c r="T29" s="59"/>
      <c r="U29" s="60"/>
      <c r="V29" s="60"/>
      <c r="W29" s="60"/>
      <c r="X29" s="60"/>
      <c r="Y29" s="61"/>
      <c r="Z29" s="78"/>
      <c r="AA29" s="78"/>
      <c r="AB29" s="62"/>
      <c r="AC29" s="63"/>
      <c r="AD29" s="63"/>
      <c r="AE29" s="1036"/>
      <c r="AF29" s="59"/>
      <c r="AG29" s="63"/>
    </row>
    <row r="30" spans="1:33">
      <c r="A30" s="186">
        <v>24</v>
      </c>
      <c r="B30" s="38" t="s">
        <v>29</v>
      </c>
      <c r="C30" s="187">
        <v>963031.44299999997</v>
      </c>
      <c r="D30" s="188">
        <v>954872.38556999993</v>
      </c>
      <c r="E30" s="188">
        <v>674</v>
      </c>
      <c r="F30" s="188">
        <v>620.98599999999999</v>
      </c>
      <c r="G30" s="188">
        <v>963705.44299999997</v>
      </c>
      <c r="H30" s="188">
        <v>955493.37156999996</v>
      </c>
      <c r="I30" s="188"/>
      <c r="J30" s="188">
        <v>161683.38806</v>
      </c>
      <c r="K30" s="188">
        <v>12299.43115</v>
      </c>
      <c r="L30" s="189">
        <v>8212.0714299999527</v>
      </c>
      <c r="M30" s="190">
        <v>1766.1190200000001</v>
      </c>
      <c r="N30" s="126"/>
      <c r="O30" s="191">
        <v>124.14241</v>
      </c>
      <c r="P30" s="192">
        <v>955617.51397999993</v>
      </c>
      <c r="R30" s="25">
        <f t="shared" si="0"/>
        <v>23</v>
      </c>
      <c r="S30" s="37" t="s">
        <v>60</v>
      </c>
      <c r="T30" s="94"/>
      <c r="U30" s="92"/>
      <c r="V30" s="92"/>
      <c r="W30" s="92"/>
      <c r="X30" s="65"/>
      <c r="Y30" s="66"/>
      <c r="Z30" s="93"/>
      <c r="AA30" s="93"/>
      <c r="AB30" s="91"/>
      <c r="AC30" s="68"/>
      <c r="AD30" s="68"/>
      <c r="AE30" s="1036"/>
      <c r="AF30" s="94"/>
      <c r="AG30" s="68"/>
    </row>
    <row r="31" spans="1:33">
      <c r="A31" s="152">
        <v>25</v>
      </c>
      <c r="B31" s="129" t="s">
        <v>99</v>
      </c>
      <c r="C31" s="130">
        <v>35186.823000000004</v>
      </c>
      <c r="D31" s="131">
        <v>34786.841209999999</v>
      </c>
      <c r="E31" s="131">
        <v>0</v>
      </c>
      <c r="F31" s="131">
        <v>0</v>
      </c>
      <c r="G31" s="131">
        <v>35186.823000000004</v>
      </c>
      <c r="H31" s="131">
        <v>34786.841209999999</v>
      </c>
      <c r="I31" s="131"/>
      <c r="J31" s="131">
        <v>1405</v>
      </c>
      <c r="K31" s="131">
        <v>943.25543999999991</v>
      </c>
      <c r="L31" s="132">
        <v>399.98179000000164</v>
      </c>
      <c r="M31" s="133">
        <v>170.87146999999999</v>
      </c>
      <c r="N31" s="161"/>
      <c r="O31" s="134">
        <v>67</v>
      </c>
      <c r="P31" s="193">
        <v>34853.841209999999</v>
      </c>
      <c r="R31" s="24">
        <f t="shared" si="0"/>
        <v>24</v>
      </c>
      <c r="S31" s="38" t="s">
        <v>32</v>
      </c>
      <c r="T31" s="70">
        <v>75564.308739999993</v>
      </c>
      <c r="U31" s="71">
        <v>75842.54466</v>
      </c>
      <c r="V31" s="71">
        <v>10448.913629999999</v>
      </c>
      <c r="W31" s="71">
        <v>10448.913629999999</v>
      </c>
      <c r="X31" s="71">
        <v>86013.222369999989</v>
      </c>
      <c r="Y31" s="72">
        <v>86291.458289999995</v>
      </c>
      <c r="Z31" s="90"/>
      <c r="AA31" s="90">
        <v>1922.9725800000001</v>
      </c>
      <c r="AB31" s="73">
        <v>0</v>
      </c>
      <c r="AC31" s="74">
        <v>-278.23592000000281</v>
      </c>
      <c r="AD31" s="74">
        <v>0</v>
      </c>
      <c r="AE31" s="1036">
        <v>0</v>
      </c>
      <c r="AF31" s="70">
        <v>1931.7590100000002</v>
      </c>
      <c r="AG31" s="74">
        <v>88223.217299999989</v>
      </c>
    </row>
    <row r="32" spans="1:33">
      <c r="A32" s="152">
        <v>26</v>
      </c>
      <c r="B32" s="194" t="s">
        <v>100</v>
      </c>
      <c r="C32" s="164">
        <v>17190</v>
      </c>
      <c r="D32" s="137">
        <v>16858.411209999998</v>
      </c>
      <c r="E32" s="137">
        <v>0</v>
      </c>
      <c r="F32" s="137">
        <v>0</v>
      </c>
      <c r="G32" s="138">
        <v>17190</v>
      </c>
      <c r="H32" s="138">
        <v>16858.411209999998</v>
      </c>
      <c r="I32" s="137"/>
      <c r="J32" s="137">
        <v>1405</v>
      </c>
      <c r="K32" s="137">
        <v>635.48900000000003</v>
      </c>
      <c r="L32" s="140">
        <v>331.58879000000161</v>
      </c>
      <c r="M32" s="195">
        <v>170.87146999999999</v>
      </c>
      <c r="N32" s="196"/>
      <c r="O32" s="143">
        <v>0</v>
      </c>
      <c r="P32" s="144">
        <v>16858.411209999998</v>
      </c>
      <c r="R32" s="46">
        <f t="shared" si="0"/>
        <v>25</v>
      </c>
      <c r="S32" s="47" t="s">
        <v>39</v>
      </c>
      <c r="T32" s="59"/>
      <c r="U32" s="60"/>
      <c r="V32" s="60"/>
      <c r="W32" s="60"/>
      <c r="X32" s="60"/>
      <c r="Y32" s="61"/>
      <c r="Z32" s="78"/>
      <c r="AA32" s="78"/>
      <c r="AB32" s="62"/>
      <c r="AC32" s="63"/>
      <c r="AD32" s="63"/>
      <c r="AE32" s="1036"/>
      <c r="AF32" s="59"/>
      <c r="AG32" s="63"/>
    </row>
    <row r="33" spans="1:33" ht="15.75" thickBot="1">
      <c r="A33" s="152">
        <v>27</v>
      </c>
      <c r="B33" s="194" t="s">
        <v>101</v>
      </c>
      <c r="C33" s="164">
        <v>7912.21</v>
      </c>
      <c r="D33" s="137">
        <v>7912.21</v>
      </c>
      <c r="E33" s="137">
        <v>0</v>
      </c>
      <c r="F33" s="137">
        <v>0</v>
      </c>
      <c r="G33" s="138">
        <v>7912.21</v>
      </c>
      <c r="H33" s="138">
        <v>7912.21</v>
      </c>
      <c r="I33" s="137"/>
      <c r="J33" s="137">
        <v>0</v>
      </c>
      <c r="K33" s="137">
        <v>36.144150000000003</v>
      </c>
      <c r="L33" s="140">
        <v>0</v>
      </c>
      <c r="M33" s="195"/>
      <c r="N33" s="196"/>
      <c r="O33" s="143">
        <v>67</v>
      </c>
      <c r="P33" s="144">
        <v>7979.21</v>
      </c>
      <c r="R33" s="25">
        <f t="shared" si="0"/>
        <v>26</v>
      </c>
      <c r="S33" s="37" t="s">
        <v>60</v>
      </c>
      <c r="T33" s="89"/>
      <c r="U33" s="87"/>
      <c r="V33" s="87"/>
      <c r="W33" s="87"/>
      <c r="X33" s="65"/>
      <c r="Y33" s="66"/>
      <c r="Z33" s="88"/>
      <c r="AA33" s="88"/>
      <c r="AB33" s="86"/>
      <c r="AC33" s="68"/>
      <c r="AD33" s="68"/>
      <c r="AE33" s="1036"/>
      <c r="AF33" s="89"/>
      <c r="AG33" s="68"/>
    </row>
    <row r="34" spans="1:33" ht="15.75" thickBot="1">
      <c r="A34" s="152">
        <v>28</v>
      </c>
      <c r="B34" s="194" t="s">
        <v>102</v>
      </c>
      <c r="C34" s="164">
        <v>10084.613000000001</v>
      </c>
      <c r="D34" s="137">
        <v>10016.220000000001</v>
      </c>
      <c r="E34" s="137">
        <v>0</v>
      </c>
      <c r="F34" s="137">
        <v>0</v>
      </c>
      <c r="G34" s="138">
        <v>10084.613000000001</v>
      </c>
      <c r="H34" s="138">
        <v>10016.220000000001</v>
      </c>
      <c r="I34" s="137"/>
      <c r="J34" s="137">
        <v>0</v>
      </c>
      <c r="K34" s="137">
        <v>271.62228999999996</v>
      </c>
      <c r="L34" s="140">
        <v>68.393000000000029</v>
      </c>
      <c r="M34" s="195"/>
      <c r="N34" s="196"/>
      <c r="O34" s="143">
        <v>0</v>
      </c>
      <c r="P34" s="144">
        <v>10016.220000000001</v>
      </c>
      <c r="R34" s="31">
        <f t="shared" si="0"/>
        <v>27</v>
      </c>
      <c r="S34" s="39" t="s">
        <v>23</v>
      </c>
      <c r="T34" s="95">
        <v>2985687.0107399998</v>
      </c>
      <c r="U34" s="96">
        <v>2975463.1355400002</v>
      </c>
      <c r="V34" s="96">
        <v>40904.905629999994</v>
      </c>
      <c r="W34" s="96">
        <v>40847.367030000001</v>
      </c>
      <c r="X34" s="96">
        <v>3026591.9163700002</v>
      </c>
      <c r="Y34" s="97">
        <v>3016310.50257</v>
      </c>
      <c r="Z34" s="98">
        <v>0</v>
      </c>
      <c r="AA34" s="98">
        <v>192001.82870000001</v>
      </c>
      <c r="AB34" s="99">
        <v>57416.818419999996</v>
      </c>
      <c r="AC34" s="100">
        <v>10281.413800000071</v>
      </c>
      <c r="AD34" s="100">
        <v>2358.6473299999998</v>
      </c>
      <c r="AE34" s="101"/>
      <c r="AF34" s="95">
        <v>2055.9014200000001</v>
      </c>
      <c r="AG34" s="100">
        <v>3013376.40399</v>
      </c>
    </row>
    <row r="35" spans="1:33">
      <c r="A35" s="197">
        <v>29</v>
      </c>
      <c r="B35" s="129" t="s">
        <v>103</v>
      </c>
      <c r="C35" s="198">
        <v>927844.62</v>
      </c>
      <c r="D35" s="198">
        <v>920085.54435999994</v>
      </c>
      <c r="E35" s="198">
        <v>674</v>
      </c>
      <c r="F35" s="198">
        <v>620.98599999999999</v>
      </c>
      <c r="G35" s="198">
        <v>928518.62</v>
      </c>
      <c r="H35" s="198">
        <v>920706.53035999998</v>
      </c>
      <c r="I35" s="198"/>
      <c r="J35" s="198">
        <v>160278.38806</v>
      </c>
      <c r="K35" s="198">
        <v>11356.17571</v>
      </c>
      <c r="L35" s="199">
        <v>7812.089639999951</v>
      </c>
      <c r="M35" s="200">
        <v>1595.24755</v>
      </c>
      <c r="N35" s="201"/>
      <c r="O35" s="202">
        <v>57.142409999999998</v>
      </c>
      <c r="P35" s="203">
        <v>920763.67276999995</v>
      </c>
    </row>
    <row r="36" spans="1:33">
      <c r="A36" s="152">
        <v>30</v>
      </c>
      <c r="B36" s="194" t="s">
        <v>104</v>
      </c>
      <c r="C36" s="136">
        <v>694021</v>
      </c>
      <c r="D36" s="137">
        <v>690858.81726000004</v>
      </c>
      <c r="E36" s="137">
        <v>55</v>
      </c>
      <c r="F36" s="137">
        <v>55</v>
      </c>
      <c r="G36" s="138">
        <v>694076</v>
      </c>
      <c r="H36" s="138">
        <v>690913.81726000004</v>
      </c>
      <c r="I36" s="137"/>
      <c r="J36" s="137">
        <v>134244.32566</v>
      </c>
      <c r="K36" s="137">
        <v>9561.8986199999999</v>
      </c>
      <c r="L36" s="140">
        <v>3162.1827399999602</v>
      </c>
      <c r="M36" s="195">
        <v>1595.24755</v>
      </c>
      <c r="N36" s="142"/>
      <c r="O36" s="143">
        <v>3.8725200000000002</v>
      </c>
      <c r="P36" s="144">
        <v>690917.68978000002</v>
      </c>
    </row>
    <row r="37" spans="1:33">
      <c r="A37" s="152">
        <v>31</v>
      </c>
      <c r="B37" s="194" t="s">
        <v>105</v>
      </c>
      <c r="C37" s="136">
        <v>22227.62</v>
      </c>
      <c r="D37" s="137">
        <v>19210.527300000002</v>
      </c>
      <c r="E37" s="137">
        <v>0</v>
      </c>
      <c r="F37" s="137">
        <v>0</v>
      </c>
      <c r="G37" s="138">
        <v>22227.62</v>
      </c>
      <c r="H37" s="138">
        <v>19210.527300000002</v>
      </c>
      <c r="I37" s="137"/>
      <c r="J37" s="137">
        <v>729.22</v>
      </c>
      <c r="K37" s="137">
        <v>22.047440000000002</v>
      </c>
      <c r="L37" s="140">
        <v>3017.0926999999974</v>
      </c>
      <c r="M37" s="195"/>
      <c r="N37" s="142"/>
      <c r="O37" s="143">
        <v>0</v>
      </c>
      <c r="P37" s="144">
        <v>19210.527300000002</v>
      </c>
    </row>
    <row r="38" spans="1:33">
      <c r="A38" s="152">
        <v>32</v>
      </c>
      <c r="B38" s="194" t="s">
        <v>106</v>
      </c>
      <c r="C38" s="136">
        <v>211596</v>
      </c>
      <c r="D38" s="137">
        <v>210016.1998</v>
      </c>
      <c r="E38" s="137">
        <v>619</v>
      </c>
      <c r="F38" s="137">
        <v>565.98599999999999</v>
      </c>
      <c r="G38" s="138">
        <v>212215</v>
      </c>
      <c r="H38" s="138">
        <v>210582.18580000001</v>
      </c>
      <c r="I38" s="137"/>
      <c r="J38" s="137">
        <v>25304.842399999998</v>
      </c>
      <c r="K38" s="137">
        <v>1772.22965</v>
      </c>
      <c r="L38" s="140">
        <v>1632.8141999999934</v>
      </c>
      <c r="M38" s="195"/>
      <c r="N38" s="142"/>
      <c r="O38" s="143">
        <v>53.269889999999997</v>
      </c>
      <c r="P38" s="144">
        <v>210635.45569</v>
      </c>
    </row>
    <row r="39" spans="1:33">
      <c r="A39" s="186">
        <v>33</v>
      </c>
      <c r="B39" s="38" t="s">
        <v>27</v>
      </c>
      <c r="C39" s="187">
        <v>90</v>
      </c>
      <c r="D39" s="188">
        <v>90</v>
      </c>
      <c r="E39" s="188">
        <v>0</v>
      </c>
      <c r="F39" s="188">
        <v>0</v>
      </c>
      <c r="G39" s="188">
        <v>90</v>
      </c>
      <c r="H39" s="188">
        <v>90</v>
      </c>
      <c r="I39" s="188"/>
      <c r="J39" s="188">
        <v>0</v>
      </c>
      <c r="K39" s="188">
        <v>0</v>
      </c>
      <c r="L39" s="189">
        <v>0</v>
      </c>
      <c r="M39" s="190">
        <v>0</v>
      </c>
      <c r="N39" s="204"/>
      <c r="O39" s="191">
        <v>0</v>
      </c>
      <c r="P39" s="192">
        <v>90</v>
      </c>
    </row>
    <row r="40" spans="1:33">
      <c r="A40" s="18">
        <v>34</v>
      </c>
      <c r="B40" s="194" t="s">
        <v>107</v>
      </c>
      <c r="C40" s="205"/>
      <c r="D40" s="137"/>
      <c r="E40" s="137"/>
      <c r="F40" s="137"/>
      <c r="G40" s="138">
        <v>0</v>
      </c>
      <c r="H40" s="138">
        <v>0</v>
      </c>
      <c r="I40" s="137"/>
      <c r="J40" s="137"/>
      <c r="K40" s="137"/>
      <c r="L40" s="140">
        <v>0</v>
      </c>
      <c r="M40" s="195"/>
      <c r="N40" s="206"/>
      <c r="O40" s="168">
        <v>0</v>
      </c>
      <c r="P40" s="144">
        <v>0</v>
      </c>
    </row>
    <row r="41" spans="1:33">
      <c r="A41" s="18">
        <v>35</v>
      </c>
      <c r="B41" s="194" t="s">
        <v>108</v>
      </c>
      <c r="C41" s="205">
        <v>90</v>
      </c>
      <c r="D41" s="137">
        <v>90</v>
      </c>
      <c r="E41" s="137">
        <v>0</v>
      </c>
      <c r="F41" s="137">
        <v>0</v>
      </c>
      <c r="G41" s="138">
        <v>90</v>
      </c>
      <c r="H41" s="138">
        <v>90</v>
      </c>
      <c r="I41" s="137"/>
      <c r="J41" s="137">
        <v>0</v>
      </c>
      <c r="K41" s="137">
        <v>0</v>
      </c>
      <c r="L41" s="140">
        <v>0</v>
      </c>
      <c r="M41" s="195">
        <v>0</v>
      </c>
      <c r="N41" s="207"/>
      <c r="O41" s="168">
        <v>0</v>
      </c>
      <c r="P41" s="144">
        <v>90</v>
      </c>
    </row>
    <row r="42" spans="1:33">
      <c r="A42" s="186">
        <v>36</v>
      </c>
      <c r="B42" s="38" t="s">
        <v>32</v>
      </c>
      <c r="C42" s="187">
        <v>75564.308739999993</v>
      </c>
      <c r="D42" s="188">
        <v>75842.54466</v>
      </c>
      <c r="E42" s="188">
        <v>10448.913629999999</v>
      </c>
      <c r="F42" s="188">
        <v>10448.913629999999</v>
      </c>
      <c r="G42" s="188">
        <v>86013.222369999989</v>
      </c>
      <c r="H42" s="188">
        <v>86291.458289999995</v>
      </c>
      <c r="I42" s="188"/>
      <c r="J42" s="188">
        <v>1922.9725800000001</v>
      </c>
      <c r="K42" s="188">
        <v>0</v>
      </c>
      <c r="L42" s="189">
        <v>-278.23592000000281</v>
      </c>
      <c r="M42" s="190">
        <v>0</v>
      </c>
      <c r="N42" s="204">
        <v>0</v>
      </c>
      <c r="O42" s="191">
        <v>1931.7590100000002</v>
      </c>
      <c r="P42" s="192">
        <v>88223.217299999989</v>
      </c>
    </row>
    <row r="43" spans="1:33">
      <c r="A43" s="152">
        <v>37</v>
      </c>
      <c r="B43" s="129" t="s">
        <v>110</v>
      </c>
      <c r="C43" s="130">
        <v>71634.109859999997</v>
      </c>
      <c r="D43" s="131">
        <v>71912.345780000003</v>
      </c>
      <c r="E43" s="131">
        <v>10448.913629999999</v>
      </c>
      <c r="F43" s="131">
        <v>10448.913629999999</v>
      </c>
      <c r="G43" s="131">
        <v>82083.023489999992</v>
      </c>
      <c r="H43" s="131">
        <v>82361.259409999999</v>
      </c>
      <c r="I43" s="131"/>
      <c r="J43" s="131">
        <v>1922.9725800000001</v>
      </c>
      <c r="K43" s="131">
        <v>0</v>
      </c>
      <c r="L43" s="132">
        <v>-278.23592000000281</v>
      </c>
      <c r="M43" s="133">
        <v>0</v>
      </c>
      <c r="N43" s="156">
        <v>0</v>
      </c>
      <c r="O43" s="134">
        <v>1931.7590100000002</v>
      </c>
      <c r="P43" s="193">
        <v>84293.018419999993</v>
      </c>
    </row>
    <row r="44" spans="1:33">
      <c r="A44" s="152">
        <v>38</v>
      </c>
      <c r="B44" s="194" t="s">
        <v>111</v>
      </c>
      <c r="C44" s="205">
        <v>31995.770359999999</v>
      </c>
      <c r="D44" s="137">
        <v>31995.775079999999</v>
      </c>
      <c r="E44" s="137">
        <v>0</v>
      </c>
      <c r="F44" s="137">
        <v>0</v>
      </c>
      <c r="G44" s="138">
        <v>31995.770359999999</v>
      </c>
      <c r="H44" s="138">
        <v>31995.775079999999</v>
      </c>
      <c r="I44" s="137"/>
      <c r="J44" s="137">
        <v>0</v>
      </c>
      <c r="K44" s="137">
        <v>0</v>
      </c>
      <c r="L44" s="140">
        <v>-4.7200000008160714E-3</v>
      </c>
      <c r="M44" s="195"/>
      <c r="N44" s="196"/>
      <c r="O44" s="143">
        <v>426.95924000000002</v>
      </c>
      <c r="P44" s="144">
        <v>32422.73432</v>
      </c>
    </row>
    <row r="45" spans="1:33">
      <c r="A45" s="152">
        <v>39</v>
      </c>
      <c r="B45" s="194" t="s">
        <v>112</v>
      </c>
      <c r="C45" s="136">
        <v>30941.151169999997</v>
      </c>
      <c r="D45" s="137">
        <v>30845.95117</v>
      </c>
      <c r="E45" s="137">
        <v>10448.913629999999</v>
      </c>
      <c r="F45" s="137">
        <v>10448.913629999999</v>
      </c>
      <c r="G45" s="138">
        <v>41390.064799999993</v>
      </c>
      <c r="H45" s="138">
        <v>41294.864799999996</v>
      </c>
      <c r="I45" s="137"/>
      <c r="J45" s="137">
        <v>0</v>
      </c>
      <c r="K45" s="137">
        <v>0</v>
      </c>
      <c r="L45" s="140">
        <v>95.19999999999709</v>
      </c>
      <c r="M45" s="195"/>
      <c r="N45" s="206">
        <v>0</v>
      </c>
      <c r="O45" s="143">
        <v>0</v>
      </c>
      <c r="P45" s="144">
        <v>41294.864799999996</v>
      </c>
    </row>
    <row r="46" spans="1:33">
      <c r="A46" s="152">
        <v>40</v>
      </c>
      <c r="B46" s="208" t="s">
        <v>113</v>
      </c>
      <c r="C46" s="205">
        <v>8697.1883300000009</v>
      </c>
      <c r="D46" s="137">
        <v>9070.6195299999999</v>
      </c>
      <c r="E46" s="137">
        <v>0</v>
      </c>
      <c r="F46" s="137">
        <v>0</v>
      </c>
      <c r="G46" s="138">
        <v>8697.1883300000009</v>
      </c>
      <c r="H46" s="138">
        <v>9070.6195299999999</v>
      </c>
      <c r="I46" s="137"/>
      <c r="J46" s="137">
        <v>1922.9725800000001</v>
      </c>
      <c r="K46" s="137">
        <v>0</v>
      </c>
      <c r="L46" s="140">
        <v>-373.43119999999908</v>
      </c>
      <c r="M46" s="195"/>
      <c r="N46" s="196"/>
      <c r="O46" s="143">
        <v>1504.7997700000001</v>
      </c>
      <c r="P46" s="144">
        <v>10575.4193</v>
      </c>
    </row>
    <row r="47" spans="1:33">
      <c r="A47" s="152">
        <v>41</v>
      </c>
      <c r="B47" s="129" t="s">
        <v>114</v>
      </c>
      <c r="C47" s="130">
        <v>3930.1988799999999</v>
      </c>
      <c r="D47" s="130">
        <v>3930.1988799999999</v>
      </c>
      <c r="E47" s="130">
        <v>0</v>
      </c>
      <c r="F47" s="130">
        <v>0</v>
      </c>
      <c r="G47" s="130">
        <v>3930.1988799999999</v>
      </c>
      <c r="H47" s="130">
        <v>3930.1988799999999</v>
      </c>
      <c r="I47" s="130"/>
      <c r="J47" s="130">
        <v>0</v>
      </c>
      <c r="K47" s="130">
        <v>0</v>
      </c>
      <c r="L47" s="156">
        <v>0</v>
      </c>
      <c r="M47" s="133">
        <v>0</v>
      </c>
      <c r="N47" s="201"/>
      <c r="O47" s="134">
        <v>0</v>
      </c>
      <c r="P47" s="157">
        <v>3930.1988799999999</v>
      </c>
    </row>
    <row r="48" spans="1:33" ht="15.75" thickBot="1">
      <c r="A48" s="152">
        <v>42</v>
      </c>
      <c r="B48" s="208" t="s">
        <v>115</v>
      </c>
      <c r="C48" s="205">
        <v>3930.1988799999999</v>
      </c>
      <c r="D48" s="137">
        <v>3930.1988799999999</v>
      </c>
      <c r="E48" s="137">
        <v>0</v>
      </c>
      <c r="F48" s="137">
        <v>0</v>
      </c>
      <c r="G48" s="138">
        <v>3930.1988799999999</v>
      </c>
      <c r="H48" s="138">
        <v>3930.1988799999999</v>
      </c>
      <c r="I48" s="137"/>
      <c r="J48" s="137">
        <v>0</v>
      </c>
      <c r="K48" s="137">
        <v>0</v>
      </c>
      <c r="L48" s="140">
        <v>0</v>
      </c>
      <c r="M48" s="209"/>
      <c r="N48" s="210"/>
      <c r="O48" s="211">
        <v>0</v>
      </c>
      <c r="P48" s="144">
        <v>3930.1988799999999</v>
      </c>
    </row>
    <row r="49" spans="1:16" ht="16.5" thickBot="1">
      <c r="A49" s="212">
        <v>43</v>
      </c>
      <c r="B49" s="213" t="s">
        <v>23</v>
      </c>
      <c r="C49" s="214">
        <v>2985687.0107399998</v>
      </c>
      <c r="D49" s="215">
        <v>2975463.1355400002</v>
      </c>
      <c r="E49" s="215">
        <v>40904.905629999994</v>
      </c>
      <c r="F49" s="215">
        <v>40847.367030000001</v>
      </c>
      <c r="G49" s="215">
        <v>3026591.9163700002</v>
      </c>
      <c r="H49" s="215">
        <v>3016310.50257</v>
      </c>
      <c r="I49" s="215">
        <v>0</v>
      </c>
      <c r="J49" s="215">
        <v>192001.82870000001</v>
      </c>
      <c r="K49" s="215">
        <v>57416.818419999996</v>
      </c>
      <c r="L49" s="216">
        <v>10281.413800000071</v>
      </c>
      <c r="M49" s="217">
        <v>2358.6473299999998</v>
      </c>
      <c r="N49" s="218"/>
      <c r="O49" s="214">
        <v>2055.9014200000001</v>
      </c>
      <c r="P49" s="217">
        <v>3013376.40399</v>
      </c>
    </row>
  </sheetData>
  <mergeCells count="24">
    <mergeCell ref="P4:P5"/>
    <mergeCell ref="A4:A6"/>
    <mergeCell ref="B4:B6"/>
    <mergeCell ref="C4:D4"/>
    <mergeCell ref="E4:F4"/>
    <mergeCell ref="G4:H4"/>
    <mergeCell ref="I4:I5"/>
    <mergeCell ref="AG4:AG5"/>
    <mergeCell ref="Z4:Z5"/>
    <mergeCell ref="AA4:AA5"/>
    <mergeCell ref="AB4:AB5"/>
    <mergeCell ref="AC4:AC5"/>
    <mergeCell ref="J4:J5"/>
    <mergeCell ref="K4:K5"/>
    <mergeCell ref="L4:L5"/>
    <mergeCell ref="M4:M5"/>
    <mergeCell ref="O4:O5"/>
    <mergeCell ref="AD4:AD5"/>
    <mergeCell ref="AF4:AF5"/>
    <mergeCell ref="R4:R6"/>
    <mergeCell ref="S4:S6"/>
    <mergeCell ref="T4:U4"/>
    <mergeCell ref="V4:W4"/>
    <mergeCell ref="X4:Y4"/>
  </mergeCells>
  <pageMargins left="0.7" right="0.7" top="0.78740157499999996" bottom="0.78740157499999996"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0"/>
  <dimension ref="A1:AG39"/>
  <sheetViews>
    <sheetView zoomScale="85" zoomScaleNormal="85" workbookViewId="0">
      <selection activeCell="R1" sqref="R1:AG65536"/>
    </sheetView>
  </sheetViews>
  <sheetFormatPr defaultRowHeight="15"/>
  <cols>
    <col min="1" max="1" width="9.42578125" customWidth="1"/>
    <col min="2" max="2" width="45.85546875" customWidth="1"/>
    <col min="3" max="3" width="12.7109375" customWidth="1"/>
    <col min="4" max="4" width="11.5703125" customWidth="1"/>
    <col min="5" max="5" width="11.28515625" customWidth="1"/>
    <col min="6" max="6" width="11.5703125" customWidth="1"/>
    <col min="7" max="7" width="10.85546875" customWidth="1"/>
    <col min="8" max="9" width="10.42578125" customWidth="1"/>
    <col min="10" max="10" width="12.5703125" customWidth="1"/>
    <col min="11" max="11" width="10.5703125" customWidth="1"/>
    <col min="12" max="13" width="13.42578125" customWidth="1"/>
    <col min="14" max="14" width="1.7109375" customWidth="1"/>
    <col min="15" max="15" width="11" customWidth="1"/>
    <col min="16" max="16" width="10.85546875" customWidth="1"/>
    <col min="18" max="18" width="9.42578125" hidden="1" customWidth="1"/>
    <col min="19" max="19" width="45.85546875" hidden="1" customWidth="1"/>
    <col min="20" max="20" width="12.7109375" hidden="1" customWidth="1"/>
    <col min="21" max="21" width="11.5703125" hidden="1" customWidth="1"/>
    <col min="22" max="22" width="11.28515625" hidden="1" customWidth="1"/>
    <col min="23" max="23" width="11.5703125" hidden="1" customWidth="1"/>
    <col min="24" max="25" width="12.140625" hidden="1" customWidth="1"/>
    <col min="26" max="26" width="10.42578125" hidden="1" customWidth="1"/>
    <col min="27" max="27" width="12.5703125" hidden="1" customWidth="1"/>
    <col min="28" max="28" width="10.5703125" hidden="1" customWidth="1"/>
    <col min="29" max="29" width="14" hidden="1" customWidth="1"/>
    <col min="30" max="30" width="12.42578125" hidden="1" customWidth="1"/>
    <col min="31" max="31" width="1.7109375" hidden="1" customWidth="1"/>
    <col min="32" max="32" width="11" hidden="1" customWidth="1"/>
    <col min="33" max="33" width="10.85546875" hidden="1" customWidth="1"/>
  </cols>
  <sheetData>
    <row r="1" spans="1:33" ht="15.75">
      <c r="A1" s="3" t="s">
        <v>44</v>
      </c>
      <c r="B1" s="20"/>
      <c r="C1" s="20"/>
      <c r="D1" s="20"/>
      <c r="E1" s="20"/>
      <c r="F1" s="20"/>
      <c r="G1" s="20"/>
      <c r="H1" s="20"/>
      <c r="I1" s="20"/>
      <c r="J1" s="20"/>
      <c r="K1" s="20"/>
      <c r="L1" s="20"/>
      <c r="M1" s="20"/>
      <c r="N1" s="22"/>
      <c r="O1" s="20"/>
      <c r="P1" s="20"/>
    </row>
    <row r="2" spans="1:33" ht="15.75">
      <c r="A2" s="3"/>
      <c r="B2" s="2" t="s">
        <v>43</v>
      </c>
      <c r="C2" s="20"/>
      <c r="D2" s="20"/>
      <c r="E2" s="20"/>
      <c r="F2" s="20"/>
      <c r="G2" s="20"/>
      <c r="H2" s="20"/>
      <c r="I2" s="20"/>
      <c r="J2" s="20"/>
      <c r="K2" s="20"/>
      <c r="L2" s="20"/>
      <c r="M2" s="20"/>
      <c r="N2" s="22"/>
      <c r="O2" s="20"/>
      <c r="P2" s="20"/>
    </row>
    <row r="3" spans="1:33" ht="16.5" thickBot="1">
      <c r="A3" s="20"/>
      <c r="B3" s="19"/>
      <c r="C3" s="20"/>
      <c r="D3" s="20"/>
      <c r="E3" s="20"/>
      <c r="F3" s="20"/>
      <c r="G3" s="20"/>
      <c r="H3" s="20"/>
      <c r="I3" s="20"/>
      <c r="J3" s="20"/>
      <c r="K3" s="20"/>
      <c r="L3" s="20"/>
      <c r="M3" s="20"/>
      <c r="N3" s="22"/>
      <c r="O3" s="20"/>
      <c r="P3" s="23" t="s">
        <v>496</v>
      </c>
    </row>
    <row r="4" spans="1:33">
      <c r="A4" s="1357" t="s">
        <v>1</v>
      </c>
      <c r="B4" s="1354" t="s">
        <v>46</v>
      </c>
      <c r="C4" s="1361" t="s">
        <v>18</v>
      </c>
      <c r="D4" s="1361"/>
      <c r="E4" s="1361" t="s">
        <v>19</v>
      </c>
      <c r="F4" s="1361"/>
      <c r="G4" s="1364" t="s">
        <v>20</v>
      </c>
      <c r="H4" s="1365"/>
      <c r="I4" s="1349" t="s">
        <v>47</v>
      </c>
      <c r="J4" s="1349" t="s">
        <v>48</v>
      </c>
      <c r="K4" s="1351" t="s">
        <v>49</v>
      </c>
      <c r="L4" s="1362" t="s">
        <v>117</v>
      </c>
      <c r="M4" s="1549" t="s">
        <v>118</v>
      </c>
      <c r="N4" s="1037"/>
      <c r="O4" s="1366" t="s">
        <v>330</v>
      </c>
      <c r="P4" s="1368" t="s">
        <v>21</v>
      </c>
      <c r="R4" s="1357" t="s">
        <v>1</v>
      </c>
      <c r="S4" s="1354" t="s">
        <v>46</v>
      </c>
      <c r="T4" s="1360" t="s">
        <v>18</v>
      </c>
      <c r="U4" s="1361"/>
      <c r="V4" s="1361" t="s">
        <v>19</v>
      </c>
      <c r="W4" s="1361"/>
      <c r="X4" s="1364" t="s">
        <v>20</v>
      </c>
      <c r="Y4" s="1365"/>
      <c r="Z4" s="1349" t="s">
        <v>47</v>
      </c>
      <c r="AA4" s="1349" t="s">
        <v>48</v>
      </c>
      <c r="AB4" s="1351" t="s">
        <v>49</v>
      </c>
      <c r="AC4" s="1362" t="s">
        <v>62</v>
      </c>
      <c r="AD4" s="1370" t="s">
        <v>69</v>
      </c>
      <c r="AE4" s="1037"/>
      <c r="AF4" s="1366" t="s">
        <v>65</v>
      </c>
      <c r="AG4" s="1368" t="s">
        <v>21</v>
      </c>
    </row>
    <row r="5" spans="1:33">
      <c r="A5" s="1358"/>
      <c r="B5" s="1355"/>
      <c r="C5" s="11" t="s">
        <v>26</v>
      </c>
      <c r="D5" s="11" t="s">
        <v>50</v>
      </c>
      <c r="E5" s="10" t="s">
        <v>12</v>
      </c>
      <c r="F5" s="11" t="s">
        <v>16</v>
      </c>
      <c r="G5" s="11" t="s">
        <v>12</v>
      </c>
      <c r="H5" s="33" t="s">
        <v>16</v>
      </c>
      <c r="I5" s="1350"/>
      <c r="J5" s="1350"/>
      <c r="K5" s="1352"/>
      <c r="L5" s="1363"/>
      <c r="M5" s="1550"/>
      <c r="N5" s="1037"/>
      <c r="O5" s="1367"/>
      <c r="P5" s="1369"/>
      <c r="R5" s="1358"/>
      <c r="S5" s="1355"/>
      <c r="T5" s="1077" t="s">
        <v>26</v>
      </c>
      <c r="U5" s="11" t="s">
        <v>50</v>
      </c>
      <c r="V5" s="10" t="s">
        <v>12</v>
      </c>
      <c r="W5" s="11" t="s">
        <v>16</v>
      </c>
      <c r="X5" s="11" t="s">
        <v>12</v>
      </c>
      <c r="Y5" s="33" t="s">
        <v>16</v>
      </c>
      <c r="Z5" s="1350"/>
      <c r="AA5" s="1350"/>
      <c r="AB5" s="1352"/>
      <c r="AC5" s="1363"/>
      <c r="AD5" s="1371"/>
      <c r="AE5" s="1037"/>
      <c r="AF5" s="1367"/>
      <c r="AG5" s="1369"/>
    </row>
    <row r="6" spans="1:33" ht="15.75" thickBot="1">
      <c r="A6" s="1359"/>
      <c r="B6" s="1356"/>
      <c r="C6" s="13" t="s">
        <v>4</v>
      </c>
      <c r="D6" s="13" t="s">
        <v>5</v>
      </c>
      <c r="E6" s="13" t="s">
        <v>6</v>
      </c>
      <c r="F6" s="13" t="s">
        <v>7</v>
      </c>
      <c r="G6" s="13" t="s">
        <v>13</v>
      </c>
      <c r="H6" s="34" t="s">
        <v>14</v>
      </c>
      <c r="I6" s="45" t="s">
        <v>28</v>
      </c>
      <c r="J6" s="45" t="s">
        <v>31</v>
      </c>
      <c r="K6" s="32" t="s">
        <v>9</v>
      </c>
      <c r="L6" s="14" t="s">
        <v>22</v>
      </c>
      <c r="M6" s="1038" t="s">
        <v>63</v>
      </c>
      <c r="N6" s="1037"/>
      <c r="O6" s="44" t="s">
        <v>10</v>
      </c>
      <c r="P6" s="14" t="s">
        <v>64</v>
      </c>
      <c r="R6" s="1359"/>
      <c r="S6" s="1356"/>
      <c r="T6" s="1078" t="s">
        <v>4</v>
      </c>
      <c r="U6" s="13" t="s">
        <v>5</v>
      </c>
      <c r="V6" s="13" t="s">
        <v>6</v>
      </c>
      <c r="W6" s="13" t="s">
        <v>7</v>
      </c>
      <c r="X6" s="13" t="s">
        <v>13</v>
      </c>
      <c r="Y6" s="34" t="s">
        <v>14</v>
      </c>
      <c r="Z6" s="45" t="s">
        <v>28</v>
      </c>
      <c r="AA6" s="45" t="s">
        <v>31</v>
      </c>
      <c r="AB6" s="32" t="s">
        <v>9</v>
      </c>
      <c r="AC6" s="14" t="s">
        <v>22</v>
      </c>
      <c r="AD6" s="14" t="s">
        <v>63</v>
      </c>
      <c r="AE6" s="1037"/>
      <c r="AF6" s="44" t="s">
        <v>10</v>
      </c>
      <c r="AG6" s="14" t="s">
        <v>64</v>
      </c>
    </row>
    <row r="7" spans="1:33">
      <c r="A7" s="24">
        <v>1</v>
      </c>
      <c r="B7" s="38" t="s">
        <v>15</v>
      </c>
      <c r="C7" s="55">
        <v>236365</v>
      </c>
      <c r="D7" s="55">
        <v>233002</v>
      </c>
      <c r="E7" s="55">
        <v>25000</v>
      </c>
      <c r="F7" s="55">
        <v>25000</v>
      </c>
      <c r="G7" s="55">
        <v>261365</v>
      </c>
      <c r="H7" s="56">
        <v>258002</v>
      </c>
      <c r="I7" s="75"/>
      <c r="J7" s="75">
        <v>3242</v>
      </c>
      <c r="K7" s="57">
        <v>9572</v>
      </c>
      <c r="L7" s="58">
        <v>3363</v>
      </c>
      <c r="M7" s="1039">
        <v>0</v>
      </c>
      <c r="N7" s="1036"/>
      <c r="O7" s="54">
        <v>0</v>
      </c>
      <c r="P7" s="58">
        <v>258002</v>
      </c>
      <c r="R7" s="24">
        <v>1</v>
      </c>
      <c r="S7" s="38" t="s">
        <v>15</v>
      </c>
      <c r="T7" s="54">
        <v>236365</v>
      </c>
      <c r="U7" s="55">
        <v>233002</v>
      </c>
      <c r="V7" s="55">
        <v>25000</v>
      </c>
      <c r="W7" s="55">
        <v>25000</v>
      </c>
      <c r="X7" s="55">
        <v>261365</v>
      </c>
      <c r="Y7" s="56">
        <v>258002</v>
      </c>
      <c r="Z7" s="75"/>
      <c r="AA7" s="75">
        <v>3242</v>
      </c>
      <c r="AB7" s="57">
        <v>9572</v>
      </c>
      <c r="AC7" s="58">
        <v>3363</v>
      </c>
      <c r="AD7" s="58">
        <v>0</v>
      </c>
      <c r="AE7" s="1036"/>
      <c r="AF7" s="54">
        <v>0</v>
      </c>
      <c r="AG7" s="58">
        <v>258002</v>
      </c>
    </row>
    <row r="8" spans="1:33">
      <c r="A8" s="48">
        <f>A7+1</f>
        <v>2</v>
      </c>
      <c r="B8" s="35" t="s">
        <v>35</v>
      </c>
      <c r="C8" s="60">
        <v>190243</v>
      </c>
      <c r="D8" s="60">
        <v>186880</v>
      </c>
      <c r="E8" s="60">
        <v>25000</v>
      </c>
      <c r="F8" s="60">
        <v>25000</v>
      </c>
      <c r="G8" s="60">
        <v>215243</v>
      </c>
      <c r="H8" s="61">
        <v>211880</v>
      </c>
      <c r="I8" s="77"/>
      <c r="J8" s="78">
        <v>3242</v>
      </c>
      <c r="K8" s="62">
        <v>8359</v>
      </c>
      <c r="L8" s="63">
        <v>3363</v>
      </c>
      <c r="M8" s="230">
        <v>0</v>
      </c>
      <c r="N8" s="1036"/>
      <c r="O8" s="59">
        <v>0</v>
      </c>
      <c r="P8" s="63">
        <v>211880</v>
      </c>
      <c r="R8" s="48">
        <f>R7+1</f>
        <v>2</v>
      </c>
      <c r="S8" s="35" t="s">
        <v>35</v>
      </c>
      <c r="T8" s="59">
        <v>190243</v>
      </c>
      <c r="U8" s="60">
        <v>186880</v>
      </c>
      <c r="V8" s="60">
        <v>25000</v>
      </c>
      <c r="W8" s="60">
        <v>25000</v>
      </c>
      <c r="X8" s="60">
        <v>215243</v>
      </c>
      <c r="Y8" s="61">
        <v>211880</v>
      </c>
      <c r="Z8" s="77"/>
      <c r="AA8" s="78">
        <v>3242</v>
      </c>
      <c r="AB8" s="62">
        <v>8359</v>
      </c>
      <c r="AC8" s="63">
        <v>3363</v>
      </c>
      <c r="AD8" s="63">
        <v>0</v>
      </c>
      <c r="AE8" s="1036"/>
      <c r="AF8" s="59">
        <v>0</v>
      </c>
      <c r="AG8" s="63">
        <v>211880</v>
      </c>
    </row>
    <row r="9" spans="1:33">
      <c r="A9" s="715">
        <f>A8+1</f>
        <v>3</v>
      </c>
      <c r="B9" s="265" t="s">
        <v>58</v>
      </c>
      <c r="C9" s="65">
        <v>182754</v>
      </c>
      <c r="D9" s="65">
        <v>182754</v>
      </c>
      <c r="E9" s="65">
        <v>25000</v>
      </c>
      <c r="F9" s="65">
        <v>25000</v>
      </c>
      <c r="G9" s="65">
        <v>207754</v>
      </c>
      <c r="H9" s="66">
        <v>207754</v>
      </c>
      <c r="I9" s="79">
        <v>0</v>
      </c>
      <c r="J9" s="80">
        <v>0</v>
      </c>
      <c r="K9" s="67">
        <v>8359</v>
      </c>
      <c r="L9" s="68">
        <v>0</v>
      </c>
      <c r="M9" s="1040">
        <v>0</v>
      </c>
      <c r="N9" s="1036"/>
      <c r="O9" s="1041">
        <v>0</v>
      </c>
      <c r="P9" s="68">
        <v>207754</v>
      </c>
      <c r="R9" s="25">
        <f t="shared" ref="R9:R34" si="0">R8+1</f>
        <v>3</v>
      </c>
      <c r="S9" s="36" t="s">
        <v>58</v>
      </c>
      <c r="T9" s="64">
        <v>182754</v>
      </c>
      <c r="U9" s="65">
        <v>182754</v>
      </c>
      <c r="V9" s="65">
        <v>25000</v>
      </c>
      <c r="W9" s="65">
        <v>25000</v>
      </c>
      <c r="X9" s="65">
        <v>207754</v>
      </c>
      <c r="Y9" s="66">
        <v>207754</v>
      </c>
      <c r="Z9" s="80">
        <v>0</v>
      </c>
      <c r="AA9" s="80">
        <v>0</v>
      </c>
      <c r="AB9" s="67">
        <v>8359</v>
      </c>
      <c r="AC9" s="68">
        <v>0</v>
      </c>
      <c r="AD9" s="68">
        <v>0</v>
      </c>
      <c r="AE9" s="1036"/>
      <c r="AF9" s="64">
        <v>0</v>
      </c>
      <c r="AG9" s="68">
        <v>207754</v>
      </c>
    </row>
    <row r="10" spans="1:33">
      <c r="A10" s="715">
        <f>A9+1</f>
        <v>4</v>
      </c>
      <c r="B10" s="265" t="s">
        <v>36</v>
      </c>
      <c r="C10" s="65">
        <v>255</v>
      </c>
      <c r="D10" s="65">
        <v>130</v>
      </c>
      <c r="E10" s="65">
        <v>0</v>
      </c>
      <c r="F10" s="65">
        <v>0</v>
      </c>
      <c r="G10" s="65">
        <v>255</v>
      </c>
      <c r="H10" s="66">
        <v>130</v>
      </c>
      <c r="I10" s="79">
        <v>0</v>
      </c>
      <c r="J10" s="80">
        <v>0</v>
      </c>
      <c r="K10" s="67">
        <v>0</v>
      </c>
      <c r="L10" s="68">
        <v>125</v>
      </c>
      <c r="M10" s="1040">
        <v>0</v>
      </c>
      <c r="N10" s="1036"/>
      <c r="O10" s="1041">
        <v>0</v>
      </c>
      <c r="P10" s="68">
        <v>130</v>
      </c>
      <c r="R10" s="25">
        <f t="shared" si="0"/>
        <v>4</v>
      </c>
      <c r="S10" s="36" t="s">
        <v>36</v>
      </c>
      <c r="T10" s="64">
        <v>255</v>
      </c>
      <c r="U10" s="65">
        <v>130</v>
      </c>
      <c r="V10" s="65">
        <v>0</v>
      </c>
      <c r="W10" s="65">
        <v>0</v>
      </c>
      <c r="X10" s="65">
        <v>255</v>
      </c>
      <c r="Y10" s="249">
        <v>130</v>
      </c>
      <c r="Z10" s="80">
        <v>0</v>
      </c>
      <c r="AA10" s="80">
        <v>0</v>
      </c>
      <c r="AB10" s="67">
        <v>0</v>
      </c>
      <c r="AC10" s="68">
        <v>125</v>
      </c>
      <c r="AD10" s="68">
        <v>0</v>
      </c>
      <c r="AE10" s="1036"/>
      <c r="AF10" s="64">
        <v>0</v>
      </c>
      <c r="AG10" s="68">
        <v>130</v>
      </c>
    </row>
    <row r="11" spans="1:33">
      <c r="A11" s="715">
        <v>5</v>
      </c>
      <c r="B11" s="265" t="s">
        <v>131</v>
      </c>
      <c r="C11" s="65">
        <v>7234</v>
      </c>
      <c r="D11" s="65">
        <v>3996</v>
      </c>
      <c r="E11" s="65">
        <v>0</v>
      </c>
      <c r="F11" s="65">
        <v>0</v>
      </c>
      <c r="G11" s="65">
        <v>7234</v>
      </c>
      <c r="H11" s="66">
        <v>3996</v>
      </c>
      <c r="I11" s="79">
        <v>0</v>
      </c>
      <c r="J11" s="80">
        <v>3242</v>
      </c>
      <c r="K11" s="67">
        <v>0</v>
      </c>
      <c r="L11" s="68">
        <v>3238</v>
      </c>
      <c r="M11" s="1040">
        <v>0</v>
      </c>
      <c r="N11" s="1036"/>
      <c r="O11" s="1041">
        <v>0</v>
      </c>
      <c r="P11" s="68">
        <v>3996</v>
      </c>
      <c r="R11" s="25">
        <f t="shared" si="0"/>
        <v>5</v>
      </c>
      <c r="S11" s="37" t="s">
        <v>30</v>
      </c>
      <c r="T11" s="64"/>
      <c r="U11" s="65"/>
      <c r="V11" s="65"/>
      <c r="W11" s="65"/>
      <c r="X11" s="65"/>
      <c r="Y11" s="66"/>
      <c r="Z11" s="79"/>
      <c r="AA11" s="80"/>
      <c r="AB11" s="67"/>
      <c r="AC11" s="68"/>
      <c r="AD11" s="68"/>
      <c r="AE11" s="1036"/>
      <c r="AF11" s="64"/>
      <c r="AG11" s="68"/>
    </row>
    <row r="12" spans="1:33">
      <c r="A12" s="715">
        <v>6</v>
      </c>
      <c r="B12" s="1042" t="s">
        <v>30</v>
      </c>
      <c r="C12" s="65">
        <v>0</v>
      </c>
      <c r="D12" s="65">
        <v>0</v>
      </c>
      <c r="E12" s="65">
        <v>0</v>
      </c>
      <c r="F12" s="65">
        <v>0</v>
      </c>
      <c r="G12" s="65">
        <v>0</v>
      </c>
      <c r="H12" s="66">
        <v>0</v>
      </c>
      <c r="I12" s="79">
        <v>0</v>
      </c>
      <c r="J12" s="80">
        <v>0</v>
      </c>
      <c r="K12" s="67">
        <v>0</v>
      </c>
      <c r="L12" s="68">
        <v>0</v>
      </c>
      <c r="M12" s="1040">
        <v>0</v>
      </c>
      <c r="N12" s="1036"/>
      <c r="O12" s="1041">
        <v>0</v>
      </c>
      <c r="P12" s="68">
        <v>0</v>
      </c>
      <c r="R12" s="48">
        <f t="shared" si="0"/>
        <v>6</v>
      </c>
      <c r="S12" s="35" t="s">
        <v>42</v>
      </c>
      <c r="T12" s="59">
        <v>46122</v>
      </c>
      <c r="U12" s="60">
        <v>46122</v>
      </c>
      <c r="V12" s="60">
        <v>0</v>
      </c>
      <c r="W12" s="60">
        <v>0</v>
      </c>
      <c r="X12" s="60">
        <v>46122</v>
      </c>
      <c r="Y12" s="61">
        <v>46122</v>
      </c>
      <c r="Z12" s="78"/>
      <c r="AA12" s="78">
        <v>0</v>
      </c>
      <c r="AB12" s="62">
        <v>1213</v>
      </c>
      <c r="AC12" s="63">
        <v>0</v>
      </c>
      <c r="AD12" s="63">
        <v>0</v>
      </c>
      <c r="AE12" s="1036"/>
      <c r="AF12" s="59">
        <v>0</v>
      </c>
      <c r="AG12" s="63">
        <v>46122</v>
      </c>
    </row>
    <row r="13" spans="1:33">
      <c r="A13" s="1043">
        <f>A12+1</f>
        <v>7</v>
      </c>
      <c r="B13" s="1044" t="s">
        <v>42</v>
      </c>
      <c r="C13" s="1045">
        <v>46122</v>
      </c>
      <c r="D13" s="1045">
        <v>46122</v>
      </c>
      <c r="E13" s="1045">
        <v>0</v>
      </c>
      <c r="F13" s="1045">
        <v>0</v>
      </c>
      <c r="G13" s="1045">
        <v>46122</v>
      </c>
      <c r="H13" s="1046">
        <v>46122</v>
      </c>
      <c r="I13" s="1047"/>
      <c r="J13" s="1047">
        <v>0</v>
      </c>
      <c r="K13" s="1048">
        <v>1213</v>
      </c>
      <c r="L13" s="1049">
        <v>0</v>
      </c>
      <c r="M13" s="1050">
        <v>0</v>
      </c>
      <c r="N13" s="1036"/>
      <c r="O13" s="1051">
        <v>0</v>
      </c>
      <c r="P13" s="1049">
        <v>46122</v>
      </c>
      <c r="R13" s="29">
        <f t="shared" si="0"/>
        <v>7</v>
      </c>
      <c r="S13" s="36" t="s">
        <v>51</v>
      </c>
      <c r="T13" s="85">
        <v>0</v>
      </c>
      <c r="U13" s="82">
        <v>0</v>
      </c>
      <c r="V13" s="82">
        <v>0</v>
      </c>
      <c r="W13" s="82">
        <v>0</v>
      </c>
      <c r="X13" s="65">
        <v>0</v>
      </c>
      <c r="Y13" s="66">
        <v>0</v>
      </c>
      <c r="Z13" s="79">
        <v>0</v>
      </c>
      <c r="AA13" s="83">
        <v>0</v>
      </c>
      <c r="AB13" s="81">
        <v>0</v>
      </c>
      <c r="AC13" s="68">
        <v>0</v>
      </c>
      <c r="AD13" s="68"/>
      <c r="AE13" s="706"/>
      <c r="AF13" s="85">
        <v>0</v>
      </c>
      <c r="AG13" s="68">
        <v>0</v>
      </c>
    </row>
    <row r="14" spans="1:33">
      <c r="A14" s="1043">
        <f>A13+1</f>
        <v>8</v>
      </c>
      <c r="B14" s="1052" t="s">
        <v>51</v>
      </c>
      <c r="C14" s="1045">
        <v>0</v>
      </c>
      <c r="D14" s="1045">
        <v>0</v>
      </c>
      <c r="E14" s="1045">
        <v>0</v>
      </c>
      <c r="F14" s="1045">
        <v>0</v>
      </c>
      <c r="G14" s="1045">
        <v>0</v>
      </c>
      <c r="H14" s="1046">
        <v>0</v>
      </c>
      <c r="I14" s="1053">
        <v>0</v>
      </c>
      <c r="J14" s="1054">
        <v>0</v>
      </c>
      <c r="K14" s="1055">
        <v>0</v>
      </c>
      <c r="L14" s="1049">
        <v>0</v>
      </c>
      <c r="M14" s="1050"/>
      <c r="N14" s="706"/>
      <c r="O14" s="1056">
        <v>0</v>
      </c>
      <c r="P14" s="1049">
        <v>0</v>
      </c>
      <c r="R14" s="29"/>
      <c r="S14" s="36" t="s">
        <v>61</v>
      </c>
      <c r="T14" s="85">
        <v>0</v>
      </c>
      <c r="U14" s="82">
        <v>0</v>
      </c>
      <c r="V14" s="82">
        <v>0</v>
      </c>
      <c r="W14" s="82">
        <v>0</v>
      </c>
      <c r="X14" s="65">
        <v>0</v>
      </c>
      <c r="Y14" s="66">
        <v>0</v>
      </c>
      <c r="Z14" s="79">
        <v>0</v>
      </c>
      <c r="AA14" s="83">
        <v>0</v>
      </c>
      <c r="AB14" s="81">
        <v>0</v>
      </c>
      <c r="AC14" s="68">
        <v>0</v>
      </c>
      <c r="AD14" s="68"/>
      <c r="AE14" s="706"/>
      <c r="AF14" s="85">
        <v>0</v>
      </c>
      <c r="AG14" s="68">
        <v>0</v>
      </c>
    </row>
    <row r="15" spans="1:33">
      <c r="A15" s="29">
        <v>9</v>
      </c>
      <c r="B15" s="36" t="s">
        <v>61</v>
      </c>
      <c r="C15" s="87">
        <v>0</v>
      </c>
      <c r="D15" s="87">
        <v>0</v>
      </c>
      <c r="E15" s="87">
        <v>0</v>
      </c>
      <c r="F15" s="87">
        <v>0</v>
      </c>
      <c r="G15" s="65">
        <v>0</v>
      </c>
      <c r="H15" s="66">
        <v>0</v>
      </c>
      <c r="I15" s="88">
        <v>0</v>
      </c>
      <c r="J15" s="267">
        <v>0</v>
      </c>
      <c r="K15" s="232">
        <v>0</v>
      </c>
      <c r="L15" s="68">
        <v>0</v>
      </c>
      <c r="M15" s="1040"/>
      <c r="N15" s="706"/>
      <c r="O15" s="1057">
        <v>0</v>
      </c>
      <c r="P15" s="68">
        <v>0</v>
      </c>
      <c r="R15" s="25">
        <f>R13+1</f>
        <v>8</v>
      </c>
      <c r="S15" s="37" t="s">
        <v>66</v>
      </c>
      <c r="T15" s="89">
        <v>0</v>
      </c>
      <c r="U15" s="87">
        <v>0</v>
      </c>
      <c r="V15" s="87">
        <v>0</v>
      </c>
      <c r="W15" s="87">
        <v>0</v>
      </c>
      <c r="X15" s="65">
        <v>0</v>
      </c>
      <c r="Y15" s="66">
        <v>0</v>
      </c>
      <c r="Z15" s="88">
        <v>0</v>
      </c>
      <c r="AA15" s="88">
        <v>0</v>
      </c>
      <c r="AB15" s="86">
        <v>0</v>
      </c>
      <c r="AC15" s="68">
        <v>0</v>
      </c>
      <c r="AD15" s="68"/>
      <c r="AE15" s="1036"/>
      <c r="AF15" s="89">
        <v>0</v>
      </c>
      <c r="AG15" s="68">
        <v>0</v>
      </c>
    </row>
    <row r="16" spans="1:33">
      <c r="A16" s="25">
        <v>10</v>
      </c>
      <c r="B16" s="37" t="s">
        <v>157</v>
      </c>
      <c r="C16" s="87">
        <v>0</v>
      </c>
      <c r="D16" s="87">
        <v>0</v>
      </c>
      <c r="E16" s="87">
        <v>0</v>
      </c>
      <c r="F16" s="87">
        <v>0</v>
      </c>
      <c r="G16" s="65">
        <v>0</v>
      </c>
      <c r="H16" s="66">
        <v>0</v>
      </c>
      <c r="I16" s="88">
        <v>0</v>
      </c>
      <c r="J16" s="267">
        <v>0</v>
      </c>
      <c r="K16" s="232">
        <v>0</v>
      </c>
      <c r="L16" s="68">
        <v>0</v>
      </c>
      <c r="M16" s="1040"/>
      <c r="N16" s="1036"/>
      <c r="O16" s="1057">
        <v>0</v>
      </c>
      <c r="P16" s="68">
        <v>0</v>
      </c>
      <c r="R16" s="29">
        <f t="shared" si="0"/>
        <v>9</v>
      </c>
      <c r="S16" s="36" t="s">
        <v>52</v>
      </c>
      <c r="T16" s="85">
        <v>2290</v>
      </c>
      <c r="U16" s="82">
        <v>2290</v>
      </c>
      <c r="V16" s="82">
        <v>0</v>
      </c>
      <c r="W16" s="82">
        <v>0</v>
      </c>
      <c r="X16" s="65">
        <v>2290</v>
      </c>
      <c r="Y16" s="66">
        <v>2290</v>
      </c>
      <c r="Z16" s="79">
        <v>0</v>
      </c>
      <c r="AA16" s="83">
        <v>0</v>
      </c>
      <c r="AB16" s="81">
        <v>14</v>
      </c>
      <c r="AC16" s="68">
        <v>0</v>
      </c>
      <c r="AD16" s="68"/>
      <c r="AE16" s="706"/>
      <c r="AF16" s="85">
        <v>0</v>
      </c>
      <c r="AG16" s="68">
        <v>2290</v>
      </c>
    </row>
    <row r="17" spans="1:33">
      <c r="A17" s="1043">
        <v>11</v>
      </c>
      <c r="B17" s="1052" t="s">
        <v>52</v>
      </c>
      <c r="C17" s="1058">
        <v>2290</v>
      </c>
      <c r="D17" s="1058">
        <v>2290</v>
      </c>
      <c r="E17" s="1058">
        <v>0</v>
      </c>
      <c r="F17" s="1058">
        <v>0</v>
      </c>
      <c r="G17" s="1058">
        <v>2290</v>
      </c>
      <c r="H17" s="1059">
        <v>2290</v>
      </c>
      <c r="I17" s="1054">
        <v>0</v>
      </c>
      <c r="J17" s="1054">
        <v>0</v>
      </c>
      <c r="K17" s="1060">
        <v>14</v>
      </c>
      <c r="L17" s="1061">
        <v>0</v>
      </c>
      <c r="M17" s="1050"/>
      <c r="N17" s="706"/>
      <c r="O17" s="1056">
        <v>0</v>
      </c>
      <c r="P17" s="1049">
        <v>2290</v>
      </c>
      <c r="R17" s="25">
        <f t="shared" si="0"/>
        <v>10</v>
      </c>
      <c r="S17" s="37" t="s">
        <v>30</v>
      </c>
      <c r="T17" s="89"/>
      <c r="U17" s="87"/>
      <c r="V17" s="87"/>
      <c r="W17" s="87"/>
      <c r="X17" s="65"/>
      <c r="Y17" s="66"/>
      <c r="Z17" s="88"/>
      <c r="AA17" s="88"/>
      <c r="AB17" s="86"/>
      <c r="AC17" s="68"/>
      <c r="AD17" s="68"/>
      <c r="AE17" s="1036"/>
      <c r="AF17" s="89"/>
      <c r="AG17" s="68"/>
    </row>
    <row r="18" spans="1:33">
      <c r="A18" s="29">
        <v>12</v>
      </c>
      <c r="B18" s="1062" t="s">
        <v>497</v>
      </c>
      <c r="C18" s="87">
        <v>273</v>
      </c>
      <c r="D18" s="87">
        <v>273</v>
      </c>
      <c r="E18" s="87">
        <v>0</v>
      </c>
      <c r="F18" s="87">
        <v>0</v>
      </c>
      <c r="G18" s="65">
        <v>273</v>
      </c>
      <c r="H18" s="66">
        <v>273</v>
      </c>
      <c r="I18" s="88">
        <v>0</v>
      </c>
      <c r="J18" s="267">
        <v>0</v>
      </c>
      <c r="K18" s="232">
        <v>0</v>
      </c>
      <c r="L18" s="68">
        <v>0</v>
      </c>
      <c r="M18" s="1040">
        <v>0</v>
      </c>
      <c r="N18" s="706"/>
      <c r="O18" s="1057">
        <v>0</v>
      </c>
      <c r="P18" s="68">
        <v>273</v>
      </c>
      <c r="R18" s="29">
        <f t="shared" si="0"/>
        <v>11</v>
      </c>
      <c r="S18" s="36" t="s">
        <v>37</v>
      </c>
      <c r="T18" s="85">
        <v>43832</v>
      </c>
      <c r="U18" s="82">
        <v>43832</v>
      </c>
      <c r="V18" s="82">
        <v>0</v>
      </c>
      <c r="W18" s="82">
        <v>0</v>
      </c>
      <c r="X18" s="65">
        <v>43832</v>
      </c>
      <c r="Y18" s="66">
        <v>43832</v>
      </c>
      <c r="Z18" s="83">
        <v>0</v>
      </c>
      <c r="AA18" s="83">
        <v>0</v>
      </c>
      <c r="AB18" s="81">
        <v>1199</v>
      </c>
      <c r="AC18" s="68">
        <v>0</v>
      </c>
      <c r="AD18" s="68"/>
      <c r="AE18" s="706"/>
      <c r="AF18" s="85">
        <v>0</v>
      </c>
      <c r="AG18" s="68">
        <v>43832</v>
      </c>
    </row>
    <row r="19" spans="1:33">
      <c r="A19" s="25">
        <v>13</v>
      </c>
      <c r="B19" s="1062" t="s">
        <v>498</v>
      </c>
      <c r="C19" s="87">
        <v>935</v>
      </c>
      <c r="D19" s="87">
        <v>935</v>
      </c>
      <c r="E19" s="87">
        <v>0</v>
      </c>
      <c r="F19" s="87">
        <v>0</v>
      </c>
      <c r="G19" s="65">
        <v>935</v>
      </c>
      <c r="H19" s="66">
        <v>935</v>
      </c>
      <c r="I19" s="88">
        <v>0</v>
      </c>
      <c r="J19" s="267">
        <v>0</v>
      </c>
      <c r="K19" s="232">
        <v>0</v>
      </c>
      <c r="L19" s="68">
        <v>0</v>
      </c>
      <c r="M19" s="1040">
        <v>0</v>
      </c>
      <c r="N19" s="1036"/>
      <c r="O19" s="1057">
        <v>0</v>
      </c>
      <c r="P19" s="68">
        <v>935</v>
      </c>
      <c r="R19" s="29">
        <f t="shared" si="0"/>
        <v>12</v>
      </c>
      <c r="S19" s="50" t="s">
        <v>38</v>
      </c>
      <c r="T19" s="85">
        <v>0</v>
      </c>
      <c r="U19" s="82">
        <v>0</v>
      </c>
      <c r="V19" s="82">
        <v>0</v>
      </c>
      <c r="W19" s="82">
        <v>0</v>
      </c>
      <c r="X19" s="65">
        <v>0</v>
      </c>
      <c r="Y19" s="66">
        <v>0</v>
      </c>
      <c r="Z19" s="83">
        <v>0</v>
      </c>
      <c r="AA19" s="83">
        <v>0</v>
      </c>
      <c r="AB19" s="81">
        <v>0</v>
      </c>
      <c r="AC19" s="68">
        <v>0</v>
      </c>
      <c r="AD19" s="68"/>
      <c r="AE19" s="706"/>
      <c r="AF19" s="85">
        <v>0</v>
      </c>
      <c r="AG19" s="68">
        <v>0</v>
      </c>
    </row>
    <row r="20" spans="1:33">
      <c r="A20" s="25">
        <v>14</v>
      </c>
      <c r="B20" s="1062" t="s">
        <v>499</v>
      </c>
      <c r="C20" s="87">
        <v>782</v>
      </c>
      <c r="D20" s="87">
        <v>782</v>
      </c>
      <c r="E20" s="87">
        <v>0</v>
      </c>
      <c r="F20" s="87">
        <v>0</v>
      </c>
      <c r="G20" s="65">
        <v>782</v>
      </c>
      <c r="H20" s="66">
        <v>782</v>
      </c>
      <c r="I20" s="88">
        <v>0</v>
      </c>
      <c r="J20" s="267">
        <v>0</v>
      </c>
      <c r="K20" s="232">
        <v>14</v>
      </c>
      <c r="L20" s="68">
        <v>0</v>
      </c>
      <c r="M20" s="1040">
        <v>0</v>
      </c>
      <c r="N20" s="1036"/>
      <c r="O20" s="1057">
        <v>0</v>
      </c>
      <c r="P20" s="68">
        <v>782</v>
      </c>
      <c r="R20" s="25">
        <f t="shared" si="0"/>
        <v>13</v>
      </c>
      <c r="S20" s="37" t="s">
        <v>30</v>
      </c>
      <c r="T20" s="89">
        <v>0</v>
      </c>
      <c r="U20" s="87">
        <v>0</v>
      </c>
      <c r="V20" s="87">
        <v>0</v>
      </c>
      <c r="W20" s="87">
        <v>0</v>
      </c>
      <c r="X20" s="65">
        <v>0</v>
      </c>
      <c r="Y20" s="66">
        <v>0</v>
      </c>
      <c r="Z20" s="88">
        <v>0</v>
      </c>
      <c r="AA20" s="88">
        <v>0</v>
      </c>
      <c r="AB20" s="86">
        <v>0</v>
      </c>
      <c r="AC20" s="68">
        <v>0</v>
      </c>
      <c r="AD20" s="68"/>
      <c r="AE20" s="1036"/>
      <c r="AF20" s="89">
        <v>0</v>
      </c>
      <c r="AG20" s="68">
        <v>0</v>
      </c>
    </row>
    <row r="21" spans="1:33">
      <c r="A21" s="25">
        <v>15</v>
      </c>
      <c r="B21" s="1062" t="s">
        <v>500</v>
      </c>
      <c r="C21" s="87">
        <v>300</v>
      </c>
      <c r="D21" s="87">
        <v>300</v>
      </c>
      <c r="E21" s="87">
        <v>0</v>
      </c>
      <c r="F21" s="87">
        <v>0</v>
      </c>
      <c r="G21" s="65">
        <v>300</v>
      </c>
      <c r="H21" s="66">
        <v>300</v>
      </c>
      <c r="I21" s="88">
        <v>0</v>
      </c>
      <c r="J21" s="267">
        <v>0</v>
      </c>
      <c r="K21" s="232">
        <v>0</v>
      </c>
      <c r="L21" s="68">
        <v>0</v>
      </c>
      <c r="M21" s="1040">
        <v>0</v>
      </c>
      <c r="N21" s="1036"/>
      <c r="O21" s="1057">
        <v>0</v>
      </c>
      <c r="P21" s="68">
        <v>300</v>
      </c>
      <c r="R21" s="24">
        <f t="shared" si="0"/>
        <v>14</v>
      </c>
      <c r="S21" s="38" t="s">
        <v>29</v>
      </c>
      <c r="T21" s="70">
        <v>146691</v>
      </c>
      <c r="U21" s="71">
        <v>143465</v>
      </c>
      <c r="V21" s="71">
        <v>0</v>
      </c>
      <c r="W21" s="71">
        <v>0</v>
      </c>
      <c r="X21" s="71">
        <v>146691</v>
      </c>
      <c r="Y21" s="72">
        <v>143465</v>
      </c>
      <c r="Z21" s="90">
        <v>0</v>
      </c>
      <c r="AA21" s="1252">
        <v>31211</v>
      </c>
      <c r="AB21" s="73">
        <v>1684</v>
      </c>
      <c r="AC21" s="74">
        <v>3226</v>
      </c>
      <c r="AD21" s="74">
        <v>11</v>
      </c>
      <c r="AE21" s="1036"/>
      <c r="AF21" s="70">
        <v>8370</v>
      </c>
      <c r="AG21" s="74">
        <v>151835</v>
      </c>
    </row>
    <row r="22" spans="1:33">
      <c r="A22" s="1043">
        <v>16</v>
      </c>
      <c r="B22" s="1052" t="s">
        <v>37</v>
      </c>
      <c r="C22" s="1058">
        <v>43832</v>
      </c>
      <c r="D22" s="1058">
        <v>43832</v>
      </c>
      <c r="E22" s="1058">
        <v>0</v>
      </c>
      <c r="F22" s="1058">
        <v>0</v>
      </c>
      <c r="G22" s="1045">
        <v>43832</v>
      </c>
      <c r="H22" s="1046">
        <v>43832</v>
      </c>
      <c r="I22" s="1054">
        <v>0</v>
      </c>
      <c r="J22" s="1054">
        <v>0</v>
      </c>
      <c r="K22" s="1055">
        <v>1199</v>
      </c>
      <c r="L22" s="1049">
        <v>0</v>
      </c>
      <c r="M22" s="1050"/>
      <c r="N22" s="1063"/>
      <c r="O22" s="1056">
        <v>0</v>
      </c>
      <c r="P22" s="1049">
        <v>43832</v>
      </c>
      <c r="R22" s="46">
        <f t="shared" si="0"/>
        <v>15</v>
      </c>
      <c r="S22" s="43" t="s">
        <v>53</v>
      </c>
      <c r="T22" s="59"/>
      <c r="U22" s="60"/>
      <c r="V22" s="60"/>
      <c r="W22" s="60"/>
      <c r="X22" s="60"/>
      <c r="Y22" s="61"/>
      <c r="Z22" s="78"/>
      <c r="AA22" s="78"/>
      <c r="AB22" s="62"/>
      <c r="AC22" s="63"/>
      <c r="AD22" s="63"/>
      <c r="AE22" s="1036"/>
      <c r="AF22" s="59"/>
      <c r="AG22" s="63"/>
    </row>
    <row r="23" spans="1:33">
      <c r="A23" s="1043">
        <v>17</v>
      </c>
      <c r="B23" s="1064" t="s">
        <v>38</v>
      </c>
      <c r="C23" s="1058">
        <v>0</v>
      </c>
      <c r="D23" s="1058">
        <v>0</v>
      </c>
      <c r="E23" s="1058">
        <v>0</v>
      </c>
      <c r="F23" s="1058">
        <v>0</v>
      </c>
      <c r="G23" s="1045">
        <v>0</v>
      </c>
      <c r="H23" s="1046">
        <v>0</v>
      </c>
      <c r="I23" s="1054">
        <v>0</v>
      </c>
      <c r="J23" s="1054">
        <v>0</v>
      </c>
      <c r="K23" s="1055">
        <v>0</v>
      </c>
      <c r="L23" s="1049">
        <v>0</v>
      </c>
      <c r="M23" s="1050"/>
      <c r="N23" s="1063"/>
      <c r="O23" s="1056">
        <v>0</v>
      </c>
      <c r="P23" s="1049">
        <v>0</v>
      </c>
      <c r="R23" s="25">
        <f t="shared" si="0"/>
        <v>16</v>
      </c>
      <c r="S23" s="37" t="s">
        <v>60</v>
      </c>
      <c r="T23" s="89"/>
      <c r="U23" s="87"/>
      <c r="V23" s="87"/>
      <c r="W23" s="87"/>
      <c r="X23" s="65"/>
      <c r="Y23" s="66"/>
      <c r="Z23" s="88"/>
      <c r="AA23" s="88"/>
      <c r="AB23" s="86"/>
      <c r="AC23" s="68"/>
      <c r="AD23" s="68"/>
      <c r="AE23" s="1036"/>
      <c r="AF23" s="89"/>
      <c r="AG23" s="68"/>
    </row>
    <row r="24" spans="1:33">
      <c r="A24" s="25">
        <v>18</v>
      </c>
      <c r="B24" s="37" t="s">
        <v>30</v>
      </c>
      <c r="C24" s="87">
        <v>0</v>
      </c>
      <c r="D24" s="87">
        <v>0</v>
      </c>
      <c r="E24" s="87">
        <v>0</v>
      </c>
      <c r="F24" s="87">
        <v>0</v>
      </c>
      <c r="G24" s="65">
        <v>0</v>
      </c>
      <c r="H24" s="66">
        <v>0</v>
      </c>
      <c r="I24" s="88">
        <v>0</v>
      </c>
      <c r="J24" s="88">
        <v>0</v>
      </c>
      <c r="K24" s="86">
        <v>0</v>
      </c>
      <c r="L24" s="68">
        <v>0</v>
      </c>
      <c r="M24" s="1040"/>
      <c r="N24" s="1036"/>
      <c r="O24" s="1057">
        <v>0</v>
      </c>
      <c r="P24" s="68">
        <v>0</v>
      </c>
      <c r="R24" s="46">
        <f t="shared" si="0"/>
        <v>17</v>
      </c>
      <c r="S24" s="47" t="s">
        <v>59</v>
      </c>
      <c r="T24" s="59">
        <v>48104</v>
      </c>
      <c r="U24" s="60">
        <v>48104</v>
      </c>
      <c r="V24" s="60">
        <v>0</v>
      </c>
      <c r="W24" s="60">
        <v>0</v>
      </c>
      <c r="X24" s="60">
        <v>48104</v>
      </c>
      <c r="Y24" s="61">
        <v>48104</v>
      </c>
      <c r="Z24" s="78">
        <v>0</v>
      </c>
      <c r="AA24" s="78">
        <v>12447</v>
      </c>
      <c r="AB24" s="62">
        <v>779</v>
      </c>
      <c r="AC24" s="63">
        <v>0</v>
      </c>
      <c r="AD24" s="63">
        <v>0</v>
      </c>
      <c r="AE24" s="1036"/>
      <c r="AF24" s="59">
        <v>416</v>
      </c>
      <c r="AG24" s="63">
        <v>48520</v>
      </c>
    </row>
    <row r="25" spans="1:33">
      <c r="A25" s="24">
        <v>19</v>
      </c>
      <c r="B25" s="38" t="s">
        <v>29</v>
      </c>
      <c r="C25" s="1065">
        <v>146691</v>
      </c>
      <c r="D25" s="1065">
        <v>143465</v>
      </c>
      <c r="E25" s="1065">
        <v>0</v>
      </c>
      <c r="F25" s="1065">
        <v>0</v>
      </c>
      <c r="G25" s="1065">
        <v>146691</v>
      </c>
      <c r="H25" s="1066">
        <v>143465</v>
      </c>
      <c r="I25" s="1067">
        <v>0</v>
      </c>
      <c r="J25" s="1067">
        <v>31211</v>
      </c>
      <c r="K25" s="1068">
        <v>1684</v>
      </c>
      <c r="L25" s="1069">
        <v>3226</v>
      </c>
      <c r="M25" s="1070">
        <v>11</v>
      </c>
      <c r="N25" s="1036"/>
      <c r="O25" s="1071">
        <v>8370</v>
      </c>
      <c r="P25" s="1069">
        <v>151835</v>
      </c>
      <c r="R25" s="25">
        <f t="shared" si="0"/>
        <v>18</v>
      </c>
      <c r="S25" s="37" t="s">
        <v>60</v>
      </c>
      <c r="T25" s="89"/>
      <c r="U25" s="87"/>
      <c r="V25" s="87"/>
      <c r="W25" s="87"/>
      <c r="X25" s="65"/>
      <c r="Y25" s="66"/>
      <c r="Z25" s="88"/>
      <c r="AA25" s="88"/>
      <c r="AB25" s="86"/>
      <c r="AC25" s="68"/>
      <c r="AD25" s="68"/>
      <c r="AE25" s="1036"/>
      <c r="AF25" s="89"/>
      <c r="AG25" s="68"/>
    </row>
    <row r="26" spans="1:33">
      <c r="A26" s="264">
        <v>20</v>
      </c>
      <c r="B26" s="694" t="s">
        <v>501</v>
      </c>
      <c r="C26" s="1072">
        <v>48104</v>
      </c>
      <c r="D26" s="1072">
        <v>48104</v>
      </c>
      <c r="E26" s="1072">
        <v>0</v>
      </c>
      <c r="F26" s="1072">
        <v>0</v>
      </c>
      <c r="G26" s="65">
        <v>48104</v>
      </c>
      <c r="H26" s="66">
        <v>48104</v>
      </c>
      <c r="I26" s="267">
        <v>0</v>
      </c>
      <c r="J26" s="267">
        <v>12447</v>
      </c>
      <c r="K26" s="232">
        <v>779</v>
      </c>
      <c r="L26" s="68">
        <v>0</v>
      </c>
      <c r="M26" s="1073">
        <v>0</v>
      </c>
      <c r="N26" s="1036"/>
      <c r="O26" s="1041">
        <v>416</v>
      </c>
      <c r="P26" s="68">
        <v>48520</v>
      </c>
      <c r="R26" s="46">
        <f t="shared" si="0"/>
        <v>19</v>
      </c>
      <c r="S26" s="47" t="s">
        <v>54</v>
      </c>
      <c r="T26" s="59">
        <v>33547</v>
      </c>
      <c r="U26" s="60">
        <v>30677</v>
      </c>
      <c r="V26" s="60">
        <v>0</v>
      </c>
      <c r="W26" s="60">
        <v>0</v>
      </c>
      <c r="X26" s="60">
        <v>33547</v>
      </c>
      <c r="Y26" s="61">
        <v>30677</v>
      </c>
      <c r="Z26" s="78">
        <v>0</v>
      </c>
      <c r="AA26" s="78">
        <v>10076</v>
      </c>
      <c r="AB26" s="62">
        <v>161</v>
      </c>
      <c r="AC26" s="63">
        <v>2870</v>
      </c>
      <c r="AD26" s="63">
        <v>11</v>
      </c>
      <c r="AE26" s="1036"/>
      <c r="AF26" s="59">
        <v>2429</v>
      </c>
      <c r="AG26" s="63">
        <v>33106</v>
      </c>
    </row>
    <row r="27" spans="1:33">
      <c r="A27" s="264">
        <v>21</v>
      </c>
      <c r="B27" s="694" t="s">
        <v>502</v>
      </c>
      <c r="C27" s="1072">
        <v>33547</v>
      </c>
      <c r="D27" s="1072">
        <v>30677</v>
      </c>
      <c r="E27" s="1072">
        <v>0</v>
      </c>
      <c r="F27" s="1072">
        <v>0</v>
      </c>
      <c r="G27" s="65">
        <v>33547</v>
      </c>
      <c r="H27" s="66">
        <v>30677</v>
      </c>
      <c r="I27" s="267">
        <v>0</v>
      </c>
      <c r="J27" s="267">
        <v>10076</v>
      </c>
      <c r="K27" s="232">
        <v>161</v>
      </c>
      <c r="L27" s="68">
        <v>2870</v>
      </c>
      <c r="M27" s="1073">
        <v>11</v>
      </c>
      <c r="N27" s="1036"/>
      <c r="O27" s="1041">
        <v>2429</v>
      </c>
      <c r="P27" s="68">
        <v>33106</v>
      </c>
      <c r="R27" s="25">
        <f t="shared" si="0"/>
        <v>20</v>
      </c>
      <c r="S27" s="37" t="s">
        <v>60</v>
      </c>
      <c r="T27" s="94"/>
      <c r="U27" s="92"/>
      <c r="V27" s="92"/>
      <c r="W27" s="92"/>
      <c r="X27" s="65"/>
      <c r="Y27" s="66"/>
      <c r="Z27" s="93"/>
      <c r="AA27" s="93"/>
      <c r="AB27" s="91"/>
      <c r="AC27" s="68"/>
      <c r="AD27" s="68"/>
      <c r="AE27" s="1036"/>
      <c r="AF27" s="94"/>
      <c r="AG27" s="68"/>
    </row>
    <row r="28" spans="1:33">
      <c r="A28" s="264">
        <v>22</v>
      </c>
      <c r="B28" s="694" t="s">
        <v>503</v>
      </c>
      <c r="C28" s="1072">
        <v>56696</v>
      </c>
      <c r="D28" s="1072">
        <v>56696</v>
      </c>
      <c r="E28" s="1072">
        <v>0</v>
      </c>
      <c r="F28" s="1072">
        <v>0</v>
      </c>
      <c r="G28" s="65">
        <v>56696</v>
      </c>
      <c r="H28" s="66">
        <v>56696</v>
      </c>
      <c r="I28" s="267">
        <v>0</v>
      </c>
      <c r="J28" s="267">
        <v>8442</v>
      </c>
      <c r="K28" s="232">
        <v>534</v>
      </c>
      <c r="L28" s="68">
        <v>0</v>
      </c>
      <c r="M28" s="1073">
        <v>0</v>
      </c>
      <c r="N28" s="1036"/>
      <c r="O28" s="1041">
        <v>5525</v>
      </c>
      <c r="P28" s="68">
        <v>62221</v>
      </c>
      <c r="R28" s="24">
        <f t="shared" si="0"/>
        <v>21</v>
      </c>
      <c r="S28" s="38" t="s">
        <v>27</v>
      </c>
      <c r="T28" s="70"/>
      <c r="U28" s="71"/>
      <c r="V28" s="71"/>
      <c r="W28" s="71"/>
      <c r="X28" s="71"/>
      <c r="Y28" s="72"/>
      <c r="Z28" s="90"/>
      <c r="AA28" s="90"/>
      <c r="AB28" s="73"/>
      <c r="AC28" s="74"/>
      <c r="AD28" s="74"/>
      <c r="AE28" s="1036"/>
      <c r="AF28" s="70"/>
      <c r="AG28" s="74"/>
    </row>
    <row r="29" spans="1:33">
      <c r="A29" s="264">
        <v>23</v>
      </c>
      <c r="B29" s="694" t="s">
        <v>504</v>
      </c>
      <c r="C29" s="1072">
        <v>7912</v>
      </c>
      <c r="D29" s="1072">
        <v>7556</v>
      </c>
      <c r="E29" s="1072">
        <v>0</v>
      </c>
      <c r="F29" s="1072">
        <v>0</v>
      </c>
      <c r="G29" s="65">
        <v>7912</v>
      </c>
      <c r="H29" s="66">
        <v>7556</v>
      </c>
      <c r="I29" s="267">
        <v>0</v>
      </c>
      <c r="J29" s="267">
        <v>0</v>
      </c>
      <c r="K29" s="232">
        <v>210</v>
      </c>
      <c r="L29" s="68">
        <v>356</v>
      </c>
      <c r="M29" s="1073">
        <v>0</v>
      </c>
      <c r="N29" s="1036"/>
      <c r="O29" s="1041">
        <v>0</v>
      </c>
      <c r="P29" s="68">
        <v>7556</v>
      </c>
      <c r="R29" s="29">
        <f t="shared" si="0"/>
        <v>22</v>
      </c>
      <c r="S29" s="43" t="s">
        <v>34</v>
      </c>
      <c r="T29" s="59"/>
      <c r="U29" s="60"/>
      <c r="V29" s="60"/>
      <c r="W29" s="60"/>
      <c r="X29" s="60"/>
      <c r="Y29" s="61"/>
      <c r="Z29" s="78"/>
      <c r="AA29" s="78"/>
      <c r="AB29" s="62"/>
      <c r="AC29" s="63"/>
      <c r="AD29" s="63"/>
      <c r="AE29" s="1036"/>
      <c r="AF29" s="59"/>
      <c r="AG29" s="63"/>
    </row>
    <row r="30" spans="1:33">
      <c r="A30" s="264">
        <v>24</v>
      </c>
      <c r="B30" s="694" t="s">
        <v>505</v>
      </c>
      <c r="C30" s="1072">
        <v>186</v>
      </c>
      <c r="D30" s="1072">
        <v>186</v>
      </c>
      <c r="E30" s="1072">
        <v>0</v>
      </c>
      <c r="F30" s="1072">
        <v>0</v>
      </c>
      <c r="G30" s="65">
        <v>186</v>
      </c>
      <c r="H30" s="66">
        <v>186</v>
      </c>
      <c r="I30" s="267">
        <v>0</v>
      </c>
      <c r="J30" s="267">
        <v>0</v>
      </c>
      <c r="K30" s="232">
        <v>0</v>
      </c>
      <c r="L30" s="68">
        <v>0</v>
      </c>
      <c r="M30" s="1073">
        <v>0</v>
      </c>
      <c r="N30" s="1036"/>
      <c r="O30" s="1041">
        <v>0</v>
      </c>
      <c r="P30" s="68">
        <v>186</v>
      </c>
      <c r="R30" s="25">
        <f t="shared" si="0"/>
        <v>23</v>
      </c>
      <c r="S30" s="37" t="s">
        <v>60</v>
      </c>
      <c r="T30" s="94"/>
      <c r="U30" s="92"/>
      <c r="V30" s="92"/>
      <c r="W30" s="92"/>
      <c r="X30" s="65"/>
      <c r="Y30" s="66"/>
      <c r="Z30" s="93"/>
      <c r="AA30" s="93"/>
      <c r="AB30" s="91"/>
      <c r="AC30" s="68"/>
      <c r="AD30" s="68"/>
      <c r="AE30" s="1036"/>
      <c r="AF30" s="94"/>
      <c r="AG30" s="68"/>
    </row>
    <row r="31" spans="1:33">
      <c r="A31" s="264">
        <v>25</v>
      </c>
      <c r="B31" s="694" t="s">
        <v>506</v>
      </c>
      <c r="C31" s="1072">
        <v>246</v>
      </c>
      <c r="D31" s="1072">
        <v>246</v>
      </c>
      <c r="E31" s="1072">
        <v>0</v>
      </c>
      <c r="F31" s="1072">
        <v>0</v>
      </c>
      <c r="G31" s="65">
        <v>246</v>
      </c>
      <c r="H31" s="66">
        <v>246</v>
      </c>
      <c r="I31" s="267">
        <v>0</v>
      </c>
      <c r="J31" s="267">
        <v>246</v>
      </c>
      <c r="K31" s="232">
        <v>0</v>
      </c>
      <c r="L31" s="68">
        <v>0</v>
      </c>
      <c r="M31" s="1073">
        <v>0</v>
      </c>
      <c r="N31" s="1036"/>
      <c r="O31" s="1041">
        <v>0</v>
      </c>
      <c r="P31" s="68">
        <v>246</v>
      </c>
      <c r="R31" s="24">
        <f t="shared" si="0"/>
        <v>24</v>
      </c>
      <c r="S31" s="38" t="s">
        <v>32</v>
      </c>
      <c r="T31" s="70">
        <v>15736</v>
      </c>
      <c r="U31" s="71">
        <v>15736</v>
      </c>
      <c r="V31" s="71">
        <v>0</v>
      </c>
      <c r="W31" s="71">
        <v>0</v>
      </c>
      <c r="X31" s="71">
        <v>15736</v>
      </c>
      <c r="Y31" s="72">
        <v>15736</v>
      </c>
      <c r="Z31" s="90">
        <v>0</v>
      </c>
      <c r="AA31" s="90">
        <v>0</v>
      </c>
      <c r="AB31" s="73">
        <v>0</v>
      </c>
      <c r="AC31" s="74">
        <v>0</v>
      </c>
      <c r="AD31" s="74"/>
      <c r="AE31" s="1036"/>
      <c r="AF31" s="70">
        <v>533</v>
      </c>
      <c r="AG31" s="74">
        <v>16269</v>
      </c>
    </row>
    <row r="32" spans="1:33">
      <c r="A32" s="24">
        <v>26</v>
      </c>
      <c r="B32" s="38" t="s">
        <v>27</v>
      </c>
      <c r="C32" s="1065">
        <v>0</v>
      </c>
      <c r="D32" s="1065">
        <v>0</v>
      </c>
      <c r="E32" s="1065">
        <v>0</v>
      </c>
      <c r="F32" s="1065">
        <v>0</v>
      </c>
      <c r="G32" s="71">
        <v>0</v>
      </c>
      <c r="H32" s="72">
        <v>0</v>
      </c>
      <c r="I32" s="1067">
        <v>0</v>
      </c>
      <c r="J32" s="1067">
        <v>0</v>
      </c>
      <c r="K32" s="1068">
        <v>0</v>
      </c>
      <c r="L32" s="74">
        <v>0</v>
      </c>
      <c r="M32" s="1070"/>
      <c r="N32" s="1036"/>
      <c r="O32" s="355">
        <v>0</v>
      </c>
      <c r="P32" s="74">
        <v>0</v>
      </c>
      <c r="R32" s="46">
        <f t="shared" si="0"/>
        <v>25</v>
      </c>
      <c r="S32" s="47" t="s">
        <v>39</v>
      </c>
      <c r="T32" s="59"/>
      <c r="U32" s="60"/>
      <c r="V32" s="60"/>
      <c r="W32" s="60"/>
      <c r="X32" s="60"/>
      <c r="Y32" s="61"/>
      <c r="Z32" s="78"/>
      <c r="AA32" s="78"/>
      <c r="AB32" s="62"/>
      <c r="AC32" s="63"/>
      <c r="AD32" s="63"/>
      <c r="AE32" s="1036"/>
      <c r="AF32" s="59"/>
      <c r="AG32" s="63"/>
    </row>
    <row r="33" spans="1:33" ht="15.75" thickBot="1">
      <c r="A33" s="29">
        <f>A32+1</f>
        <v>27</v>
      </c>
      <c r="B33" s="43" t="s">
        <v>34</v>
      </c>
      <c r="C33" s="87">
        <v>0</v>
      </c>
      <c r="D33" s="87">
        <v>0</v>
      </c>
      <c r="E33" s="87">
        <v>0</v>
      </c>
      <c r="F33" s="87">
        <v>0</v>
      </c>
      <c r="G33" s="65">
        <v>0</v>
      </c>
      <c r="H33" s="66">
        <v>0</v>
      </c>
      <c r="I33" s="88">
        <v>0</v>
      </c>
      <c r="J33" s="88">
        <v>0</v>
      </c>
      <c r="K33" s="86">
        <v>0</v>
      </c>
      <c r="L33" s="68">
        <v>0</v>
      </c>
      <c r="M33" s="1040">
        <v>0</v>
      </c>
      <c r="N33" s="1036"/>
      <c r="O33" s="1041">
        <v>0</v>
      </c>
      <c r="P33" s="68">
        <v>0</v>
      </c>
      <c r="R33" s="25">
        <f t="shared" si="0"/>
        <v>26</v>
      </c>
      <c r="S33" s="37" t="s">
        <v>60</v>
      </c>
      <c r="T33" s="89"/>
      <c r="U33" s="87"/>
      <c r="V33" s="87"/>
      <c r="W33" s="87"/>
      <c r="X33" s="65"/>
      <c r="Y33" s="66"/>
      <c r="Z33" s="88"/>
      <c r="AA33" s="88"/>
      <c r="AB33" s="86"/>
      <c r="AC33" s="68"/>
      <c r="AD33" s="68"/>
      <c r="AE33" s="1036"/>
      <c r="AF33" s="89"/>
      <c r="AG33" s="68"/>
    </row>
    <row r="34" spans="1:33" ht="15.75" thickBot="1">
      <c r="A34" s="25">
        <f>A33+1</f>
        <v>28</v>
      </c>
      <c r="B34" s="37" t="s">
        <v>60</v>
      </c>
      <c r="C34" s="87">
        <v>0</v>
      </c>
      <c r="D34" s="87">
        <v>0</v>
      </c>
      <c r="E34" s="87">
        <v>0</v>
      </c>
      <c r="F34" s="87">
        <v>0</v>
      </c>
      <c r="G34" s="65">
        <v>0</v>
      </c>
      <c r="H34" s="66">
        <v>0</v>
      </c>
      <c r="I34" s="88">
        <v>0</v>
      </c>
      <c r="J34" s="88">
        <v>0</v>
      </c>
      <c r="K34" s="86">
        <v>0</v>
      </c>
      <c r="L34" s="68">
        <v>0</v>
      </c>
      <c r="M34" s="1040"/>
      <c r="N34" s="1036"/>
      <c r="O34" s="1074">
        <v>0</v>
      </c>
      <c r="P34" s="68">
        <v>0</v>
      </c>
      <c r="R34" s="31">
        <f t="shared" si="0"/>
        <v>27</v>
      </c>
      <c r="S34" s="39" t="s">
        <v>23</v>
      </c>
      <c r="T34" s="95">
        <v>398792</v>
      </c>
      <c r="U34" s="96">
        <v>392203</v>
      </c>
      <c r="V34" s="96">
        <v>25000</v>
      </c>
      <c r="W34" s="96">
        <v>25000</v>
      </c>
      <c r="X34" s="96">
        <v>423792</v>
      </c>
      <c r="Y34" s="97">
        <v>417203</v>
      </c>
      <c r="Z34" s="98">
        <v>0</v>
      </c>
      <c r="AA34" s="98">
        <v>34453</v>
      </c>
      <c r="AB34" s="99">
        <v>11256</v>
      </c>
      <c r="AC34" s="100">
        <v>6589</v>
      </c>
      <c r="AD34" s="100">
        <v>11</v>
      </c>
      <c r="AE34" s="101"/>
      <c r="AF34" s="95">
        <v>8903</v>
      </c>
      <c r="AG34" s="100">
        <v>426106</v>
      </c>
    </row>
    <row r="35" spans="1:33">
      <c r="A35" s="24">
        <f>A34+1</f>
        <v>29</v>
      </c>
      <c r="B35" s="38" t="s">
        <v>32</v>
      </c>
      <c r="C35" s="1065">
        <v>15736</v>
      </c>
      <c r="D35" s="1065">
        <v>15736</v>
      </c>
      <c r="E35" s="1065">
        <v>0</v>
      </c>
      <c r="F35" s="1065">
        <v>0</v>
      </c>
      <c r="G35" s="71">
        <v>15736</v>
      </c>
      <c r="H35" s="72">
        <v>15736</v>
      </c>
      <c r="I35" s="1067">
        <v>0</v>
      </c>
      <c r="J35" s="1067">
        <v>0</v>
      </c>
      <c r="K35" s="1068">
        <v>0</v>
      </c>
      <c r="L35" s="74">
        <v>0</v>
      </c>
      <c r="M35" s="1070"/>
      <c r="N35" s="1036"/>
      <c r="O35" s="355">
        <v>533</v>
      </c>
      <c r="P35" s="74">
        <v>16269</v>
      </c>
    </row>
    <row r="36" spans="1:33">
      <c r="A36" s="264">
        <v>30</v>
      </c>
      <c r="B36" s="694" t="s">
        <v>507</v>
      </c>
      <c r="C36" s="1072">
        <v>1919</v>
      </c>
      <c r="D36" s="1072">
        <v>1919</v>
      </c>
      <c r="E36" s="1072">
        <v>0</v>
      </c>
      <c r="F36" s="1072">
        <v>0</v>
      </c>
      <c r="G36" s="65">
        <v>1919</v>
      </c>
      <c r="H36" s="66">
        <v>1919</v>
      </c>
      <c r="I36" s="267">
        <v>0</v>
      </c>
      <c r="J36" s="267">
        <v>0</v>
      </c>
      <c r="K36" s="232">
        <v>0</v>
      </c>
      <c r="L36" s="68">
        <v>0</v>
      </c>
      <c r="M36" s="1040">
        <v>0</v>
      </c>
      <c r="N36" s="1036"/>
      <c r="O36" s="1041">
        <v>0</v>
      </c>
      <c r="P36" s="68">
        <v>1919</v>
      </c>
    </row>
    <row r="37" spans="1:33">
      <c r="A37" s="264">
        <v>31</v>
      </c>
      <c r="B37" s="694" t="s">
        <v>508</v>
      </c>
      <c r="C37" s="65">
        <v>4714</v>
      </c>
      <c r="D37" s="65">
        <v>4714</v>
      </c>
      <c r="E37" s="65">
        <v>0</v>
      </c>
      <c r="F37" s="65">
        <v>0</v>
      </c>
      <c r="G37" s="65">
        <v>4714</v>
      </c>
      <c r="H37" s="66">
        <v>4714</v>
      </c>
      <c r="I37" s="80">
        <v>0</v>
      </c>
      <c r="J37" s="80">
        <v>0</v>
      </c>
      <c r="K37" s="67">
        <v>0</v>
      </c>
      <c r="L37" s="68">
        <v>0</v>
      </c>
      <c r="M37" s="1040">
        <v>0</v>
      </c>
      <c r="N37" s="1036"/>
      <c r="O37" s="1041">
        <v>25</v>
      </c>
      <c r="P37" s="68">
        <v>4739</v>
      </c>
    </row>
    <row r="38" spans="1:33" ht="15.75" thickBot="1">
      <c r="A38" s="264">
        <v>32</v>
      </c>
      <c r="B38" s="694" t="s">
        <v>509</v>
      </c>
      <c r="C38" s="65">
        <v>9103</v>
      </c>
      <c r="D38" s="65">
        <v>9103</v>
      </c>
      <c r="E38" s="65">
        <v>0</v>
      </c>
      <c r="F38" s="65">
        <v>0</v>
      </c>
      <c r="G38" s="65">
        <v>9103</v>
      </c>
      <c r="H38" s="66">
        <v>9103</v>
      </c>
      <c r="I38" s="80">
        <v>0</v>
      </c>
      <c r="J38" s="80">
        <v>0</v>
      </c>
      <c r="K38" s="67">
        <v>0</v>
      </c>
      <c r="L38" s="68">
        <v>0</v>
      </c>
      <c r="M38" s="1040">
        <v>0</v>
      </c>
      <c r="N38" s="1036"/>
      <c r="O38" s="64">
        <v>508</v>
      </c>
      <c r="P38" s="68">
        <v>9611</v>
      </c>
    </row>
    <row r="39" spans="1:33" ht="15.75" thickBot="1">
      <c r="A39" s="31">
        <v>33</v>
      </c>
      <c r="B39" s="39" t="s">
        <v>23</v>
      </c>
      <c r="C39" s="96">
        <v>398792</v>
      </c>
      <c r="D39" s="96">
        <v>392203</v>
      </c>
      <c r="E39" s="96">
        <v>25000</v>
      </c>
      <c r="F39" s="96">
        <v>25000</v>
      </c>
      <c r="G39" s="96">
        <v>423792</v>
      </c>
      <c r="H39" s="97">
        <v>417203</v>
      </c>
      <c r="I39" s="98">
        <v>0</v>
      </c>
      <c r="J39" s="98">
        <v>34453</v>
      </c>
      <c r="K39" s="99">
        <v>11256</v>
      </c>
      <c r="L39" s="100">
        <v>6589</v>
      </c>
      <c r="M39" s="1075">
        <v>11</v>
      </c>
      <c r="N39" s="101"/>
      <c r="O39" s="95">
        <v>8903</v>
      </c>
      <c r="P39" s="100">
        <v>426106</v>
      </c>
    </row>
  </sheetData>
  <mergeCells count="24">
    <mergeCell ref="P4:P5"/>
    <mergeCell ref="A4:A6"/>
    <mergeCell ref="B4:B6"/>
    <mergeCell ref="C4:D4"/>
    <mergeCell ref="E4:F4"/>
    <mergeCell ref="G4:H4"/>
    <mergeCell ref="I4:I5"/>
    <mergeCell ref="AG4:AG5"/>
    <mergeCell ref="Z4:Z5"/>
    <mergeCell ref="AA4:AA5"/>
    <mergeCell ref="AB4:AB5"/>
    <mergeCell ref="AC4:AC5"/>
    <mergeCell ref="J4:J5"/>
    <mergeCell ref="K4:K5"/>
    <mergeCell ref="L4:L5"/>
    <mergeCell ref="M4:M5"/>
    <mergeCell ref="O4:O5"/>
    <mergeCell ref="AD4:AD5"/>
    <mergeCell ref="AF4:AF5"/>
    <mergeCell ref="R4:R6"/>
    <mergeCell ref="S4:S6"/>
    <mergeCell ref="T4:U4"/>
    <mergeCell ref="V4:W4"/>
    <mergeCell ref="X4:Y4"/>
  </mergeCells>
  <pageMargins left="0.7" right="0.7" top="0.78740157499999996" bottom="0.78740157499999996"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1"/>
  <dimension ref="A1:AG53"/>
  <sheetViews>
    <sheetView zoomScale="85" zoomScaleNormal="85" workbookViewId="0">
      <selection activeCell="G40" sqref="G40:H40"/>
    </sheetView>
  </sheetViews>
  <sheetFormatPr defaultRowHeight="15"/>
  <cols>
    <col min="1" max="1" width="9.42578125" customWidth="1"/>
    <col min="2" max="2" width="45.85546875" customWidth="1"/>
    <col min="3" max="3" width="12.85546875" customWidth="1"/>
    <col min="4" max="4" width="11.5703125" customWidth="1"/>
    <col min="5" max="5" width="11.140625" customWidth="1"/>
    <col min="6" max="6" width="11.5703125" customWidth="1"/>
    <col min="7" max="7" width="10.85546875" customWidth="1"/>
    <col min="8" max="9" width="10.42578125" customWidth="1"/>
    <col min="10" max="10" width="12.5703125" customWidth="1"/>
    <col min="11" max="11" width="10.5703125" customWidth="1"/>
    <col min="12" max="12" width="11.42578125" customWidth="1"/>
    <col min="13" max="13" width="14.42578125" customWidth="1"/>
    <col min="14" max="14" width="1.85546875" customWidth="1"/>
    <col min="15" max="15" width="11" customWidth="1"/>
    <col min="16" max="16" width="10.85546875" customWidth="1"/>
    <col min="18" max="18" width="9.42578125" hidden="1" customWidth="1"/>
    <col min="19" max="19" width="45.85546875" hidden="1" customWidth="1"/>
    <col min="20" max="20" width="12.7109375" hidden="1" customWidth="1"/>
    <col min="21" max="21" width="11.5703125" hidden="1" customWidth="1"/>
    <col min="22" max="22" width="11.28515625" hidden="1" customWidth="1"/>
    <col min="23" max="23" width="11.5703125" hidden="1" customWidth="1"/>
    <col min="24" max="25" width="12.140625" hidden="1" customWidth="1"/>
    <col min="26" max="26" width="10.42578125" hidden="1" customWidth="1"/>
    <col min="27" max="27" width="12.5703125" hidden="1" customWidth="1"/>
    <col min="28" max="28" width="10.5703125" hidden="1" customWidth="1"/>
    <col min="29" max="29" width="14" hidden="1" customWidth="1"/>
    <col min="30" max="30" width="12.42578125" hidden="1" customWidth="1"/>
    <col min="31" max="31" width="1.7109375" hidden="1" customWidth="1"/>
    <col min="32" max="32" width="11" hidden="1" customWidth="1"/>
    <col min="33" max="33" width="10.85546875" hidden="1" customWidth="1"/>
  </cols>
  <sheetData>
    <row r="1" spans="1:33" ht="21">
      <c r="A1" s="3" t="s">
        <v>44</v>
      </c>
      <c r="B1" s="20"/>
      <c r="C1" s="20"/>
      <c r="D1" s="20"/>
      <c r="E1" s="20"/>
      <c r="F1" s="20"/>
      <c r="G1" s="20"/>
      <c r="H1" s="20"/>
      <c r="I1" s="20"/>
      <c r="J1" s="1076"/>
      <c r="K1" s="20"/>
      <c r="L1" s="20"/>
      <c r="M1" s="20"/>
      <c r="N1" s="22"/>
      <c r="O1" s="20"/>
      <c r="P1" s="20"/>
    </row>
    <row r="2" spans="1:33" ht="15.75">
      <c r="A2" s="3"/>
      <c r="B2" s="2" t="s">
        <v>43</v>
      </c>
      <c r="C2" s="20"/>
      <c r="D2" s="20"/>
      <c r="E2" s="20"/>
      <c r="F2" s="20"/>
      <c r="G2" s="20"/>
      <c r="H2" s="20"/>
      <c r="I2" s="20"/>
      <c r="J2" s="20"/>
      <c r="K2" s="20"/>
      <c r="L2" s="20"/>
      <c r="M2" s="20"/>
      <c r="N2" s="22"/>
      <c r="O2" s="20"/>
      <c r="P2" s="20"/>
    </row>
    <row r="3" spans="1:33" ht="16.5" thickBot="1">
      <c r="A3" s="20"/>
      <c r="B3" s="19"/>
      <c r="C3" s="20"/>
      <c r="D3" s="20"/>
      <c r="E3" s="20"/>
      <c r="F3" s="20"/>
      <c r="G3" s="20"/>
      <c r="H3" s="20"/>
      <c r="I3" s="20"/>
      <c r="J3" s="20"/>
      <c r="K3" s="20"/>
      <c r="L3" s="20"/>
      <c r="M3" s="20"/>
      <c r="N3" s="22"/>
      <c r="O3" s="20"/>
      <c r="P3" s="23" t="s">
        <v>2</v>
      </c>
    </row>
    <row r="4" spans="1:33">
      <c r="A4" s="1357" t="s">
        <v>1</v>
      </c>
      <c r="B4" s="1354" t="s">
        <v>46</v>
      </c>
      <c r="C4" s="1360" t="s">
        <v>18</v>
      </c>
      <c r="D4" s="1361"/>
      <c r="E4" s="1361" t="s">
        <v>19</v>
      </c>
      <c r="F4" s="1361"/>
      <c r="G4" s="1364" t="s">
        <v>20</v>
      </c>
      <c r="H4" s="1365"/>
      <c r="I4" s="1349" t="s">
        <v>437</v>
      </c>
      <c r="J4" s="1349" t="s">
        <v>510</v>
      </c>
      <c r="K4" s="1351" t="s">
        <v>322</v>
      </c>
      <c r="L4" s="1551" t="s">
        <v>77</v>
      </c>
      <c r="M4" s="1553" t="s">
        <v>511</v>
      </c>
      <c r="N4" s="1037"/>
      <c r="O4" s="1360" t="s">
        <v>306</v>
      </c>
      <c r="P4" s="1556" t="s">
        <v>21</v>
      </c>
      <c r="R4" s="1357" t="s">
        <v>1</v>
      </c>
      <c r="S4" s="1354" t="s">
        <v>46</v>
      </c>
      <c r="T4" s="1360" t="s">
        <v>18</v>
      </c>
      <c r="U4" s="1361"/>
      <c r="V4" s="1361" t="s">
        <v>19</v>
      </c>
      <c r="W4" s="1361"/>
      <c r="X4" s="1364" t="s">
        <v>20</v>
      </c>
      <c r="Y4" s="1365"/>
      <c r="Z4" s="1349" t="s">
        <v>47</v>
      </c>
      <c r="AA4" s="1349" t="s">
        <v>48</v>
      </c>
      <c r="AB4" s="1351" t="s">
        <v>49</v>
      </c>
      <c r="AC4" s="1362" t="s">
        <v>62</v>
      </c>
      <c r="AD4" s="1370" t="s">
        <v>69</v>
      </c>
      <c r="AE4" s="1037"/>
      <c r="AF4" s="1366" t="s">
        <v>65</v>
      </c>
      <c r="AG4" s="1368" t="s">
        <v>21</v>
      </c>
    </row>
    <row r="5" spans="1:33">
      <c r="A5" s="1358"/>
      <c r="B5" s="1355"/>
      <c r="C5" s="1077" t="s">
        <v>25</v>
      </c>
      <c r="D5" s="11" t="s">
        <v>512</v>
      </c>
      <c r="E5" s="10" t="s">
        <v>12</v>
      </c>
      <c r="F5" s="11" t="s">
        <v>16</v>
      </c>
      <c r="G5" s="11" t="s">
        <v>12</v>
      </c>
      <c r="H5" s="33" t="s">
        <v>16</v>
      </c>
      <c r="I5" s="1350"/>
      <c r="J5" s="1350"/>
      <c r="K5" s="1352"/>
      <c r="L5" s="1552"/>
      <c r="M5" s="1554"/>
      <c r="N5" s="1037"/>
      <c r="O5" s="1555"/>
      <c r="P5" s="1557"/>
      <c r="R5" s="1358"/>
      <c r="S5" s="1355"/>
      <c r="T5" s="1077" t="s">
        <v>26</v>
      </c>
      <c r="U5" s="11" t="s">
        <v>50</v>
      </c>
      <c r="V5" s="10" t="s">
        <v>12</v>
      </c>
      <c r="W5" s="11" t="s">
        <v>16</v>
      </c>
      <c r="X5" s="11" t="s">
        <v>12</v>
      </c>
      <c r="Y5" s="33" t="s">
        <v>16</v>
      </c>
      <c r="Z5" s="1350"/>
      <c r="AA5" s="1350"/>
      <c r="AB5" s="1352"/>
      <c r="AC5" s="1363"/>
      <c r="AD5" s="1371"/>
      <c r="AE5" s="1037"/>
      <c r="AF5" s="1367"/>
      <c r="AG5" s="1369"/>
    </row>
    <row r="6" spans="1:33" ht="15.75" thickBot="1">
      <c r="A6" s="1359"/>
      <c r="B6" s="1356"/>
      <c r="C6" s="1078" t="s">
        <v>4</v>
      </c>
      <c r="D6" s="13" t="s">
        <v>5</v>
      </c>
      <c r="E6" s="13" t="s">
        <v>6</v>
      </c>
      <c r="F6" s="13" t="s">
        <v>7</v>
      </c>
      <c r="G6" s="13" t="s">
        <v>13</v>
      </c>
      <c r="H6" s="34" t="s">
        <v>14</v>
      </c>
      <c r="I6" s="45" t="s">
        <v>28</v>
      </c>
      <c r="J6" s="45" t="s">
        <v>31</v>
      </c>
      <c r="K6" s="32" t="s">
        <v>9</v>
      </c>
      <c r="L6" s="1079" t="s">
        <v>22</v>
      </c>
      <c r="M6" s="1080" t="s">
        <v>63</v>
      </c>
      <c r="N6" s="1037"/>
      <c r="O6" s="44" t="s">
        <v>10</v>
      </c>
      <c r="P6" s="14" t="s">
        <v>64</v>
      </c>
      <c r="R6" s="1359"/>
      <c r="S6" s="1356"/>
      <c r="T6" s="1078" t="s">
        <v>4</v>
      </c>
      <c r="U6" s="13" t="s">
        <v>5</v>
      </c>
      <c r="V6" s="13" t="s">
        <v>6</v>
      </c>
      <c r="W6" s="13" t="s">
        <v>7</v>
      </c>
      <c r="X6" s="13" t="s">
        <v>13</v>
      </c>
      <c r="Y6" s="34" t="s">
        <v>14</v>
      </c>
      <c r="Z6" s="45" t="s">
        <v>28</v>
      </c>
      <c r="AA6" s="45" t="s">
        <v>31</v>
      </c>
      <c r="AB6" s="32" t="s">
        <v>9</v>
      </c>
      <c r="AC6" s="14" t="s">
        <v>22</v>
      </c>
      <c r="AD6" s="14" t="s">
        <v>63</v>
      </c>
      <c r="AE6" s="1037"/>
      <c r="AF6" s="44" t="s">
        <v>10</v>
      </c>
      <c r="AG6" s="14" t="s">
        <v>64</v>
      </c>
    </row>
    <row r="7" spans="1:33">
      <c r="A7" s="1081">
        <v>1</v>
      </c>
      <c r="B7" s="1082" t="s">
        <v>15</v>
      </c>
      <c r="C7" s="1083">
        <f t="shared" ref="C7:H7" si="0">+C8+C11</f>
        <v>199079</v>
      </c>
      <c r="D7" s="1084">
        <f t="shared" si="0"/>
        <v>199017</v>
      </c>
      <c r="E7" s="1084">
        <f t="shared" si="0"/>
        <v>0</v>
      </c>
      <c r="F7" s="1084">
        <f t="shared" si="0"/>
        <v>0</v>
      </c>
      <c r="G7" s="1084">
        <f t="shared" si="0"/>
        <v>199079</v>
      </c>
      <c r="H7" s="1084">
        <f t="shared" si="0"/>
        <v>199017</v>
      </c>
      <c r="I7" s="1084" t="s">
        <v>513</v>
      </c>
      <c r="J7" s="1084">
        <f>+J8+J11</f>
        <v>0</v>
      </c>
      <c r="K7" s="1084">
        <f>+K8+K11</f>
        <v>92</v>
      </c>
      <c r="L7" s="1085">
        <f>+L8+L11</f>
        <v>31.5</v>
      </c>
      <c r="M7" s="1086">
        <f>M8+M11</f>
        <v>32</v>
      </c>
      <c r="N7" s="706"/>
      <c r="O7" s="1083">
        <f>+O8+O11</f>
        <v>0</v>
      </c>
      <c r="P7" s="1087">
        <f>+P8+P11</f>
        <v>199017</v>
      </c>
      <c r="R7" s="24">
        <v>1</v>
      </c>
      <c r="S7" s="38" t="s">
        <v>15</v>
      </c>
      <c r="T7" s="54">
        <v>199079</v>
      </c>
      <c r="U7" s="55">
        <v>199017</v>
      </c>
      <c r="V7" s="55">
        <v>0</v>
      </c>
      <c r="W7" s="55">
        <v>0</v>
      </c>
      <c r="X7" s="55">
        <v>199079</v>
      </c>
      <c r="Y7" s="56">
        <v>199017</v>
      </c>
      <c r="Z7" s="75" t="s">
        <v>513</v>
      </c>
      <c r="AA7" s="75">
        <v>0</v>
      </c>
      <c r="AB7" s="57">
        <v>92</v>
      </c>
      <c r="AC7" s="58">
        <v>31.5</v>
      </c>
      <c r="AD7" s="58">
        <v>32</v>
      </c>
      <c r="AE7" s="1036"/>
      <c r="AF7" s="54">
        <v>0</v>
      </c>
      <c r="AG7" s="58">
        <v>199017</v>
      </c>
    </row>
    <row r="8" spans="1:33">
      <c r="A8" s="268">
        <f>A7+1</f>
        <v>2</v>
      </c>
      <c r="B8" s="1088" t="s">
        <v>35</v>
      </c>
      <c r="C8" s="1089">
        <f t="shared" ref="C8:H8" si="1">SUM(C9:C10)</f>
        <v>159729</v>
      </c>
      <c r="D8" s="1090">
        <f t="shared" si="1"/>
        <v>159667</v>
      </c>
      <c r="E8" s="1090">
        <f t="shared" si="1"/>
        <v>0</v>
      </c>
      <c r="F8" s="1090">
        <f t="shared" si="1"/>
        <v>0</v>
      </c>
      <c r="G8" s="1090">
        <f t="shared" si="1"/>
        <v>159729</v>
      </c>
      <c r="H8" s="1090">
        <f t="shared" si="1"/>
        <v>159667</v>
      </c>
      <c r="I8" s="1090" t="s">
        <v>513</v>
      </c>
      <c r="J8" s="1090">
        <f>SUM(J9:J10)</f>
        <v>0</v>
      </c>
      <c r="K8" s="1090">
        <f>SUM(K9:K10)</f>
        <v>9</v>
      </c>
      <c r="L8" s="1091">
        <f>SUM(L9:L10)</f>
        <v>31.5</v>
      </c>
      <c r="M8" s="1092">
        <f>M9+M10</f>
        <v>32</v>
      </c>
      <c r="N8" s="706"/>
      <c r="O8" s="1089">
        <f>SUM(O9:O10)</f>
        <v>0</v>
      </c>
      <c r="P8" s="1093">
        <f>SUM(P9:P10)</f>
        <v>159667</v>
      </c>
      <c r="R8" s="48">
        <f>R7+1</f>
        <v>2</v>
      </c>
      <c r="S8" s="35" t="s">
        <v>35</v>
      </c>
      <c r="T8" s="59">
        <v>159729</v>
      </c>
      <c r="U8" s="60">
        <v>159667</v>
      </c>
      <c r="V8" s="60">
        <v>0</v>
      </c>
      <c r="W8" s="60">
        <v>0</v>
      </c>
      <c r="X8" s="60">
        <v>159729</v>
      </c>
      <c r="Y8" s="61">
        <v>159667</v>
      </c>
      <c r="Z8" s="77" t="s">
        <v>513</v>
      </c>
      <c r="AA8" s="78">
        <v>0</v>
      </c>
      <c r="AB8" s="62">
        <v>9</v>
      </c>
      <c r="AC8" s="63">
        <v>31.5</v>
      </c>
      <c r="AD8" s="63">
        <v>32</v>
      </c>
      <c r="AE8" s="1036"/>
      <c r="AF8" s="59">
        <v>0</v>
      </c>
      <c r="AG8" s="63">
        <v>159667</v>
      </c>
    </row>
    <row r="9" spans="1:33">
      <c r="A9" s="715">
        <f>A8+1</f>
        <v>3</v>
      </c>
      <c r="B9" s="36" t="s">
        <v>58</v>
      </c>
      <c r="C9" s="64">
        <f>113588+45964</f>
        <v>159552</v>
      </c>
      <c r="D9" s="65">
        <f>113588+45964</f>
        <v>159552</v>
      </c>
      <c r="E9" s="65">
        <v>0</v>
      </c>
      <c r="F9" s="65">
        <v>0</v>
      </c>
      <c r="G9" s="65">
        <f t="shared" ref="G9:H19" si="2">+C9+E9</f>
        <v>159552</v>
      </c>
      <c r="H9" s="65">
        <f t="shared" si="2"/>
        <v>159552</v>
      </c>
      <c r="I9" s="65">
        <v>0</v>
      </c>
      <c r="J9" s="65">
        <v>0</v>
      </c>
      <c r="K9" s="65">
        <v>0</v>
      </c>
      <c r="L9" s="249">
        <f>+G9-H9</f>
        <v>0</v>
      </c>
      <c r="M9" s="1040">
        <v>0</v>
      </c>
      <c r="N9" s="1036"/>
      <c r="O9" s="64">
        <v>0</v>
      </c>
      <c r="P9" s="249">
        <f t="shared" ref="P9:P49" si="3">H9+O9</f>
        <v>159552</v>
      </c>
      <c r="R9" s="25">
        <f t="shared" ref="R9:R34" si="4">R8+1</f>
        <v>3</v>
      </c>
      <c r="S9" s="36" t="s">
        <v>58</v>
      </c>
      <c r="T9" s="64">
        <v>159552</v>
      </c>
      <c r="U9" s="65">
        <v>159552</v>
      </c>
      <c r="V9" s="65">
        <v>0</v>
      </c>
      <c r="W9" s="65">
        <v>0</v>
      </c>
      <c r="X9" s="65">
        <v>159552</v>
      </c>
      <c r="Y9" s="66">
        <v>159552</v>
      </c>
      <c r="Z9" s="80">
        <v>0</v>
      </c>
      <c r="AA9" s="80">
        <v>0</v>
      </c>
      <c r="AB9" s="67">
        <v>0</v>
      </c>
      <c r="AC9" s="68">
        <v>0</v>
      </c>
      <c r="AD9" s="68">
        <v>0</v>
      </c>
      <c r="AE9" s="1036"/>
      <c r="AF9" s="64">
        <v>0</v>
      </c>
      <c r="AG9" s="68">
        <v>159552</v>
      </c>
    </row>
    <row r="10" spans="1:33">
      <c r="A10" s="715">
        <f>A9+1</f>
        <v>4</v>
      </c>
      <c r="B10" s="36" t="s">
        <v>36</v>
      </c>
      <c r="C10" s="64">
        <v>177</v>
      </c>
      <c r="D10" s="65">
        <f>115</f>
        <v>115</v>
      </c>
      <c r="E10" s="65">
        <v>0</v>
      </c>
      <c r="F10" s="65">
        <v>0</v>
      </c>
      <c r="G10" s="65">
        <f t="shared" si="2"/>
        <v>177</v>
      </c>
      <c r="H10" s="65">
        <f t="shared" si="2"/>
        <v>115</v>
      </c>
      <c r="I10" s="65">
        <v>0</v>
      </c>
      <c r="J10" s="65">
        <v>0</v>
      </c>
      <c r="K10" s="270">
        <v>9</v>
      </c>
      <c r="L10" s="249">
        <f>+G10-H10-30.5</f>
        <v>31.5</v>
      </c>
      <c r="M10" s="1040">
        <v>32</v>
      </c>
      <c r="N10" s="1036"/>
      <c r="O10" s="64">
        <v>0</v>
      </c>
      <c r="P10" s="68">
        <f t="shared" si="3"/>
        <v>115</v>
      </c>
      <c r="R10" s="25">
        <f t="shared" si="4"/>
        <v>4</v>
      </c>
      <c r="S10" s="36" t="s">
        <v>36</v>
      </c>
      <c r="T10" s="64">
        <v>177</v>
      </c>
      <c r="U10" s="65">
        <v>115</v>
      </c>
      <c r="V10" s="65">
        <v>0</v>
      </c>
      <c r="W10" s="65">
        <v>0</v>
      </c>
      <c r="X10" s="65">
        <v>177</v>
      </c>
      <c r="Y10" s="249">
        <v>115</v>
      </c>
      <c r="Z10" s="80">
        <v>0</v>
      </c>
      <c r="AA10" s="80">
        <v>0</v>
      </c>
      <c r="AB10" s="67">
        <v>9</v>
      </c>
      <c r="AC10" s="68">
        <v>31.5</v>
      </c>
      <c r="AD10" s="68">
        <v>32</v>
      </c>
      <c r="AE10" s="1036"/>
      <c r="AF10" s="64">
        <v>0</v>
      </c>
      <c r="AG10" s="68">
        <v>115</v>
      </c>
    </row>
    <row r="11" spans="1:33">
      <c r="A11" s="264">
        <v>5</v>
      </c>
      <c r="B11" s="1088" t="s">
        <v>42</v>
      </c>
      <c r="C11" s="1089">
        <f>+C12+C17+C18+C19</f>
        <v>39350</v>
      </c>
      <c r="D11" s="1090">
        <f>+D12+D17+D18+D19</f>
        <v>39350</v>
      </c>
      <c r="E11" s="1090">
        <f>+E12+E17+E18+E19</f>
        <v>0</v>
      </c>
      <c r="F11" s="1090">
        <f>+F12+F17+F18+F19</f>
        <v>0</v>
      </c>
      <c r="G11" s="1090">
        <f t="shared" si="2"/>
        <v>39350</v>
      </c>
      <c r="H11" s="1090">
        <f t="shared" si="2"/>
        <v>39350</v>
      </c>
      <c r="I11" s="1090" t="s">
        <v>513</v>
      </c>
      <c r="J11" s="1090">
        <f>+J12+J17+J18+J19</f>
        <v>0</v>
      </c>
      <c r="K11" s="1090">
        <f>+K12+K17+K18+K19</f>
        <v>83</v>
      </c>
      <c r="L11" s="1091">
        <f>+G11-H11</f>
        <v>0</v>
      </c>
      <c r="M11" s="1092">
        <v>0</v>
      </c>
      <c r="N11" s="706"/>
      <c r="O11" s="1089">
        <f>+O12+O17+O18+O19</f>
        <v>0</v>
      </c>
      <c r="P11" s="1093">
        <f t="shared" si="3"/>
        <v>39350</v>
      </c>
      <c r="R11" s="25">
        <f t="shared" si="4"/>
        <v>5</v>
      </c>
      <c r="S11" s="37" t="s">
        <v>30</v>
      </c>
      <c r="T11" s="64"/>
      <c r="U11" s="65"/>
      <c r="V11" s="65"/>
      <c r="W11" s="65"/>
      <c r="X11" s="65"/>
      <c r="Y11" s="66"/>
      <c r="Z11" s="79"/>
      <c r="AA11" s="80"/>
      <c r="AB11" s="67"/>
      <c r="AC11" s="68"/>
      <c r="AD11" s="68"/>
      <c r="AE11" s="1036"/>
      <c r="AF11" s="64"/>
      <c r="AG11" s="68"/>
    </row>
    <row r="12" spans="1:33">
      <c r="A12" s="264">
        <v>6</v>
      </c>
      <c r="B12" s="717" t="s">
        <v>51</v>
      </c>
      <c r="C12" s="1094">
        <f>SUM(C13:C16)</f>
        <v>9155</v>
      </c>
      <c r="D12" s="1095">
        <f>SUM(D13:D16)</f>
        <v>9155</v>
      </c>
      <c r="E12" s="1096">
        <f t="shared" ref="E12:O12" si="5">SUM(E13:E15)</f>
        <v>0</v>
      </c>
      <c r="F12" s="1096">
        <f t="shared" si="5"/>
        <v>0</v>
      </c>
      <c r="G12" s="1096">
        <f>SUM(G13:G16)</f>
        <v>9155</v>
      </c>
      <c r="H12" s="1096">
        <f>SUM(H13:H16)</f>
        <v>9155</v>
      </c>
      <c r="I12" s="1096">
        <f t="shared" si="5"/>
        <v>0</v>
      </c>
      <c r="J12" s="1096">
        <f t="shared" si="5"/>
        <v>0</v>
      </c>
      <c r="K12" s="1096">
        <f>SUM(K13:K16)</f>
        <v>83</v>
      </c>
      <c r="L12" s="1097">
        <f t="shared" si="5"/>
        <v>0</v>
      </c>
      <c r="M12" s="1073">
        <v>0</v>
      </c>
      <c r="N12" s="706"/>
      <c r="O12" s="1094">
        <f t="shared" si="5"/>
        <v>0</v>
      </c>
      <c r="P12" s="1098">
        <f>SUM(P13:P16)</f>
        <v>9155</v>
      </c>
      <c r="R12" s="48">
        <f t="shared" si="4"/>
        <v>6</v>
      </c>
      <c r="S12" s="35" t="s">
        <v>42</v>
      </c>
      <c r="T12" s="59">
        <v>39350</v>
      </c>
      <c r="U12" s="60">
        <v>39350</v>
      </c>
      <c r="V12" s="60">
        <v>0</v>
      </c>
      <c r="W12" s="60">
        <v>0</v>
      </c>
      <c r="X12" s="60">
        <v>39350</v>
      </c>
      <c r="Y12" s="61">
        <v>39350</v>
      </c>
      <c r="Z12" s="78" t="s">
        <v>513</v>
      </c>
      <c r="AA12" s="78">
        <v>0</v>
      </c>
      <c r="AB12" s="62">
        <v>83</v>
      </c>
      <c r="AC12" s="63">
        <v>0</v>
      </c>
      <c r="AD12" s="63">
        <v>0</v>
      </c>
      <c r="AE12" s="1036"/>
      <c r="AF12" s="59">
        <v>0</v>
      </c>
      <c r="AG12" s="63">
        <v>39350</v>
      </c>
    </row>
    <row r="13" spans="1:33">
      <c r="A13" s="25">
        <v>7</v>
      </c>
      <c r="B13" s="36" t="s">
        <v>514</v>
      </c>
      <c r="C13" s="89">
        <v>3077</v>
      </c>
      <c r="D13" s="87">
        <v>3077</v>
      </c>
      <c r="E13" s="87">
        <v>0</v>
      </c>
      <c r="F13" s="87">
        <v>0</v>
      </c>
      <c r="G13" s="65">
        <f t="shared" si="2"/>
        <v>3077</v>
      </c>
      <c r="H13" s="65">
        <f t="shared" si="2"/>
        <v>3077</v>
      </c>
      <c r="I13" s="65">
        <v>0</v>
      </c>
      <c r="J13" s="87">
        <v>0</v>
      </c>
      <c r="K13" s="342">
        <v>83</v>
      </c>
      <c r="L13" s="249">
        <f t="shared" ref="L13:L19" si="6">+G13-H13</f>
        <v>0</v>
      </c>
      <c r="M13" s="1073">
        <v>0</v>
      </c>
      <c r="N13" s="1036"/>
      <c r="O13" s="89">
        <v>0</v>
      </c>
      <c r="P13" s="68">
        <f t="shared" si="3"/>
        <v>3077</v>
      </c>
      <c r="R13" s="29">
        <f t="shared" si="4"/>
        <v>7</v>
      </c>
      <c r="S13" s="36" t="s">
        <v>51</v>
      </c>
      <c r="T13" s="85">
        <v>9155</v>
      </c>
      <c r="U13" s="82">
        <v>9155</v>
      </c>
      <c r="V13" s="82">
        <v>0</v>
      </c>
      <c r="W13" s="82">
        <v>0</v>
      </c>
      <c r="X13" s="65">
        <v>9155</v>
      </c>
      <c r="Y13" s="66">
        <v>9155</v>
      </c>
      <c r="Z13" s="79">
        <v>0</v>
      </c>
      <c r="AA13" s="83">
        <v>0</v>
      </c>
      <c r="AB13" s="81">
        <v>83</v>
      </c>
      <c r="AC13" s="68">
        <v>0</v>
      </c>
      <c r="AD13" s="68">
        <v>0</v>
      </c>
      <c r="AE13" s="706"/>
      <c r="AF13" s="85">
        <v>0</v>
      </c>
      <c r="AG13" s="68">
        <v>9155</v>
      </c>
    </row>
    <row r="14" spans="1:33">
      <c r="A14" s="334">
        <v>8</v>
      </c>
      <c r="B14" s="36" t="s">
        <v>515</v>
      </c>
      <c r="C14" s="743">
        <v>2218</v>
      </c>
      <c r="D14" s="87">
        <v>2218</v>
      </c>
      <c r="E14" s="87">
        <v>0</v>
      </c>
      <c r="F14" s="87">
        <v>0</v>
      </c>
      <c r="G14" s="65">
        <f t="shared" si="2"/>
        <v>2218</v>
      </c>
      <c r="H14" s="65">
        <f t="shared" si="2"/>
        <v>2218</v>
      </c>
      <c r="I14" s="87">
        <v>0</v>
      </c>
      <c r="J14" s="87">
        <v>0</v>
      </c>
      <c r="K14" s="342">
        <v>0</v>
      </c>
      <c r="L14" s="249">
        <f t="shared" si="6"/>
        <v>0</v>
      </c>
      <c r="M14" s="1073">
        <v>0</v>
      </c>
      <c r="N14" s="1036"/>
      <c r="O14" s="89">
        <v>0</v>
      </c>
      <c r="P14" s="68">
        <f t="shared" si="3"/>
        <v>2218</v>
      </c>
      <c r="R14" s="29"/>
      <c r="S14" s="36" t="s">
        <v>61</v>
      </c>
      <c r="T14" s="85"/>
      <c r="U14" s="82"/>
      <c r="V14" s="82"/>
      <c r="W14" s="82"/>
      <c r="X14" s="65"/>
      <c r="Y14" s="66"/>
      <c r="Z14" s="79"/>
      <c r="AA14" s="83"/>
      <c r="AB14" s="81"/>
      <c r="AC14" s="68"/>
      <c r="AD14" s="68"/>
      <c r="AE14" s="706"/>
      <c r="AF14" s="85"/>
      <c r="AG14" s="68"/>
    </row>
    <row r="15" spans="1:33">
      <c r="A15" s="334">
        <v>9</v>
      </c>
      <c r="B15" s="36" t="s">
        <v>516</v>
      </c>
      <c r="C15" s="89">
        <v>3570</v>
      </c>
      <c r="D15" s="87">
        <v>3570</v>
      </c>
      <c r="E15" s="87">
        <v>0</v>
      </c>
      <c r="F15" s="87">
        <v>0</v>
      </c>
      <c r="G15" s="65">
        <f t="shared" si="2"/>
        <v>3570</v>
      </c>
      <c r="H15" s="65">
        <f t="shared" si="2"/>
        <v>3570</v>
      </c>
      <c r="I15" s="87">
        <v>0</v>
      </c>
      <c r="J15" s="87">
        <v>0</v>
      </c>
      <c r="K15" s="342">
        <v>0</v>
      </c>
      <c r="L15" s="249">
        <f t="shared" si="6"/>
        <v>0</v>
      </c>
      <c r="M15" s="1073">
        <v>0</v>
      </c>
      <c r="N15" s="1036"/>
      <c r="O15" s="89">
        <v>0</v>
      </c>
      <c r="P15" s="68">
        <f t="shared" si="3"/>
        <v>3570</v>
      </c>
      <c r="R15" s="25">
        <f>R13+1</f>
        <v>8</v>
      </c>
      <c r="S15" s="37" t="s">
        <v>66</v>
      </c>
      <c r="T15" s="89"/>
      <c r="U15" s="87"/>
      <c r="V15" s="87"/>
      <c r="W15" s="87"/>
      <c r="X15" s="65"/>
      <c r="Y15" s="66"/>
      <c r="Z15" s="88"/>
      <c r="AA15" s="88"/>
      <c r="AB15" s="86"/>
      <c r="AC15" s="68"/>
      <c r="AD15" s="68"/>
      <c r="AE15" s="1036"/>
      <c r="AF15" s="89"/>
      <c r="AG15" s="68"/>
    </row>
    <row r="16" spans="1:33">
      <c r="A16" s="334">
        <v>10</v>
      </c>
      <c r="B16" s="36" t="s">
        <v>517</v>
      </c>
      <c r="C16" s="89">
        <v>290</v>
      </c>
      <c r="D16" s="87">
        <v>290</v>
      </c>
      <c r="E16" s="87">
        <v>0</v>
      </c>
      <c r="F16" s="87">
        <v>0</v>
      </c>
      <c r="G16" s="65">
        <f t="shared" si="2"/>
        <v>290</v>
      </c>
      <c r="H16" s="65">
        <f t="shared" si="2"/>
        <v>290</v>
      </c>
      <c r="I16" s="87">
        <v>0</v>
      </c>
      <c r="J16" s="87">
        <v>0</v>
      </c>
      <c r="K16" s="342">
        <v>0</v>
      </c>
      <c r="L16" s="249">
        <f t="shared" si="6"/>
        <v>0</v>
      </c>
      <c r="M16" s="1073">
        <v>0</v>
      </c>
      <c r="N16" s="1036"/>
      <c r="O16" s="89">
        <v>0</v>
      </c>
      <c r="P16" s="68">
        <f t="shared" si="3"/>
        <v>290</v>
      </c>
      <c r="R16" s="29">
        <f t="shared" si="4"/>
        <v>9</v>
      </c>
      <c r="S16" s="36" t="s">
        <v>52</v>
      </c>
      <c r="T16" s="85"/>
      <c r="U16" s="82"/>
      <c r="V16" s="82"/>
      <c r="W16" s="82"/>
      <c r="X16" s="65"/>
      <c r="Y16" s="66"/>
      <c r="Z16" s="79"/>
      <c r="AA16" s="83"/>
      <c r="AB16" s="81"/>
      <c r="AC16" s="68"/>
      <c r="AD16" s="68"/>
      <c r="AE16" s="706"/>
      <c r="AF16" s="85"/>
      <c r="AG16" s="68"/>
    </row>
    <row r="17" spans="1:33">
      <c r="A17" s="268">
        <v>11</v>
      </c>
      <c r="B17" s="717" t="s">
        <v>52</v>
      </c>
      <c r="C17" s="1094">
        <v>0</v>
      </c>
      <c r="D17" s="1096">
        <v>0</v>
      </c>
      <c r="E17" s="1096">
        <v>0</v>
      </c>
      <c r="F17" s="1096">
        <v>0</v>
      </c>
      <c r="G17" s="709">
        <f t="shared" si="2"/>
        <v>0</v>
      </c>
      <c r="H17" s="709">
        <f t="shared" si="2"/>
        <v>0</v>
      </c>
      <c r="I17" s="709">
        <v>0</v>
      </c>
      <c r="J17" s="1096">
        <v>0</v>
      </c>
      <c r="K17" s="1099">
        <v>0</v>
      </c>
      <c r="L17" s="1100">
        <f t="shared" si="6"/>
        <v>0</v>
      </c>
      <c r="M17" s="1073">
        <v>0</v>
      </c>
      <c r="N17" s="706"/>
      <c r="O17" s="1094">
        <v>0</v>
      </c>
      <c r="P17" s="68">
        <f t="shared" si="3"/>
        <v>0</v>
      </c>
      <c r="R17" s="25">
        <f t="shared" si="4"/>
        <v>10</v>
      </c>
      <c r="S17" s="37" t="s">
        <v>30</v>
      </c>
      <c r="T17" s="89"/>
      <c r="U17" s="87"/>
      <c r="V17" s="87"/>
      <c r="W17" s="87"/>
      <c r="X17" s="65"/>
      <c r="Y17" s="66"/>
      <c r="Z17" s="88"/>
      <c r="AA17" s="88"/>
      <c r="AB17" s="86"/>
      <c r="AC17" s="68"/>
      <c r="AD17" s="68"/>
      <c r="AE17" s="1036"/>
      <c r="AF17" s="89"/>
      <c r="AG17" s="68"/>
    </row>
    <row r="18" spans="1:33">
      <c r="A18" s="268">
        <v>12</v>
      </c>
      <c r="B18" s="717" t="s">
        <v>37</v>
      </c>
      <c r="C18" s="1094">
        <v>30195</v>
      </c>
      <c r="D18" s="1096">
        <v>30195</v>
      </c>
      <c r="E18" s="1096">
        <v>0</v>
      </c>
      <c r="F18" s="1096">
        <v>0</v>
      </c>
      <c r="G18" s="709">
        <f t="shared" si="2"/>
        <v>30195</v>
      </c>
      <c r="H18" s="709">
        <f t="shared" si="2"/>
        <v>30195</v>
      </c>
      <c r="I18" s="1096">
        <v>0</v>
      </c>
      <c r="J18" s="1096">
        <v>0</v>
      </c>
      <c r="K18" s="1099">
        <v>0</v>
      </c>
      <c r="L18" s="1100">
        <f t="shared" si="6"/>
        <v>0</v>
      </c>
      <c r="M18" s="1073">
        <v>0</v>
      </c>
      <c r="N18" s="706"/>
      <c r="O18" s="1094">
        <v>0</v>
      </c>
      <c r="P18" s="68">
        <f t="shared" si="3"/>
        <v>30195</v>
      </c>
      <c r="R18" s="29">
        <f t="shared" si="4"/>
        <v>11</v>
      </c>
      <c r="S18" s="36" t="s">
        <v>37</v>
      </c>
      <c r="T18" s="85">
        <v>30195</v>
      </c>
      <c r="U18" s="82">
        <v>30195</v>
      </c>
      <c r="V18" s="82">
        <v>0</v>
      </c>
      <c r="W18" s="82">
        <v>0</v>
      </c>
      <c r="X18" s="65">
        <v>30195</v>
      </c>
      <c r="Y18" s="66">
        <v>30195</v>
      </c>
      <c r="Z18" s="83">
        <v>0</v>
      </c>
      <c r="AA18" s="83">
        <v>0</v>
      </c>
      <c r="AB18" s="81">
        <v>0</v>
      </c>
      <c r="AC18" s="68">
        <v>0</v>
      </c>
      <c r="AD18" s="68">
        <v>0</v>
      </c>
      <c r="AE18" s="706"/>
      <c r="AF18" s="85">
        <v>0</v>
      </c>
      <c r="AG18" s="68">
        <v>30195</v>
      </c>
    </row>
    <row r="19" spans="1:33">
      <c r="A19" s="264">
        <v>13</v>
      </c>
      <c r="B19" s="717" t="s">
        <v>38</v>
      </c>
      <c r="C19" s="1094">
        <v>0</v>
      </c>
      <c r="D19" s="1096">
        <v>0</v>
      </c>
      <c r="E19" s="1096">
        <v>0</v>
      </c>
      <c r="F19" s="1096">
        <v>0</v>
      </c>
      <c r="G19" s="709">
        <f t="shared" si="2"/>
        <v>0</v>
      </c>
      <c r="H19" s="709">
        <f t="shared" si="2"/>
        <v>0</v>
      </c>
      <c r="I19" s="1096">
        <v>0</v>
      </c>
      <c r="J19" s="1096">
        <v>0</v>
      </c>
      <c r="K19" s="1099">
        <v>0</v>
      </c>
      <c r="L19" s="1100">
        <f t="shared" si="6"/>
        <v>0</v>
      </c>
      <c r="M19" s="1073">
        <v>0</v>
      </c>
      <c r="N19" s="706"/>
      <c r="O19" s="1094">
        <v>0</v>
      </c>
      <c r="P19" s="68">
        <f t="shared" si="3"/>
        <v>0</v>
      </c>
      <c r="R19" s="29">
        <f t="shared" si="4"/>
        <v>12</v>
      </c>
      <c r="S19" s="50" t="s">
        <v>38</v>
      </c>
      <c r="T19" s="85">
        <v>0</v>
      </c>
      <c r="U19" s="82">
        <v>0</v>
      </c>
      <c r="V19" s="82">
        <v>0</v>
      </c>
      <c r="W19" s="82">
        <v>0</v>
      </c>
      <c r="X19" s="65">
        <v>0</v>
      </c>
      <c r="Y19" s="66">
        <v>0</v>
      </c>
      <c r="Z19" s="83">
        <v>0</v>
      </c>
      <c r="AA19" s="83">
        <v>0</v>
      </c>
      <c r="AB19" s="81">
        <v>0</v>
      </c>
      <c r="AC19" s="68">
        <v>0</v>
      </c>
      <c r="AD19" s="68">
        <v>0</v>
      </c>
      <c r="AE19" s="706"/>
      <c r="AF19" s="85">
        <v>0</v>
      </c>
      <c r="AG19" s="68">
        <v>0</v>
      </c>
    </row>
    <row r="20" spans="1:33">
      <c r="A20" s="24">
        <v>14</v>
      </c>
      <c r="B20" s="38" t="s">
        <v>29</v>
      </c>
      <c r="C20" s="261">
        <f>+C21+C23+C25+C32+C34</f>
        <v>89787</v>
      </c>
      <c r="D20" s="256">
        <f>+D21+D23+D25+D32+D34</f>
        <v>89728.7</v>
      </c>
      <c r="E20" s="256">
        <f t="shared" ref="E20:O20" si="7">+E21+E23+E25+E32</f>
        <v>0</v>
      </c>
      <c r="F20" s="256">
        <f t="shared" si="7"/>
        <v>0</v>
      </c>
      <c r="G20" s="256">
        <f>+G21+G23+G25+G32+G34</f>
        <v>89787</v>
      </c>
      <c r="H20" s="256">
        <f>+H21+H23+H25+H32+H34</f>
        <v>89728.7</v>
      </c>
      <c r="I20" s="256" t="s">
        <v>513</v>
      </c>
      <c r="J20" s="256">
        <f t="shared" si="7"/>
        <v>35986</v>
      </c>
      <c r="K20" s="256">
        <f>+K21+K23+K25+K32</f>
        <v>604</v>
      </c>
      <c r="L20" s="257">
        <f t="shared" si="7"/>
        <v>0.2999999999992724</v>
      </c>
      <c r="M20" s="263">
        <f>SUM(M34+M32+M25+M23)</f>
        <v>0</v>
      </c>
      <c r="N20" s="1101"/>
      <c r="O20" s="261">
        <f t="shared" si="7"/>
        <v>3413</v>
      </c>
      <c r="P20" s="275">
        <f>+P21+P23+P25+P32+P34</f>
        <v>93141.7</v>
      </c>
      <c r="R20" s="25">
        <f t="shared" si="4"/>
        <v>13</v>
      </c>
      <c r="S20" s="37" t="s">
        <v>30</v>
      </c>
      <c r="T20" s="89"/>
      <c r="U20" s="87"/>
      <c r="V20" s="87"/>
      <c r="W20" s="87"/>
      <c r="X20" s="65"/>
      <c r="Y20" s="66"/>
      <c r="Z20" s="88"/>
      <c r="AA20" s="88"/>
      <c r="AB20" s="86"/>
      <c r="AC20" s="68"/>
      <c r="AD20" s="68"/>
      <c r="AE20" s="1036"/>
      <c r="AF20" s="89"/>
      <c r="AG20" s="68"/>
    </row>
    <row r="21" spans="1:33">
      <c r="A21" s="264">
        <v>15</v>
      </c>
      <c r="B21" s="1102" t="s">
        <v>518</v>
      </c>
      <c r="C21" s="1089">
        <f>+C22</f>
        <v>28293</v>
      </c>
      <c r="D21" s="1090">
        <f t="shared" ref="D21:O21" si="8">+D22</f>
        <v>28293</v>
      </c>
      <c r="E21" s="1090">
        <f t="shared" si="8"/>
        <v>0</v>
      </c>
      <c r="F21" s="1090">
        <f t="shared" si="8"/>
        <v>0</v>
      </c>
      <c r="G21" s="1090">
        <f t="shared" si="8"/>
        <v>28293</v>
      </c>
      <c r="H21" s="1090">
        <f t="shared" si="8"/>
        <v>28293</v>
      </c>
      <c r="I21" s="1090" t="s">
        <v>513</v>
      </c>
      <c r="J21" s="1090">
        <f t="shared" si="8"/>
        <v>8090</v>
      </c>
      <c r="K21" s="1090">
        <f t="shared" si="8"/>
        <v>124</v>
      </c>
      <c r="L21" s="1091">
        <f t="shared" si="8"/>
        <v>0</v>
      </c>
      <c r="M21" s="1092">
        <f>SUM(M22)</f>
        <v>0</v>
      </c>
      <c r="N21" s="706"/>
      <c r="O21" s="1089">
        <f t="shared" si="8"/>
        <v>2490</v>
      </c>
      <c r="P21" s="1093">
        <f t="shared" si="3"/>
        <v>30783</v>
      </c>
      <c r="R21" s="24">
        <f t="shared" si="4"/>
        <v>14</v>
      </c>
      <c r="S21" s="38" t="s">
        <v>29</v>
      </c>
      <c r="T21" s="70">
        <v>89787</v>
      </c>
      <c r="U21" s="71">
        <v>89728.7</v>
      </c>
      <c r="V21" s="71">
        <v>0</v>
      </c>
      <c r="W21" s="71">
        <v>0</v>
      </c>
      <c r="X21" s="71">
        <v>89787</v>
      </c>
      <c r="Y21" s="72">
        <v>89728.7</v>
      </c>
      <c r="Z21" s="90" t="s">
        <v>513</v>
      </c>
      <c r="AA21" s="1252">
        <v>35986</v>
      </c>
      <c r="AB21" s="73">
        <v>604</v>
      </c>
      <c r="AC21" s="74">
        <v>0.2999999999992724</v>
      </c>
      <c r="AD21" s="74">
        <v>0</v>
      </c>
      <c r="AE21" s="1036"/>
      <c r="AF21" s="70">
        <v>3413</v>
      </c>
      <c r="AG21" s="74">
        <v>93141.7</v>
      </c>
    </row>
    <row r="22" spans="1:33">
      <c r="A22" s="334">
        <v>16</v>
      </c>
      <c r="B22" s="194" t="s">
        <v>519</v>
      </c>
      <c r="C22" s="89">
        <v>28293</v>
      </c>
      <c r="D22" s="741">
        <v>28293</v>
      </c>
      <c r="E22" s="87">
        <v>0</v>
      </c>
      <c r="F22" s="87">
        <v>0</v>
      </c>
      <c r="G22" s="65">
        <f>+C22+E22</f>
        <v>28293</v>
      </c>
      <c r="H22" s="65">
        <f>+D22+F22</f>
        <v>28293</v>
      </c>
      <c r="I22" s="87">
        <v>0</v>
      </c>
      <c r="J22" s="342">
        <v>8090</v>
      </c>
      <c r="K22" s="342">
        <v>124</v>
      </c>
      <c r="L22" s="249">
        <f>+G22-H22</f>
        <v>0</v>
      </c>
      <c r="M22" s="1040">
        <v>0</v>
      </c>
      <c r="N22" s="1036"/>
      <c r="O22" s="89">
        <v>2490</v>
      </c>
      <c r="P22" s="68">
        <f t="shared" si="3"/>
        <v>30783</v>
      </c>
      <c r="R22" s="46">
        <f t="shared" si="4"/>
        <v>15</v>
      </c>
      <c r="S22" s="43" t="s">
        <v>53</v>
      </c>
      <c r="T22" s="59"/>
      <c r="U22" s="60"/>
      <c r="V22" s="60"/>
      <c r="W22" s="60"/>
      <c r="X22" s="60"/>
      <c r="Y22" s="61"/>
      <c r="Z22" s="78"/>
      <c r="AA22" s="78"/>
      <c r="AB22" s="62"/>
      <c r="AC22" s="63"/>
      <c r="AD22" s="63"/>
      <c r="AE22" s="1036"/>
      <c r="AF22" s="59"/>
      <c r="AG22" s="63"/>
    </row>
    <row r="23" spans="1:33">
      <c r="A23" s="268">
        <v>17</v>
      </c>
      <c r="B23" s="1102" t="s">
        <v>520</v>
      </c>
      <c r="C23" s="1089">
        <f>+C24</f>
        <v>10865</v>
      </c>
      <c r="D23" s="1090">
        <f t="shared" ref="D23:O23" si="9">+D24</f>
        <v>10807</v>
      </c>
      <c r="E23" s="1090">
        <f t="shared" si="9"/>
        <v>0</v>
      </c>
      <c r="F23" s="1090">
        <f t="shared" si="9"/>
        <v>0</v>
      </c>
      <c r="G23" s="1090">
        <f t="shared" si="9"/>
        <v>10865</v>
      </c>
      <c r="H23" s="1090">
        <f t="shared" si="9"/>
        <v>10807</v>
      </c>
      <c r="I23" s="1090" t="s">
        <v>513</v>
      </c>
      <c r="J23" s="1090">
        <f t="shared" si="9"/>
        <v>2375</v>
      </c>
      <c r="K23" s="1090">
        <f t="shared" si="9"/>
        <v>160</v>
      </c>
      <c r="L23" s="1091">
        <f t="shared" si="9"/>
        <v>0</v>
      </c>
      <c r="M23" s="1092">
        <f>M24</f>
        <v>0</v>
      </c>
      <c r="N23" s="706"/>
      <c r="O23" s="1089">
        <f t="shared" si="9"/>
        <v>0</v>
      </c>
      <c r="P23" s="1093">
        <f t="shared" si="3"/>
        <v>10807</v>
      </c>
      <c r="R23" s="25">
        <f t="shared" si="4"/>
        <v>16</v>
      </c>
      <c r="S23" s="37" t="s">
        <v>60</v>
      </c>
      <c r="T23" s="89"/>
      <c r="U23" s="87"/>
      <c r="V23" s="87"/>
      <c r="W23" s="87"/>
      <c r="X23" s="65"/>
      <c r="Y23" s="66"/>
      <c r="Z23" s="88"/>
      <c r="AA23" s="88"/>
      <c r="AB23" s="86"/>
      <c r="AC23" s="68"/>
      <c r="AD23" s="68"/>
      <c r="AE23" s="1036"/>
      <c r="AF23" s="89"/>
      <c r="AG23" s="68"/>
    </row>
    <row r="24" spans="1:33">
      <c r="A24" s="334">
        <v>18</v>
      </c>
      <c r="B24" s="36" t="s">
        <v>521</v>
      </c>
      <c r="C24" s="89">
        <v>10865</v>
      </c>
      <c r="D24" s="87">
        <f>10807</f>
        <v>10807</v>
      </c>
      <c r="E24" s="87">
        <v>0</v>
      </c>
      <c r="F24" s="87">
        <v>0</v>
      </c>
      <c r="G24" s="65">
        <f>+C24+E24</f>
        <v>10865</v>
      </c>
      <c r="H24" s="65">
        <f>+D24+F24</f>
        <v>10807</v>
      </c>
      <c r="I24" s="87">
        <v>0</v>
      </c>
      <c r="J24" s="342">
        <v>2375</v>
      </c>
      <c r="K24" s="342">
        <v>160</v>
      </c>
      <c r="L24" s="249">
        <f>+G24-H24-58</f>
        <v>0</v>
      </c>
      <c r="M24" s="1040">
        <v>0</v>
      </c>
      <c r="N24" s="1036"/>
      <c r="O24" s="89">
        <v>0</v>
      </c>
      <c r="P24" s="68">
        <f t="shared" si="3"/>
        <v>10807</v>
      </c>
      <c r="R24" s="46">
        <f t="shared" si="4"/>
        <v>17</v>
      </c>
      <c r="S24" s="47" t="s">
        <v>59</v>
      </c>
      <c r="T24" s="59">
        <v>10865</v>
      </c>
      <c r="U24" s="60">
        <v>10807</v>
      </c>
      <c r="V24" s="60">
        <v>0</v>
      </c>
      <c r="W24" s="60">
        <v>0</v>
      </c>
      <c r="X24" s="60">
        <v>10865</v>
      </c>
      <c r="Y24" s="61">
        <v>10807</v>
      </c>
      <c r="Z24" s="78" t="s">
        <v>513</v>
      </c>
      <c r="AA24" s="78">
        <v>2375</v>
      </c>
      <c r="AB24" s="62">
        <v>160</v>
      </c>
      <c r="AC24" s="63">
        <v>0</v>
      </c>
      <c r="AD24" s="63">
        <v>0</v>
      </c>
      <c r="AE24" s="1036"/>
      <c r="AF24" s="59">
        <v>0</v>
      </c>
      <c r="AG24" s="63">
        <v>10807</v>
      </c>
    </row>
    <row r="25" spans="1:33">
      <c r="A25" s="268">
        <v>19</v>
      </c>
      <c r="B25" s="1102" t="s">
        <v>522</v>
      </c>
      <c r="C25" s="1089">
        <f>SUM(C26:C31)</f>
        <v>38125</v>
      </c>
      <c r="D25" s="1090">
        <f t="shared" ref="D25:L25" si="10">SUM(D26:D31)</f>
        <v>38125</v>
      </c>
      <c r="E25" s="1090">
        <f t="shared" si="10"/>
        <v>0</v>
      </c>
      <c r="F25" s="1090">
        <f t="shared" si="10"/>
        <v>0</v>
      </c>
      <c r="G25" s="1090">
        <f t="shared" si="10"/>
        <v>38125</v>
      </c>
      <c r="H25" s="1090">
        <f t="shared" si="10"/>
        <v>38125</v>
      </c>
      <c r="I25" s="1090" t="s">
        <v>513</v>
      </c>
      <c r="J25" s="1090">
        <f t="shared" si="10"/>
        <v>24331</v>
      </c>
      <c r="K25" s="1090">
        <f t="shared" si="10"/>
        <v>95</v>
      </c>
      <c r="L25" s="1091">
        <f t="shared" si="10"/>
        <v>0</v>
      </c>
      <c r="M25" s="1092">
        <f>SUM(M26:M31)</f>
        <v>0</v>
      </c>
      <c r="N25" s="706"/>
      <c r="O25" s="1089">
        <f>SUM(O26:O31)</f>
        <v>923</v>
      </c>
      <c r="P25" s="1093">
        <f>SUM(P26:P31)</f>
        <v>39048</v>
      </c>
      <c r="R25" s="25">
        <f t="shared" si="4"/>
        <v>18</v>
      </c>
      <c r="S25" s="37" t="s">
        <v>60</v>
      </c>
      <c r="T25" s="89"/>
      <c r="U25" s="87"/>
      <c r="V25" s="87"/>
      <c r="W25" s="87"/>
      <c r="X25" s="65"/>
      <c r="Y25" s="66"/>
      <c r="Z25" s="88"/>
      <c r="AA25" s="88"/>
      <c r="AB25" s="86"/>
      <c r="AC25" s="68"/>
      <c r="AD25" s="68"/>
      <c r="AE25" s="1036"/>
      <c r="AF25" s="89"/>
      <c r="AG25" s="68"/>
    </row>
    <row r="26" spans="1:33">
      <c r="A26" s="268">
        <v>20</v>
      </c>
      <c r="B26" s="194" t="s">
        <v>523</v>
      </c>
      <c r="C26" s="64">
        <v>2310</v>
      </c>
      <c r="D26" s="65">
        <v>2310</v>
      </c>
      <c r="E26" s="65">
        <v>0</v>
      </c>
      <c r="F26" s="65">
        <v>0</v>
      </c>
      <c r="G26" s="65">
        <f>C26+E26</f>
        <v>2310</v>
      </c>
      <c r="H26" s="65">
        <f>D26+F26</f>
        <v>2310</v>
      </c>
      <c r="I26" s="65">
        <v>0</v>
      </c>
      <c r="J26" s="270">
        <v>1574</v>
      </c>
      <c r="K26" s="65">
        <v>0</v>
      </c>
      <c r="L26" s="249">
        <f>G26-H26</f>
        <v>0</v>
      </c>
      <c r="M26" s="1040">
        <v>0</v>
      </c>
      <c r="N26" s="1036"/>
      <c r="O26" s="64">
        <v>0</v>
      </c>
      <c r="P26" s="68">
        <f t="shared" ref="P26:P31" si="11">H26+O26</f>
        <v>2310</v>
      </c>
      <c r="R26" s="46">
        <f t="shared" si="4"/>
        <v>19</v>
      </c>
      <c r="S26" s="47" t="s">
        <v>54</v>
      </c>
      <c r="T26" s="59">
        <v>38125</v>
      </c>
      <c r="U26" s="60">
        <v>38125</v>
      </c>
      <c r="V26" s="60">
        <v>0</v>
      </c>
      <c r="W26" s="60">
        <v>0</v>
      </c>
      <c r="X26" s="60">
        <v>38125</v>
      </c>
      <c r="Y26" s="61">
        <v>38125</v>
      </c>
      <c r="Z26" s="78" t="s">
        <v>513</v>
      </c>
      <c r="AA26" s="78">
        <v>24331</v>
      </c>
      <c r="AB26" s="62">
        <v>95</v>
      </c>
      <c r="AC26" s="63">
        <v>0</v>
      </c>
      <c r="AD26" s="63">
        <v>0</v>
      </c>
      <c r="AE26" s="1036"/>
      <c r="AF26" s="59">
        <v>923</v>
      </c>
      <c r="AG26" s="63">
        <v>39048</v>
      </c>
    </row>
    <row r="27" spans="1:33">
      <c r="A27" s="268">
        <v>21</v>
      </c>
      <c r="B27" s="194" t="s">
        <v>524</v>
      </c>
      <c r="C27" s="64">
        <v>27</v>
      </c>
      <c r="D27" s="65">
        <v>27</v>
      </c>
      <c r="E27" s="65">
        <v>0</v>
      </c>
      <c r="F27" s="65">
        <v>0</v>
      </c>
      <c r="G27" s="65">
        <f t="shared" ref="G27:H31" si="12">C27+E27</f>
        <v>27</v>
      </c>
      <c r="H27" s="65">
        <f t="shared" si="12"/>
        <v>27</v>
      </c>
      <c r="I27" s="65">
        <v>0</v>
      </c>
      <c r="J27" s="270">
        <v>0</v>
      </c>
      <c r="K27" s="65">
        <v>0</v>
      </c>
      <c r="L27" s="249">
        <f>G27-H27</f>
        <v>0</v>
      </c>
      <c r="M27" s="1040">
        <v>0</v>
      </c>
      <c r="N27" s="1036"/>
      <c r="O27" s="64">
        <v>0</v>
      </c>
      <c r="P27" s="68">
        <f t="shared" si="11"/>
        <v>27</v>
      </c>
      <c r="R27" s="25">
        <f t="shared" si="4"/>
        <v>20</v>
      </c>
      <c r="S27" s="37" t="s">
        <v>60</v>
      </c>
      <c r="T27" s="94"/>
      <c r="U27" s="92"/>
      <c r="V27" s="92"/>
      <c r="W27" s="92"/>
      <c r="X27" s="65"/>
      <c r="Y27" s="66"/>
      <c r="Z27" s="93"/>
      <c r="AA27" s="93"/>
      <c r="AB27" s="91"/>
      <c r="AC27" s="68"/>
      <c r="AD27" s="68"/>
      <c r="AE27" s="1036"/>
      <c r="AF27" s="94"/>
      <c r="AG27" s="68"/>
    </row>
    <row r="28" spans="1:33">
      <c r="A28" s="268">
        <v>22</v>
      </c>
      <c r="B28" s="194" t="s">
        <v>525</v>
      </c>
      <c r="C28" s="64">
        <v>719</v>
      </c>
      <c r="D28" s="65">
        <v>719</v>
      </c>
      <c r="E28" s="65">
        <v>0</v>
      </c>
      <c r="F28" s="65">
        <v>0</v>
      </c>
      <c r="G28" s="65">
        <f t="shared" si="12"/>
        <v>719</v>
      </c>
      <c r="H28" s="65">
        <f t="shared" si="12"/>
        <v>719</v>
      </c>
      <c r="I28" s="65">
        <v>0</v>
      </c>
      <c r="J28" s="270">
        <v>0</v>
      </c>
      <c r="K28" s="65">
        <v>0</v>
      </c>
      <c r="L28" s="249">
        <f>G28-H28</f>
        <v>0</v>
      </c>
      <c r="M28" s="1040">
        <v>0</v>
      </c>
      <c r="N28" s="1036"/>
      <c r="O28" s="64">
        <v>0</v>
      </c>
      <c r="P28" s="68">
        <f t="shared" si="11"/>
        <v>719</v>
      </c>
      <c r="R28" s="24">
        <f t="shared" si="4"/>
        <v>21</v>
      </c>
      <c r="S28" s="38" t="s">
        <v>27</v>
      </c>
      <c r="T28" s="70">
        <v>884</v>
      </c>
      <c r="U28" s="71">
        <v>884</v>
      </c>
      <c r="V28" s="71">
        <v>0</v>
      </c>
      <c r="W28" s="71">
        <v>0</v>
      </c>
      <c r="X28" s="71">
        <v>884</v>
      </c>
      <c r="Y28" s="72">
        <v>884</v>
      </c>
      <c r="Z28" s="90" t="s">
        <v>513</v>
      </c>
      <c r="AA28" s="90">
        <v>0</v>
      </c>
      <c r="AB28" s="73">
        <v>0</v>
      </c>
      <c r="AC28" s="74">
        <v>0</v>
      </c>
      <c r="AD28" s="74">
        <v>0</v>
      </c>
      <c r="AE28" s="1036"/>
      <c r="AF28" s="70">
        <v>0</v>
      </c>
      <c r="AG28" s="74">
        <v>884</v>
      </c>
    </row>
    <row r="29" spans="1:33">
      <c r="A29" s="268">
        <v>23</v>
      </c>
      <c r="B29" s="194" t="s">
        <v>526</v>
      </c>
      <c r="C29" s="64">
        <v>6285</v>
      </c>
      <c r="D29" s="65">
        <v>6285</v>
      </c>
      <c r="E29" s="65">
        <v>0</v>
      </c>
      <c r="F29" s="65">
        <v>0</v>
      </c>
      <c r="G29" s="65">
        <f t="shared" si="12"/>
        <v>6285</v>
      </c>
      <c r="H29" s="65">
        <f t="shared" si="12"/>
        <v>6285</v>
      </c>
      <c r="I29" s="65">
        <v>0</v>
      </c>
      <c r="J29" s="270">
        <v>0</v>
      </c>
      <c r="K29" s="270">
        <v>95</v>
      </c>
      <c r="L29" s="249">
        <v>0</v>
      </c>
      <c r="M29" s="1040">
        <v>0</v>
      </c>
      <c r="N29" s="1036"/>
      <c r="O29" s="64">
        <v>0</v>
      </c>
      <c r="P29" s="68">
        <f t="shared" si="11"/>
        <v>6285</v>
      </c>
      <c r="R29" s="29">
        <f t="shared" si="4"/>
        <v>22</v>
      </c>
      <c r="S29" s="43" t="s">
        <v>34</v>
      </c>
      <c r="T29" s="59"/>
      <c r="U29" s="60"/>
      <c r="V29" s="60"/>
      <c r="W29" s="60"/>
      <c r="X29" s="60"/>
      <c r="Y29" s="61"/>
      <c r="Z29" s="78"/>
      <c r="AA29" s="78"/>
      <c r="AB29" s="62"/>
      <c r="AC29" s="63"/>
      <c r="AD29" s="63"/>
      <c r="AE29" s="1036"/>
      <c r="AF29" s="59"/>
      <c r="AG29" s="63"/>
    </row>
    <row r="30" spans="1:33">
      <c r="A30" s="268">
        <v>24</v>
      </c>
      <c r="B30" s="194" t="s">
        <v>527</v>
      </c>
      <c r="C30" s="64">
        <v>10503</v>
      </c>
      <c r="D30" s="65">
        <v>10503</v>
      </c>
      <c r="E30" s="65">
        <v>0</v>
      </c>
      <c r="F30" s="65">
        <v>0</v>
      </c>
      <c r="G30" s="65">
        <f t="shared" si="12"/>
        <v>10503</v>
      </c>
      <c r="H30" s="65">
        <f t="shared" si="12"/>
        <v>10503</v>
      </c>
      <c r="I30" s="65">
        <v>0</v>
      </c>
      <c r="J30" s="270">
        <v>7776</v>
      </c>
      <c r="K30" s="270">
        <v>0</v>
      </c>
      <c r="L30" s="249">
        <f>G30-H30</f>
        <v>0</v>
      </c>
      <c r="M30" s="1040">
        <v>0</v>
      </c>
      <c r="N30" s="1036"/>
      <c r="O30" s="64">
        <v>361</v>
      </c>
      <c r="P30" s="68">
        <f t="shared" si="11"/>
        <v>10864</v>
      </c>
      <c r="R30" s="25">
        <f t="shared" si="4"/>
        <v>23</v>
      </c>
      <c r="S30" s="37" t="s">
        <v>60</v>
      </c>
      <c r="T30" s="94"/>
      <c r="U30" s="92"/>
      <c r="V30" s="92"/>
      <c r="W30" s="92"/>
      <c r="X30" s="65"/>
      <c r="Y30" s="66"/>
      <c r="Z30" s="93"/>
      <c r="AA30" s="93"/>
      <c r="AB30" s="91"/>
      <c r="AC30" s="68"/>
      <c r="AD30" s="68"/>
      <c r="AE30" s="1036"/>
      <c r="AF30" s="94"/>
      <c r="AG30" s="68"/>
    </row>
    <row r="31" spans="1:33">
      <c r="A31" s="268">
        <v>25</v>
      </c>
      <c r="B31" s="194" t="s">
        <v>528</v>
      </c>
      <c r="C31" s="64">
        <v>18281</v>
      </c>
      <c r="D31" s="65">
        <v>18281</v>
      </c>
      <c r="E31" s="65">
        <v>0</v>
      </c>
      <c r="F31" s="65">
        <v>0</v>
      </c>
      <c r="G31" s="65">
        <f t="shared" si="12"/>
        <v>18281</v>
      </c>
      <c r="H31" s="65">
        <f t="shared" si="12"/>
        <v>18281</v>
      </c>
      <c r="I31" s="65">
        <v>0</v>
      </c>
      <c r="J31" s="270">
        <v>14981</v>
      </c>
      <c r="K31" s="65">
        <v>0</v>
      </c>
      <c r="L31" s="249">
        <f>G31-H31</f>
        <v>0</v>
      </c>
      <c r="M31" s="1040">
        <v>0</v>
      </c>
      <c r="N31" s="1036"/>
      <c r="O31" s="64">
        <v>562</v>
      </c>
      <c r="P31" s="68">
        <f t="shared" si="11"/>
        <v>18843</v>
      </c>
      <c r="R31" s="24">
        <f t="shared" si="4"/>
        <v>24</v>
      </c>
      <c r="S31" s="38" t="s">
        <v>32</v>
      </c>
      <c r="T31" s="70">
        <v>16744</v>
      </c>
      <c r="U31" s="71">
        <v>16744</v>
      </c>
      <c r="V31" s="71">
        <v>806</v>
      </c>
      <c r="W31" s="71">
        <v>806</v>
      </c>
      <c r="X31" s="71">
        <v>17756</v>
      </c>
      <c r="Y31" s="72">
        <v>17756</v>
      </c>
      <c r="Z31" s="90" t="s">
        <v>513</v>
      </c>
      <c r="AA31" s="90">
        <v>0</v>
      </c>
      <c r="AB31" s="73">
        <v>0</v>
      </c>
      <c r="AC31" s="74">
        <v>0</v>
      </c>
      <c r="AD31" s="74">
        <v>0</v>
      </c>
      <c r="AE31" s="1036"/>
      <c r="AF31" s="70">
        <v>0</v>
      </c>
      <c r="AG31" s="74">
        <v>17756</v>
      </c>
    </row>
    <row r="32" spans="1:33">
      <c r="A32" s="264">
        <v>26</v>
      </c>
      <c r="B32" s="1102" t="s">
        <v>529</v>
      </c>
      <c r="C32" s="1089">
        <f t="shared" ref="C32:H32" si="13">C33</f>
        <v>12162</v>
      </c>
      <c r="D32" s="1090">
        <f t="shared" si="13"/>
        <v>12161.7</v>
      </c>
      <c r="E32" s="1090">
        <f t="shared" si="13"/>
        <v>0</v>
      </c>
      <c r="F32" s="1090">
        <f t="shared" si="13"/>
        <v>0</v>
      </c>
      <c r="G32" s="1090">
        <f t="shared" si="13"/>
        <v>12162</v>
      </c>
      <c r="H32" s="1090">
        <f t="shared" si="13"/>
        <v>12161.7</v>
      </c>
      <c r="I32" s="1090" t="s">
        <v>513</v>
      </c>
      <c r="J32" s="1090">
        <f>J33</f>
        <v>1190</v>
      </c>
      <c r="K32" s="1090">
        <f>K33</f>
        <v>225</v>
      </c>
      <c r="L32" s="1091">
        <f>L33</f>
        <v>0.2999999999992724</v>
      </c>
      <c r="M32" s="1092">
        <f>SUM(M33)</f>
        <v>0</v>
      </c>
      <c r="N32" s="706"/>
      <c r="O32" s="1089">
        <f>O33</f>
        <v>0</v>
      </c>
      <c r="P32" s="1093">
        <f>P33</f>
        <v>12161.7</v>
      </c>
      <c r="R32" s="46">
        <f t="shared" si="4"/>
        <v>25</v>
      </c>
      <c r="S32" s="47" t="s">
        <v>39</v>
      </c>
      <c r="T32" s="59"/>
      <c r="U32" s="60"/>
      <c r="V32" s="60"/>
      <c r="W32" s="60"/>
      <c r="X32" s="60"/>
      <c r="Y32" s="61"/>
      <c r="Z32" s="78"/>
      <c r="AA32" s="78"/>
      <c r="AB32" s="62"/>
      <c r="AC32" s="63"/>
      <c r="AD32" s="63"/>
      <c r="AE32" s="1036"/>
      <c r="AF32" s="59"/>
      <c r="AG32" s="63"/>
    </row>
    <row r="33" spans="1:33" ht="15.75" thickBot="1">
      <c r="A33" s="334">
        <v>27</v>
      </c>
      <c r="B33" s="194" t="s">
        <v>530</v>
      </c>
      <c r="C33" s="89">
        <v>12162</v>
      </c>
      <c r="D33" s="87">
        <v>12161.7</v>
      </c>
      <c r="E33" s="65">
        <v>0</v>
      </c>
      <c r="F33" s="87">
        <v>0</v>
      </c>
      <c r="G33" s="65">
        <f>+C33+E33</f>
        <v>12162</v>
      </c>
      <c r="H33" s="65">
        <f>+D33+F33</f>
        <v>12161.7</v>
      </c>
      <c r="I33" s="87">
        <v>0</v>
      </c>
      <c r="J33" s="342">
        <v>1190</v>
      </c>
      <c r="K33" s="1072">
        <v>225</v>
      </c>
      <c r="L33" s="249">
        <f>G33-H33</f>
        <v>0.2999999999992724</v>
      </c>
      <c r="M33" s="1040">
        <v>0</v>
      </c>
      <c r="N33" s="1036"/>
      <c r="O33" s="89">
        <v>0</v>
      </c>
      <c r="P33" s="68">
        <f t="shared" si="3"/>
        <v>12161.7</v>
      </c>
      <c r="R33" s="25">
        <f t="shared" si="4"/>
        <v>26</v>
      </c>
      <c r="S33" s="37" t="s">
        <v>60</v>
      </c>
      <c r="T33" s="89"/>
      <c r="U33" s="87"/>
      <c r="V33" s="87"/>
      <c r="W33" s="87"/>
      <c r="X33" s="65"/>
      <c r="Y33" s="66"/>
      <c r="Z33" s="88"/>
      <c r="AA33" s="88"/>
      <c r="AB33" s="86"/>
      <c r="AC33" s="68"/>
      <c r="AD33" s="68"/>
      <c r="AE33" s="1036"/>
      <c r="AF33" s="89"/>
      <c r="AG33" s="68"/>
    </row>
    <row r="34" spans="1:33" ht="15.75" thickBot="1">
      <c r="A34" s="334">
        <v>28</v>
      </c>
      <c r="B34" s="1102" t="s">
        <v>531</v>
      </c>
      <c r="C34" s="1103">
        <f>+C35+C36</f>
        <v>342</v>
      </c>
      <c r="D34" s="1090">
        <f>+D35+D36</f>
        <v>342</v>
      </c>
      <c r="E34" s="1104">
        <v>0</v>
      </c>
      <c r="F34" s="1090">
        <v>0</v>
      </c>
      <c r="G34" s="1104">
        <f t="shared" ref="G34:H36" si="14">+C34+E34</f>
        <v>342</v>
      </c>
      <c r="H34" s="1091">
        <f t="shared" si="14"/>
        <v>342</v>
      </c>
      <c r="I34" s="1091" t="s">
        <v>513</v>
      </c>
      <c r="J34" s="1090">
        <f>+J35</f>
        <v>0</v>
      </c>
      <c r="K34" s="1090">
        <f>+K35</f>
        <v>0</v>
      </c>
      <c r="L34" s="1091">
        <f>G34-H34</f>
        <v>0</v>
      </c>
      <c r="M34" s="1092">
        <f>SUM(M35:M36)</f>
        <v>0</v>
      </c>
      <c r="N34" s="1036"/>
      <c r="O34" s="1090">
        <f>+O35</f>
        <v>0</v>
      </c>
      <c r="P34" s="1090">
        <f t="shared" si="3"/>
        <v>342</v>
      </c>
      <c r="R34" s="31">
        <f t="shared" si="4"/>
        <v>27</v>
      </c>
      <c r="S34" s="39" t="s">
        <v>23</v>
      </c>
      <c r="T34" s="95">
        <v>306494</v>
      </c>
      <c r="U34" s="96">
        <v>306373.7</v>
      </c>
      <c r="V34" s="96">
        <v>806</v>
      </c>
      <c r="W34" s="96">
        <v>806</v>
      </c>
      <c r="X34" s="96">
        <v>307506</v>
      </c>
      <c r="Y34" s="97">
        <v>307385.7</v>
      </c>
      <c r="Z34" s="98" t="s">
        <v>513</v>
      </c>
      <c r="AA34" s="98">
        <v>35986</v>
      </c>
      <c r="AB34" s="99">
        <v>696</v>
      </c>
      <c r="AC34" s="100">
        <v>31.799999999999272</v>
      </c>
      <c r="AD34" s="100">
        <v>32</v>
      </c>
      <c r="AE34" s="101"/>
      <c r="AF34" s="95">
        <v>3413</v>
      </c>
      <c r="AG34" s="100">
        <v>310798.7</v>
      </c>
    </row>
    <row r="35" spans="1:33">
      <c r="A35" s="334">
        <v>29</v>
      </c>
      <c r="B35" s="194" t="s">
        <v>532</v>
      </c>
      <c r="C35" s="89">
        <f>17+34</f>
        <v>51</v>
      </c>
      <c r="D35" s="87">
        <f>51</f>
        <v>51</v>
      </c>
      <c r="E35" s="87">
        <v>0</v>
      </c>
      <c r="F35" s="87">
        <v>0</v>
      </c>
      <c r="G35" s="65">
        <f>+C35+E35</f>
        <v>51</v>
      </c>
      <c r="H35" s="65">
        <f t="shared" si="14"/>
        <v>51</v>
      </c>
      <c r="I35" s="87">
        <v>0</v>
      </c>
      <c r="J35" s="342">
        <v>0</v>
      </c>
      <c r="K35" s="1105">
        <v>0</v>
      </c>
      <c r="L35" s="249">
        <f>G35-H35</f>
        <v>0</v>
      </c>
      <c r="M35" s="1040">
        <v>0</v>
      </c>
      <c r="N35" s="1036"/>
      <c r="O35" s="89">
        <v>0</v>
      </c>
      <c r="P35" s="68">
        <f t="shared" si="3"/>
        <v>51</v>
      </c>
    </row>
    <row r="36" spans="1:33">
      <c r="A36" s="334">
        <v>30</v>
      </c>
      <c r="B36" s="194" t="s">
        <v>533</v>
      </c>
      <c r="C36" s="89">
        <v>291</v>
      </c>
      <c r="D36" s="87">
        <v>291</v>
      </c>
      <c r="E36" s="87">
        <v>0</v>
      </c>
      <c r="F36" s="87">
        <v>0</v>
      </c>
      <c r="G36" s="65">
        <f>+C36+E36</f>
        <v>291</v>
      </c>
      <c r="H36" s="65">
        <f t="shared" si="14"/>
        <v>291</v>
      </c>
      <c r="I36" s="87">
        <v>0</v>
      </c>
      <c r="J36" s="342">
        <v>0</v>
      </c>
      <c r="K36" s="1105">
        <v>0</v>
      </c>
      <c r="L36" s="249">
        <f>G36-H36</f>
        <v>0</v>
      </c>
      <c r="M36" s="1040">
        <v>0</v>
      </c>
      <c r="N36" s="1036"/>
      <c r="O36" s="89">
        <v>0</v>
      </c>
      <c r="P36" s="68">
        <f t="shared" si="3"/>
        <v>291</v>
      </c>
    </row>
    <row r="37" spans="1:33">
      <c r="A37" s="24">
        <v>31</v>
      </c>
      <c r="B37" s="38" t="s">
        <v>27</v>
      </c>
      <c r="C37" s="261">
        <f>+C38</f>
        <v>884</v>
      </c>
      <c r="D37" s="256">
        <f t="shared" ref="D37:O38" si="15">+D38</f>
        <v>884</v>
      </c>
      <c r="E37" s="256">
        <f t="shared" si="15"/>
        <v>0</v>
      </c>
      <c r="F37" s="256">
        <f t="shared" si="15"/>
        <v>0</v>
      </c>
      <c r="G37" s="256">
        <f>+C37+E37</f>
        <v>884</v>
      </c>
      <c r="H37" s="256">
        <f>+D37+F37</f>
        <v>884</v>
      </c>
      <c r="I37" s="256" t="s">
        <v>513</v>
      </c>
      <c r="J37" s="256">
        <f>+J38</f>
        <v>0</v>
      </c>
      <c r="K37" s="256">
        <f>+K38</f>
        <v>0</v>
      </c>
      <c r="L37" s="257">
        <f>+G37-H37</f>
        <v>0</v>
      </c>
      <c r="M37" s="263">
        <f>SUM(M38)</f>
        <v>0</v>
      </c>
      <c r="N37" s="706"/>
      <c r="O37" s="261">
        <f>+O38</f>
        <v>0</v>
      </c>
      <c r="P37" s="275">
        <f>H37+O37</f>
        <v>884</v>
      </c>
    </row>
    <row r="38" spans="1:33">
      <c r="A38" s="29">
        <v>32</v>
      </c>
      <c r="B38" s="1088" t="s">
        <v>34</v>
      </c>
      <c r="C38" s="1089">
        <f>+C39</f>
        <v>884</v>
      </c>
      <c r="D38" s="1090">
        <f t="shared" si="15"/>
        <v>884</v>
      </c>
      <c r="E38" s="1090">
        <f t="shared" si="15"/>
        <v>0</v>
      </c>
      <c r="F38" s="1090">
        <f t="shared" si="15"/>
        <v>0</v>
      </c>
      <c r="G38" s="1090">
        <f t="shared" si="15"/>
        <v>884</v>
      </c>
      <c r="H38" s="1090">
        <f t="shared" si="15"/>
        <v>884</v>
      </c>
      <c r="I38" s="1090" t="s">
        <v>513</v>
      </c>
      <c r="J38" s="1090">
        <f t="shared" si="15"/>
        <v>0</v>
      </c>
      <c r="K38" s="1090">
        <f t="shared" si="15"/>
        <v>0</v>
      </c>
      <c r="L38" s="1091">
        <f t="shared" si="15"/>
        <v>0</v>
      </c>
      <c r="M38" s="1092">
        <f>SUM(M39)</f>
        <v>0</v>
      </c>
      <c r="N38" s="706"/>
      <c r="O38" s="1089">
        <f t="shared" si="15"/>
        <v>0</v>
      </c>
      <c r="P38" s="1093">
        <f t="shared" si="3"/>
        <v>884</v>
      </c>
    </row>
    <row r="39" spans="1:33">
      <c r="A39" s="334">
        <v>33</v>
      </c>
      <c r="B39" s="36" t="s">
        <v>534</v>
      </c>
      <c r="C39" s="89">
        <v>884</v>
      </c>
      <c r="D39" s="87">
        <v>884</v>
      </c>
      <c r="E39" s="87">
        <v>0</v>
      </c>
      <c r="F39" s="87">
        <v>0</v>
      </c>
      <c r="G39" s="65">
        <f>+C39+E39</f>
        <v>884</v>
      </c>
      <c r="H39" s="65">
        <f>+D39+F39</f>
        <v>884</v>
      </c>
      <c r="I39" s="87">
        <v>0</v>
      </c>
      <c r="J39" s="87">
        <v>0</v>
      </c>
      <c r="K39" s="87">
        <v>0</v>
      </c>
      <c r="L39" s="249">
        <f>+G39-H39</f>
        <v>0</v>
      </c>
      <c r="M39" s="1040">
        <v>0</v>
      </c>
      <c r="N39" s="1036"/>
      <c r="O39" s="89">
        <v>0</v>
      </c>
      <c r="P39" s="68">
        <f t="shared" si="3"/>
        <v>884</v>
      </c>
    </row>
    <row r="40" spans="1:33">
      <c r="A40" s="24">
        <v>34</v>
      </c>
      <c r="B40" s="38" t="s">
        <v>32</v>
      </c>
      <c r="C40" s="255">
        <f>C41+C44+C49</f>
        <v>16744</v>
      </c>
      <c r="D40" s="256">
        <f>D41+D44+D49</f>
        <v>16744</v>
      </c>
      <c r="E40" s="256">
        <f t="shared" ref="E40:O40" si="16">E41+E44</f>
        <v>806</v>
      </c>
      <c r="F40" s="256">
        <f t="shared" si="16"/>
        <v>806</v>
      </c>
      <c r="G40" s="256">
        <f>G41+G44+G49</f>
        <v>17550</v>
      </c>
      <c r="H40" s="256">
        <f>H41+H44+H49</f>
        <v>17550</v>
      </c>
      <c r="I40" s="256" t="s">
        <v>513</v>
      </c>
      <c r="J40" s="256">
        <f t="shared" si="16"/>
        <v>0</v>
      </c>
      <c r="K40" s="256">
        <f t="shared" si="16"/>
        <v>0</v>
      </c>
      <c r="L40" s="257">
        <f t="shared" si="16"/>
        <v>0</v>
      </c>
      <c r="M40" s="263">
        <f>SUM(M49+M45+M41)</f>
        <v>0</v>
      </c>
      <c r="N40" s="1101"/>
      <c r="O40" s="261">
        <f t="shared" si="16"/>
        <v>0</v>
      </c>
      <c r="P40" s="275">
        <f>P41+P44+P49</f>
        <v>17756</v>
      </c>
    </row>
    <row r="41" spans="1:33">
      <c r="A41" s="264">
        <v>35</v>
      </c>
      <c r="B41" s="1088" t="s">
        <v>535</v>
      </c>
      <c r="C41" s="1103">
        <f>+C42+C43</f>
        <v>7342</v>
      </c>
      <c r="D41" s="1091">
        <f t="shared" ref="D41:L41" si="17">+D42+D43</f>
        <v>7342</v>
      </c>
      <c r="E41" s="1090">
        <f t="shared" si="17"/>
        <v>806</v>
      </c>
      <c r="F41" s="1090">
        <f t="shared" si="17"/>
        <v>806</v>
      </c>
      <c r="G41" s="1091">
        <f t="shared" si="17"/>
        <v>8148</v>
      </c>
      <c r="H41" s="1091">
        <f t="shared" si="17"/>
        <v>8148</v>
      </c>
      <c r="I41" s="1091">
        <f t="shared" si="17"/>
        <v>0</v>
      </c>
      <c r="J41" s="1091">
        <f t="shared" si="17"/>
        <v>0</v>
      </c>
      <c r="K41" s="1091">
        <f t="shared" si="17"/>
        <v>0</v>
      </c>
      <c r="L41" s="1091">
        <f t="shared" si="17"/>
        <v>0</v>
      </c>
      <c r="M41" s="1092">
        <f>SUM(M42:M43)</f>
        <v>0</v>
      </c>
      <c r="N41" s="706"/>
      <c r="O41" s="1089">
        <f>+O42</f>
        <v>0</v>
      </c>
      <c r="P41" s="1093">
        <f t="shared" si="3"/>
        <v>8148</v>
      </c>
    </row>
    <row r="42" spans="1:33">
      <c r="A42" s="334">
        <v>36</v>
      </c>
      <c r="B42" s="1106" t="s">
        <v>536</v>
      </c>
      <c r="C42" s="1057">
        <v>7179</v>
      </c>
      <c r="D42" s="87">
        <v>7179</v>
      </c>
      <c r="E42" s="87">
        <v>806</v>
      </c>
      <c r="F42" s="87">
        <v>806</v>
      </c>
      <c r="G42" s="65">
        <f>C42+E42</f>
        <v>7985</v>
      </c>
      <c r="H42" s="65">
        <f>D42+F42</f>
        <v>7985</v>
      </c>
      <c r="I42" s="87">
        <v>0</v>
      </c>
      <c r="J42" s="87">
        <v>0</v>
      </c>
      <c r="K42" s="87">
        <v>0</v>
      </c>
      <c r="L42" s="249">
        <f>+G42-H42</f>
        <v>0</v>
      </c>
      <c r="M42" s="1040">
        <v>0</v>
      </c>
      <c r="N42" s="1036"/>
      <c r="O42" s="89">
        <v>0</v>
      </c>
      <c r="P42" s="68">
        <f t="shared" si="3"/>
        <v>7985</v>
      </c>
    </row>
    <row r="43" spans="1:33">
      <c r="A43" s="334">
        <v>39</v>
      </c>
      <c r="B43" s="239" t="s">
        <v>537</v>
      </c>
      <c r="C43" s="1057">
        <v>163</v>
      </c>
      <c r="D43" s="87">
        <v>163</v>
      </c>
      <c r="E43" s="87">
        <v>0</v>
      </c>
      <c r="F43" s="87">
        <v>0</v>
      </c>
      <c r="G43" s="65">
        <v>163</v>
      </c>
      <c r="H43" s="65">
        <v>163</v>
      </c>
      <c r="I43" s="87">
        <v>0</v>
      </c>
      <c r="J43" s="87">
        <v>0</v>
      </c>
      <c r="K43" s="87">
        <v>0</v>
      </c>
      <c r="L43" s="249">
        <v>0</v>
      </c>
      <c r="M43" s="1040">
        <v>0</v>
      </c>
      <c r="N43" s="1036"/>
      <c r="O43" s="89">
        <v>0</v>
      </c>
      <c r="P43" s="68">
        <f t="shared" si="3"/>
        <v>163</v>
      </c>
    </row>
    <row r="44" spans="1:33">
      <c r="A44" s="264">
        <v>40</v>
      </c>
      <c r="B44" s="1102" t="s">
        <v>538</v>
      </c>
      <c r="C44" s="1107">
        <f>+C45+C46+C48</f>
        <v>9299</v>
      </c>
      <c r="D44" s="1108">
        <f>+D45+D46+D48</f>
        <v>9299</v>
      </c>
      <c r="E44" s="1108">
        <f>SUM(E45:E52)</f>
        <v>0</v>
      </c>
      <c r="F44" s="1108">
        <f>SUM(F45:F52)</f>
        <v>0</v>
      </c>
      <c r="G44" s="1108">
        <f>SUM(G45:G48)</f>
        <v>9299</v>
      </c>
      <c r="H44" s="1108">
        <f>SUM(H45:H48)</f>
        <v>9299</v>
      </c>
      <c r="I44" s="1108" t="s">
        <v>513</v>
      </c>
      <c r="J44" s="1108">
        <f>SUM(J45:J52)</f>
        <v>0</v>
      </c>
      <c r="K44" s="1108">
        <f>SUM(K45:K52)</f>
        <v>0</v>
      </c>
      <c r="L44" s="1109">
        <f>SUM(L45:L52)</f>
        <v>0</v>
      </c>
      <c r="M44" s="1110">
        <f>SUM(M45:M48)</f>
        <v>0</v>
      </c>
      <c r="N44" s="706"/>
      <c r="O44" s="1111">
        <f>SUM(O45:O52)</f>
        <v>0</v>
      </c>
      <c r="P44" s="1112">
        <f>SUM(P45:P52)</f>
        <v>9505</v>
      </c>
    </row>
    <row r="45" spans="1:33">
      <c r="A45" s="25">
        <v>41</v>
      </c>
      <c r="B45" s="1106" t="s">
        <v>539</v>
      </c>
      <c r="C45" s="1057">
        <f>9143</f>
        <v>9143</v>
      </c>
      <c r="D45" s="87">
        <f>9143</f>
        <v>9143</v>
      </c>
      <c r="E45" s="87">
        <v>0</v>
      </c>
      <c r="F45" s="87">
        <v>0</v>
      </c>
      <c r="G45" s="65">
        <f>C45+E45</f>
        <v>9143</v>
      </c>
      <c r="H45" s="65">
        <f>D45+F45</f>
        <v>9143</v>
      </c>
      <c r="I45" s="87">
        <v>0</v>
      </c>
      <c r="J45" s="87">
        <v>0</v>
      </c>
      <c r="K45" s="87">
        <v>0</v>
      </c>
      <c r="L45" s="249">
        <f>+G45-H45</f>
        <v>0</v>
      </c>
      <c r="M45" s="1040">
        <v>0</v>
      </c>
      <c r="N45" s="1036"/>
      <c r="O45" s="89">
        <v>0</v>
      </c>
      <c r="P45" s="68">
        <f t="shared" si="3"/>
        <v>9143</v>
      </c>
    </row>
    <row r="46" spans="1:33">
      <c r="A46" s="25">
        <v>42</v>
      </c>
      <c r="B46" s="1106" t="s">
        <v>540</v>
      </c>
      <c r="C46" s="1057">
        <v>48</v>
      </c>
      <c r="D46" s="87">
        <v>48</v>
      </c>
      <c r="E46" s="87">
        <v>0</v>
      </c>
      <c r="F46" s="87">
        <v>0</v>
      </c>
      <c r="G46" s="65">
        <f t="shared" ref="G46:H48" si="18">C46+E46</f>
        <v>48</v>
      </c>
      <c r="H46" s="65">
        <f t="shared" si="18"/>
        <v>48</v>
      </c>
      <c r="I46" s="87">
        <v>0</v>
      </c>
      <c r="J46" s="87">
        <v>0</v>
      </c>
      <c r="K46" s="87">
        <v>0</v>
      </c>
      <c r="L46" s="249">
        <f>+G46-H46</f>
        <v>0</v>
      </c>
      <c r="M46" s="1040">
        <v>0</v>
      </c>
      <c r="N46" s="1036"/>
      <c r="O46" s="89">
        <v>0</v>
      </c>
      <c r="P46" s="68">
        <f t="shared" si="3"/>
        <v>48</v>
      </c>
    </row>
    <row r="47" spans="1:33">
      <c r="A47" s="1113">
        <v>39</v>
      </c>
      <c r="B47" s="1114" t="s">
        <v>541</v>
      </c>
      <c r="C47" s="1115">
        <v>0</v>
      </c>
      <c r="D47" s="92">
        <v>0</v>
      </c>
      <c r="E47" s="92">
        <v>0</v>
      </c>
      <c r="F47" s="92">
        <v>0</v>
      </c>
      <c r="G47" s="65">
        <f t="shared" si="18"/>
        <v>0</v>
      </c>
      <c r="H47" s="65">
        <f t="shared" si="18"/>
        <v>0</v>
      </c>
      <c r="I47" s="92">
        <v>0</v>
      </c>
      <c r="J47" s="92">
        <v>0</v>
      </c>
      <c r="K47" s="92">
        <v>0</v>
      </c>
      <c r="L47" s="249">
        <f>+G47-H47</f>
        <v>0</v>
      </c>
      <c r="M47" s="1040"/>
      <c r="N47" s="1036"/>
      <c r="O47" s="89">
        <v>0</v>
      </c>
      <c r="P47" s="68">
        <f t="shared" si="3"/>
        <v>0</v>
      </c>
    </row>
    <row r="48" spans="1:33">
      <c r="A48" s="1113">
        <v>43</v>
      </c>
      <c r="B48" s="1114" t="s">
        <v>542</v>
      </c>
      <c r="C48" s="1115">
        <v>108</v>
      </c>
      <c r="D48" s="92">
        <v>108</v>
      </c>
      <c r="E48" s="91">
        <v>0</v>
      </c>
      <c r="F48" s="91">
        <v>0</v>
      </c>
      <c r="G48" s="65">
        <f t="shared" si="18"/>
        <v>108</v>
      </c>
      <c r="H48" s="65">
        <f t="shared" si="18"/>
        <v>108</v>
      </c>
      <c r="I48" s="92">
        <v>0</v>
      </c>
      <c r="J48" s="92">
        <v>0</v>
      </c>
      <c r="K48" s="92">
        <v>0</v>
      </c>
      <c r="L48" s="249">
        <f>+G48-H48</f>
        <v>0</v>
      </c>
      <c r="M48" s="1040">
        <v>0</v>
      </c>
      <c r="N48" s="1036"/>
      <c r="O48" s="89">
        <v>0</v>
      </c>
      <c r="P48" s="68">
        <f t="shared" si="3"/>
        <v>108</v>
      </c>
    </row>
    <row r="49" spans="1:16">
      <c r="A49" s="1113">
        <v>44</v>
      </c>
      <c r="B49" s="1116" t="s">
        <v>543</v>
      </c>
      <c r="C49" s="1117">
        <f>C50</f>
        <v>103</v>
      </c>
      <c r="D49" s="1109">
        <f t="shared" ref="D49:L49" si="19">D50</f>
        <v>103</v>
      </c>
      <c r="E49" s="1108">
        <f t="shared" si="19"/>
        <v>0</v>
      </c>
      <c r="F49" s="1109">
        <f t="shared" si="19"/>
        <v>0</v>
      </c>
      <c r="G49" s="1109">
        <f t="shared" si="19"/>
        <v>103</v>
      </c>
      <c r="H49" s="1109">
        <f t="shared" si="19"/>
        <v>103</v>
      </c>
      <c r="I49" s="1108">
        <f t="shared" si="19"/>
        <v>0</v>
      </c>
      <c r="J49" s="1109">
        <f t="shared" si="19"/>
        <v>0</v>
      </c>
      <c r="K49" s="1109">
        <f t="shared" si="19"/>
        <v>0</v>
      </c>
      <c r="L49" s="1109">
        <f t="shared" si="19"/>
        <v>0</v>
      </c>
      <c r="M49" s="1110">
        <f>SUM(M50)</f>
        <v>0</v>
      </c>
      <c r="N49" s="706"/>
      <c r="O49" s="1091">
        <v>0</v>
      </c>
      <c r="P49" s="1093">
        <f t="shared" si="3"/>
        <v>103</v>
      </c>
    </row>
    <row r="50" spans="1:16" ht="15.75" thickBot="1">
      <c r="A50" s="1113">
        <v>45</v>
      </c>
      <c r="B50" s="239" t="s">
        <v>544</v>
      </c>
      <c r="C50" s="94">
        <v>103</v>
      </c>
      <c r="D50" s="92">
        <v>103</v>
      </c>
      <c r="E50" s="92">
        <v>0</v>
      </c>
      <c r="F50" s="92">
        <v>0</v>
      </c>
      <c r="G50" s="65">
        <v>103</v>
      </c>
      <c r="H50" s="65">
        <v>103</v>
      </c>
      <c r="I50" s="92"/>
      <c r="J50" s="92">
        <v>0</v>
      </c>
      <c r="K50" s="92">
        <v>0</v>
      </c>
      <c r="L50" s="249">
        <v>0</v>
      </c>
      <c r="M50" s="1118">
        <v>0</v>
      </c>
      <c r="N50" s="1036"/>
      <c r="O50" s="89">
        <v>0</v>
      </c>
      <c r="P50" s="68">
        <v>103</v>
      </c>
    </row>
    <row r="51" spans="1:16">
      <c r="A51" s="1113"/>
      <c r="B51" s="1114"/>
      <c r="C51" s="94"/>
      <c r="D51" s="92"/>
      <c r="E51" s="92"/>
      <c r="F51" s="92"/>
      <c r="G51" s="65"/>
      <c r="H51" s="65"/>
      <c r="I51" s="92"/>
      <c r="J51" s="92"/>
      <c r="K51" s="92"/>
      <c r="L51" s="249"/>
      <c r="M51" s="1119"/>
      <c r="N51" s="1036"/>
      <c r="O51" s="89"/>
      <c r="P51" s="68"/>
    </row>
    <row r="52" spans="1:16" ht="15.75" thickBot="1">
      <c r="A52" s="1113"/>
      <c r="B52" s="1114"/>
      <c r="C52" s="94"/>
      <c r="D52" s="92"/>
      <c r="E52" s="92"/>
      <c r="F52" s="92"/>
      <c r="G52" s="65"/>
      <c r="H52" s="65"/>
      <c r="I52" s="92"/>
      <c r="J52" s="92"/>
      <c r="K52" s="92"/>
      <c r="L52" s="249"/>
      <c r="M52" s="1119"/>
      <c r="N52" s="1036"/>
      <c r="O52" s="94"/>
      <c r="P52" s="69"/>
    </row>
    <row r="53" spans="1:16" ht="15.75" thickBot="1">
      <c r="A53" s="283">
        <v>46</v>
      </c>
      <c r="B53" s="39" t="s">
        <v>23</v>
      </c>
      <c r="C53" s="284">
        <f t="shared" ref="C53:H53" si="20">+C7+C20+C37+C40</f>
        <v>306494</v>
      </c>
      <c r="D53" s="285">
        <f t="shared" si="20"/>
        <v>306373.7</v>
      </c>
      <c r="E53" s="285">
        <f t="shared" si="20"/>
        <v>806</v>
      </c>
      <c r="F53" s="285">
        <f t="shared" si="20"/>
        <v>806</v>
      </c>
      <c r="G53" s="285">
        <f t="shared" si="20"/>
        <v>307300</v>
      </c>
      <c r="H53" s="285">
        <f t="shared" si="20"/>
        <v>307179.7</v>
      </c>
      <c r="I53" s="285" t="s">
        <v>513</v>
      </c>
      <c r="J53" s="285">
        <f>+J7+J20+J37+J40</f>
        <v>35986</v>
      </c>
      <c r="K53" s="285">
        <f>+K7+K20+K37+K40</f>
        <v>696</v>
      </c>
      <c r="L53" s="286">
        <f>+L7+L20+L37+L40</f>
        <v>31.799999999999272</v>
      </c>
      <c r="M53" s="1120">
        <f>SUM(M7+M20+M37+M40)</f>
        <v>32</v>
      </c>
      <c r="N53" s="290"/>
      <c r="O53" s="284">
        <f>+O7+O20+O37+O40</f>
        <v>3413</v>
      </c>
      <c r="P53" s="289">
        <f>+P7+P20+P37+P40</f>
        <v>310798.7</v>
      </c>
    </row>
  </sheetData>
  <mergeCells count="24">
    <mergeCell ref="A4:A6"/>
    <mergeCell ref="B4:B6"/>
    <mergeCell ref="C4:D4"/>
    <mergeCell ref="E4:F4"/>
    <mergeCell ref="G4:H4"/>
    <mergeCell ref="I4:I5"/>
    <mergeCell ref="J4:J5"/>
    <mergeCell ref="K4:K5"/>
    <mergeCell ref="L4:L5"/>
    <mergeCell ref="M4:M5"/>
    <mergeCell ref="O4:O5"/>
    <mergeCell ref="P4:P5"/>
    <mergeCell ref="R4:R6"/>
    <mergeCell ref="S4:S6"/>
    <mergeCell ref="T4:U4"/>
    <mergeCell ref="V4:W4"/>
    <mergeCell ref="X4:Y4"/>
    <mergeCell ref="Z4:Z5"/>
    <mergeCell ref="AA4:AA5"/>
    <mergeCell ref="AB4:AB5"/>
    <mergeCell ref="AC4:AC5"/>
    <mergeCell ref="AD4:AD5"/>
    <mergeCell ref="AF4:AF5"/>
    <mergeCell ref="AG4:AG5"/>
  </mergeCells>
  <pageMargins left="0.7" right="0.7" top="0.78740157499999996" bottom="0.78740157499999996" header="0.3" footer="0.3"/>
  <legacy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2"/>
  <dimension ref="A1:AG34"/>
  <sheetViews>
    <sheetView zoomScale="85" zoomScaleNormal="85" workbookViewId="0">
      <selection activeCell="H26" sqref="H26"/>
    </sheetView>
  </sheetViews>
  <sheetFormatPr defaultRowHeight="15"/>
  <cols>
    <col min="1" max="1" width="9.42578125" customWidth="1"/>
    <col min="2" max="2" width="45.85546875" customWidth="1"/>
    <col min="3" max="3" width="12.7109375" customWidth="1"/>
    <col min="4" max="4" width="11.5703125" customWidth="1"/>
    <col min="5" max="5" width="11.28515625" customWidth="1"/>
    <col min="6" max="6" width="11.5703125" customWidth="1"/>
    <col min="7" max="7" width="10.85546875" customWidth="1"/>
    <col min="8" max="9" width="10.42578125" customWidth="1"/>
    <col min="10" max="10" width="12.5703125" customWidth="1"/>
    <col min="11" max="11" width="10.5703125" customWidth="1"/>
    <col min="12" max="12" width="14" customWidth="1"/>
    <col min="13" max="13" width="12.42578125" customWidth="1"/>
    <col min="14" max="14" width="12.42578125" style="1" customWidth="1"/>
    <col min="15" max="15" width="11" customWidth="1"/>
    <col min="16" max="16" width="10.85546875" customWidth="1"/>
    <col min="18" max="18" width="9.42578125" hidden="1" customWidth="1"/>
    <col min="19" max="19" width="45.85546875" hidden="1" customWidth="1"/>
    <col min="20" max="20" width="12.7109375" hidden="1" customWidth="1"/>
    <col min="21" max="21" width="11.5703125" hidden="1" customWidth="1"/>
    <col min="22" max="22" width="11.28515625" hidden="1" customWidth="1"/>
    <col min="23" max="23" width="11.5703125" hidden="1" customWidth="1"/>
    <col min="24" max="25" width="12.140625" hidden="1" customWidth="1"/>
    <col min="26" max="26" width="10.42578125" hidden="1" customWidth="1"/>
    <col min="27" max="27" width="12.5703125" hidden="1" customWidth="1"/>
    <col min="28" max="28" width="10.5703125" hidden="1" customWidth="1"/>
    <col min="29" max="29" width="14" hidden="1" customWidth="1"/>
    <col min="30" max="30" width="12.42578125" hidden="1" customWidth="1"/>
    <col min="31" max="31" width="1.7109375" hidden="1" customWidth="1"/>
    <col min="32" max="32" width="11" hidden="1" customWidth="1"/>
    <col min="33" max="33" width="10.85546875" hidden="1" customWidth="1"/>
  </cols>
  <sheetData>
    <row r="1" spans="1:33" ht="15.75" customHeight="1">
      <c r="A1" s="102" t="s">
        <v>44</v>
      </c>
      <c r="B1" s="28"/>
      <c r="C1" s="20"/>
      <c r="D1" s="20"/>
      <c r="E1" s="20"/>
      <c r="F1" s="20"/>
      <c r="G1" s="20"/>
      <c r="H1" s="20"/>
      <c r="I1" s="20"/>
      <c r="J1" s="20"/>
      <c r="K1" s="20"/>
      <c r="L1" s="20"/>
      <c r="M1" s="20"/>
      <c r="O1" s="20"/>
      <c r="P1" s="20"/>
    </row>
    <row r="2" spans="1:33" ht="15.75">
      <c r="A2" s="3"/>
      <c r="B2" s="2" t="s">
        <v>43</v>
      </c>
      <c r="C2" s="20"/>
      <c r="D2" s="20"/>
      <c r="E2" s="20"/>
      <c r="F2" s="20"/>
      <c r="G2" s="20"/>
      <c r="H2" s="20"/>
      <c r="I2" s="20"/>
      <c r="J2" s="20"/>
      <c r="K2" s="20"/>
      <c r="L2" s="20"/>
      <c r="M2" s="20"/>
      <c r="O2" s="20"/>
      <c r="P2" s="20"/>
    </row>
    <row r="3" spans="1:33" ht="16.5" thickBot="1">
      <c r="A3" s="20"/>
      <c r="B3" s="19"/>
      <c r="C3" s="20"/>
      <c r="D3" s="20"/>
      <c r="E3" s="20"/>
      <c r="F3" s="20"/>
      <c r="G3" s="20"/>
      <c r="H3" s="20"/>
      <c r="I3" s="20"/>
      <c r="J3" s="20"/>
      <c r="K3" s="20"/>
      <c r="L3" s="20"/>
      <c r="M3" s="20"/>
      <c r="O3" s="20"/>
      <c r="P3" s="23" t="s">
        <v>2</v>
      </c>
    </row>
    <row r="4" spans="1:33" ht="15" customHeight="1">
      <c r="A4" s="1357" t="s">
        <v>1</v>
      </c>
      <c r="B4" s="1354" t="s">
        <v>46</v>
      </c>
      <c r="C4" s="1394" t="s">
        <v>18</v>
      </c>
      <c r="D4" s="1361"/>
      <c r="E4" s="1361" t="s">
        <v>19</v>
      </c>
      <c r="F4" s="1361"/>
      <c r="G4" s="1364" t="s">
        <v>20</v>
      </c>
      <c r="H4" s="1365"/>
      <c r="I4" s="1349" t="s">
        <v>47</v>
      </c>
      <c r="J4" s="1349" t="s">
        <v>48</v>
      </c>
      <c r="K4" s="1351" t="s">
        <v>49</v>
      </c>
      <c r="L4" s="1362" t="s">
        <v>117</v>
      </c>
      <c r="M4" s="1370" t="s">
        <v>118</v>
      </c>
      <c r="O4" s="1366" t="s">
        <v>65</v>
      </c>
      <c r="P4" s="1368" t="s">
        <v>21</v>
      </c>
      <c r="R4" s="1357" t="s">
        <v>1</v>
      </c>
      <c r="S4" s="1354" t="s">
        <v>46</v>
      </c>
      <c r="T4" s="1360" t="s">
        <v>18</v>
      </c>
      <c r="U4" s="1361"/>
      <c r="V4" s="1361" t="s">
        <v>19</v>
      </c>
      <c r="W4" s="1361"/>
      <c r="X4" s="1364" t="s">
        <v>20</v>
      </c>
      <c r="Y4" s="1365"/>
      <c r="Z4" s="1349" t="s">
        <v>47</v>
      </c>
      <c r="AA4" s="1349" t="s">
        <v>48</v>
      </c>
      <c r="AB4" s="1351" t="s">
        <v>49</v>
      </c>
      <c r="AC4" s="1362" t="s">
        <v>62</v>
      </c>
      <c r="AD4" s="1370" t="s">
        <v>69</v>
      </c>
      <c r="AE4" s="1037"/>
      <c r="AF4" s="1366" t="s">
        <v>65</v>
      </c>
      <c r="AG4" s="1368" t="s">
        <v>21</v>
      </c>
    </row>
    <row r="5" spans="1:33">
      <c r="A5" s="1358"/>
      <c r="B5" s="1355"/>
      <c r="C5" s="10" t="s">
        <v>26</v>
      </c>
      <c r="D5" s="11" t="s">
        <v>50</v>
      </c>
      <c r="E5" s="10" t="s">
        <v>12</v>
      </c>
      <c r="F5" s="11" t="s">
        <v>16</v>
      </c>
      <c r="G5" s="11" t="s">
        <v>12</v>
      </c>
      <c r="H5" s="33" t="s">
        <v>16</v>
      </c>
      <c r="I5" s="1350"/>
      <c r="J5" s="1350"/>
      <c r="K5" s="1352"/>
      <c r="L5" s="1363"/>
      <c r="M5" s="1371"/>
      <c r="O5" s="1367"/>
      <c r="P5" s="1369"/>
      <c r="R5" s="1358"/>
      <c r="S5" s="1355"/>
      <c r="T5" s="1077" t="s">
        <v>26</v>
      </c>
      <c r="U5" s="11" t="s">
        <v>50</v>
      </c>
      <c r="V5" s="10" t="s">
        <v>12</v>
      </c>
      <c r="W5" s="11" t="s">
        <v>16</v>
      </c>
      <c r="X5" s="11" t="s">
        <v>12</v>
      </c>
      <c r="Y5" s="33" t="s">
        <v>16</v>
      </c>
      <c r="Z5" s="1350"/>
      <c r="AA5" s="1350"/>
      <c r="AB5" s="1352"/>
      <c r="AC5" s="1363"/>
      <c r="AD5" s="1371"/>
      <c r="AE5" s="1037"/>
      <c r="AF5" s="1367"/>
      <c r="AG5" s="1369"/>
    </row>
    <row r="6" spans="1:33" ht="15.75" customHeight="1" thickBot="1">
      <c r="A6" s="1359"/>
      <c r="B6" s="1356"/>
      <c r="C6" s="12" t="s">
        <v>4</v>
      </c>
      <c r="D6" s="13" t="s">
        <v>5</v>
      </c>
      <c r="E6" s="13" t="s">
        <v>6</v>
      </c>
      <c r="F6" s="13" t="s">
        <v>7</v>
      </c>
      <c r="G6" s="13" t="s">
        <v>13</v>
      </c>
      <c r="H6" s="34" t="s">
        <v>14</v>
      </c>
      <c r="I6" s="45" t="s">
        <v>28</v>
      </c>
      <c r="J6" s="45" t="s">
        <v>31</v>
      </c>
      <c r="K6" s="32" t="s">
        <v>9</v>
      </c>
      <c r="L6" s="14" t="s">
        <v>22</v>
      </c>
      <c r="M6" s="14" t="s">
        <v>63</v>
      </c>
      <c r="O6" s="44" t="s">
        <v>10</v>
      </c>
      <c r="P6" s="14" t="s">
        <v>64</v>
      </c>
      <c r="R6" s="1359"/>
      <c r="S6" s="1356"/>
      <c r="T6" s="1078" t="s">
        <v>4</v>
      </c>
      <c r="U6" s="13" t="s">
        <v>5</v>
      </c>
      <c r="V6" s="13" t="s">
        <v>6</v>
      </c>
      <c r="W6" s="13" t="s">
        <v>7</v>
      </c>
      <c r="X6" s="13" t="s">
        <v>13</v>
      </c>
      <c r="Y6" s="34" t="s">
        <v>14</v>
      </c>
      <c r="Z6" s="45" t="s">
        <v>28</v>
      </c>
      <c r="AA6" s="45" t="s">
        <v>31</v>
      </c>
      <c r="AB6" s="32" t="s">
        <v>9</v>
      </c>
      <c r="AC6" s="14" t="s">
        <v>22</v>
      </c>
      <c r="AD6" s="14" t="s">
        <v>63</v>
      </c>
      <c r="AE6" s="1037"/>
      <c r="AF6" s="44" t="s">
        <v>10</v>
      </c>
      <c r="AG6" s="14" t="s">
        <v>64</v>
      </c>
    </row>
    <row r="7" spans="1:33" ht="15.75">
      <c r="A7" s="24">
        <v>1</v>
      </c>
      <c r="B7" s="1121" t="s">
        <v>15</v>
      </c>
      <c r="C7" s="1122">
        <f t="shared" ref="C7:L7" si="0">+C8+C12</f>
        <v>19056</v>
      </c>
      <c r="D7" s="1122">
        <f t="shared" si="0"/>
        <v>19056</v>
      </c>
      <c r="E7" s="1122">
        <f t="shared" si="0"/>
        <v>270</v>
      </c>
      <c r="F7" s="1122">
        <f t="shared" si="0"/>
        <v>270</v>
      </c>
      <c r="G7" s="1122">
        <f t="shared" si="0"/>
        <v>19326</v>
      </c>
      <c r="H7" s="1123">
        <f t="shared" si="0"/>
        <v>19326</v>
      </c>
      <c r="I7" s="1124"/>
      <c r="J7" s="1124">
        <f t="shared" si="0"/>
        <v>0</v>
      </c>
      <c r="K7" s="1125">
        <f t="shared" si="0"/>
        <v>636</v>
      </c>
      <c r="L7" s="1126">
        <f t="shared" si="0"/>
        <v>0</v>
      </c>
      <c r="M7" s="1126">
        <f>+M8+M12</f>
        <v>0</v>
      </c>
      <c r="O7" s="1127">
        <f>+O8+O12</f>
        <v>0</v>
      </c>
      <c r="P7" s="1122">
        <f>+P8+P12</f>
        <v>19326</v>
      </c>
      <c r="R7" s="24">
        <v>1</v>
      </c>
      <c r="S7" s="38" t="s">
        <v>15</v>
      </c>
      <c r="T7" s="54">
        <v>19056</v>
      </c>
      <c r="U7" s="55">
        <v>19056</v>
      </c>
      <c r="V7" s="55">
        <v>270</v>
      </c>
      <c r="W7" s="55">
        <v>270</v>
      </c>
      <c r="X7" s="55">
        <v>19326</v>
      </c>
      <c r="Y7" s="56">
        <v>19326</v>
      </c>
      <c r="Z7" s="75"/>
      <c r="AA7" s="75">
        <v>0</v>
      </c>
      <c r="AB7" s="57">
        <v>636</v>
      </c>
      <c r="AC7" s="58">
        <v>0</v>
      </c>
      <c r="AD7" s="58">
        <v>0</v>
      </c>
      <c r="AE7" s="1036"/>
      <c r="AF7" s="54">
        <v>0</v>
      </c>
      <c r="AG7" s="58">
        <v>19326</v>
      </c>
    </row>
    <row r="8" spans="1:33" ht="16.5" customHeight="1">
      <c r="A8" s="48">
        <f>A7+1</f>
        <v>2</v>
      </c>
      <c r="B8" s="35" t="s">
        <v>35</v>
      </c>
      <c r="C8" s="1128">
        <f t="shared" ref="C8:L8" si="1">SUM(C9:C11)</f>
        <v>15017</v>
      </c>
      <c r="D8" s="1128">
        <f t="shared" si="1"/>
        <v>15017</v>
      </c>
      <c r="E8" s="1128">
        <f t="shared" si="1"/>
        <v>270</v>
      </c>
      <c r="F8" s="1128">
        <f t="shared" si="1"/>
        <v>270</v>
      </c>
      <c r="G8" s="1128">
        <f t="shared" si="1"/>
        <v>15287</v>
      </c>
      <c r="H8" s="1129">
        <f t="shared" si="1"/>
        <v>15287</v>
      </c>
      <c r="I8" s="1130"/>
      <c r="J8" s="1131">
        <f t="shared" si="1"/>
        <v>0</v>
      </c>
      <c r="K8" s="1132">
        <f t="shared" si="1"/>
        <v>539</v>
      </c>
      <c r="L8" s="1133">
        <f t="shared" si="1"/>
        <v>0</v>
      </c>
      <c r="M8" s="1133">
        <f>SUM(M9:M11)</f>
        <v>0</v>
      </c>
      <c r="O8" s="1134">
        <f>SUM(O9:O11)</f>
        <v>0</v>
      </c>
      <c r="P8" s="1133">
        <f>SUM(P9:P11)</f>
        <v>15287</v>
      </c>
      <c r="R8" s="48">
        <f>R7+1</f>
        <v>2</v>
      </c>
      <c r="S8" s="35" t="s">
        <v>35</v>
      </c>
      <c r="T8" s="59">
        <v>15017</v>
      </c>
      <c r="U8" s="60">
        <v>15017</v>
      </c>
      <c r="V8" s="60">
        <v>270</v>
      </c>
      <c r="W8" s="60">
        <v>270</v>
      </c>
      <c r="X8" s="60">
        <v>15287</v>
      </c>
      <c r="Y8" s="61">
        <v>15287</v>
      </c>
      <c r="Z8" s="77"/>
      <c r="AA8" s="78">
        <v>0</v>
      </c>
      <c r="AB8" s="62">
        <v>539</v>
      </c>
      <c r="AC8" s="63">
        <v>0</v>
      </c>
      <c r="AD8" s="63">
        <v>0</v>
      </c>
      <c r="AE8" s="1036"/>
      <c r="AF8" s="59">
        <v>0</v>
      </c>
      <c r="AG8" s="63">
        <v>15287</v>
      </c>
    </row>
    <row r="9" spans="1:33" ht="15.75">
      <c r="A9" s="25">
        <f t="shared" ref="A9:A34" si="2">A8+1</f>
        <v>3</v>
      </c>
      <c r="B9" s="36" t="s">
        <v>58</v>
      </c>
      <c r="C9" s="1135">
        <v>15017</v>
      </c>
      <c r="D9" s="1135">
        <v>15017</v>
      </c>
      <c r="E9" s="1135">
        <v>270</v>
      </c>
      <c r="F9" s="1135">
        <v>270</v>
      </c>
      <c r="G9" s="1135">
        <f t="shared" ref="G9:H21" si="3">+C9+E9</f>
        <v>15287</v>
      </c>
      <c r="H9" s="1136">
        <f t="shared" si="3"/>
        <v>15287</v>
      </c>
      <c r="I9" s="1137"/>
      <c r="J9" s="1138"/>
      <c r="K9" s="1139">
        <v>539</v>
      </c>
      <c r="L9" s="1140">
        <f t="shared" ref="L9:L20" si="4">+G9-H9</f>
        <v>0</v>
      </c>
      <c r="M9" s="1140"/>
      <c r="O9" s="1141"/>
      <c r="P9" s="1140">
        <f t="shared" ref="P9:P33" si="5">H9+O9</f>
        <v>15287</v>
      </c>
      <c r="R9" s="25">
        <f t="shared" ref="R9:R34" si="6">R8+1</f>
        <v>3</v>
      </c>
      <c r="S9" s="36" t="s">
        <v>58</v>
      </c>
      <c r="T9" s="64">
        <v>15017</v>
      </c>
      <c r="U9" s="65">
        <v>15017</v>
      </c>
      <c r="V9" s="65">
        <v>270</v>
      </c>
      <c r="W9" s="65">
        <v>270</v>
      </c>
      <c r="X9" s="65">
        <v>15287</v>
      </c>
      <c r="Y9" s="66">
        <v>15287</v>
      </c>
      <c r="Z9" s="80"/>
      <c r="AA9" s="80"/>
      <c r="AB9" s="67">
        <v>539</v>
      </c>
      <c r="AC9" s="68">
        <v>0</v>
      </c>
      <c r="AD9" s="68"/>
      <c r="AE9" s="1036"/>
      <c r="AF9" s="64"/>
      <c r="AG9" s="68">
        <v>15287</v>
      </c>
    </row>
    <row r="10" spans="1:33" ht="16.5" customHeight="1">
      <c r="A10" s="25">
        <f t="shared" si="2"/>
        <v>4</v>
      </c>
      <c r="B10" s="36" t="s">
        <v>36</v>
      </c>
      <c r="C10" s="1135"/>
      <c r="D10" s="1135"/>
      <c r="E10" s="1135"/>
      <c r="F10" s="1135"/>
      <c r="G10" s="1135">
        <f t="shared" si="3"/>
        <v>0</v>
      </c>
      <c r="H10" s="1136">
        <f t="shared" si="3"/>
        <v>0</v>
      </c>
      <c r="I10" s="1137"/>
      <c r="J10" s="1138"/>
      <c r="K10" s="1139"/>
      <c r="L10" s="1140">
        <f t="shared" si="4"/>
        <v>0</v>
      </c>
      <c r="M10" s="1140"/>
      <c r="O10" s="1141"/>
      <c r="P10" s="1140">
        <f t="shared" si="5"/>
        <v>0</v>
      </c>
      <c r="R10" s="25">
        <f t="shared" si="6"/>
        <v>4</v>
      </c>
      <c r="S10" s="36" t="s">
        <v>36</v>
      </c>
      <c r="T10" s="64"/>
      <c r="U10" s="65"/>
      <c r="V10" s="65"/>
      <c r="W10" s="65"/>
      <c r="X10" s="65">
        <v>0</v>
      </c>
      <c r="Y10" s="249">
        <v>0</v>
      </c>
      <c r="Z10" s="80"/>
      <c r="AA10" s="80"/>
      <c r="AB10" s="67"/>
      <c r="AC10" s="68">
        <v>0</v>
      </c>
      <c r="AD10" s="68"/>
      <c r="AE10" s="1036"/>
      <c r="AF10" s="64"/>
      <c r="AG10" s="68">
        <v>0</v>
      </c>
    </row>
    <row r="11" spans="1:33" ht="15.75">
      <c r="A11" s="25">
        <f t="shared" si="2"/>
        <v>5</v>
      </c>
      <c r="B11" s="37" t="s">
        <v>30</v>
      </c>
      <c r="C11" s="1135"/>
      <c r="D11" s="1135"/>
      <c r="E11" s="1135"/>
      <c r="F11" s="1135"/>
      <c r="G11" s="1135">
        <f t="shared" si="3"/>
        <v>0</v>
      </c>
      <c r="H11" s="1136">
        <f t="shared" si="3"/>
        <v>0</v>
      </c>
      <c r="I11" s="1137"/>
      <c r="J11" s="1138"/>
      <c r="K11" s="1139"/>
      <c r="L11" s="1140">
        <f t="shared" si="4"/>
        <v>0</v>
      </c>
      <c r="M11" s="1140"/>
      <c r="O11" s="1141"/>
      <c r="P11" s="1140">
        <f t="shared" si="5"/>
        <v>0</v>
      </c>
      <c r="R11" s="25">
        <f t="shared" si="6"/>
        <v>5</v>
      </c>
      <c r="S11" s="37" t="s">
        <v>30</v>
      </c>
      <c r="T11" s="64"/>
      <c r="U11" s="65"/>
      <c r="V11" s="65"/>
      <c r="W11" s="65"/>
      <c r="X11" s="65">
        <v>0</v>
      </c>
      <c r="Y11" s="66">
        <v>0</v>
      </c>
      <c r="Z11" s="79"/>
      <c r="AA11" s="80"/>
      <c r="AB11" s="67"/>
      <c r="AC11" s="68">
        <v>0</v>
      </c>
      <c r="AD11" s="68"/>
      <c r="AE11" s="1036"/>
      <c r="AF11" s="64"/>
      <c r="AG11" s="68">
        <v>0</v>
      </c>
    </row>
    <row r="12" spans="1:33" ht="17.25" customHeight="1">
      <c r="A12" s="48">
        <f t="shared" si="2"/>
        <v>6</v>
      </c>
      <c r="B12" s="38" t="s">
        <v>42</v>
      </c>
      <c r="C12" s="1128">
        <f>+C13+C16+C18+C19</f>
        <v>4039</v>
      </c>
      <c r="D12" s="1128">
        <f>+D13+D16+D18+D19</f>
        <v>4039</v>
      </c>
      <c r="E12" s="1128">
        <f>+E13+E16+E18+E19</f>
        <v>0</v>
      </c>
      <c r="F12" s="1128">
        <f>+F13+F16+F18+F19</f>
        <v>0</v>
      </c>
      <c r="G12" s="1128">
        <f t="shared" si="3"/>
        <v>4039</v>
      </c>
      <c r="H12" s="1129">
        <f t="shared" si="3"/>
        <v>4039</v>
      </c>
      <c r="I12" s="1131"/>
      <c r="J12" s="1131">
        <f>+J13+J16+J18+J19</f>
        <v>0</v>
      </c>
      <c r="K12" s="1132">
        <f>+K13+K16+K18+K19</f>
        <v>97</v>
      </c>
      <c r="L12" s="1133">
        <f t="shared" si="4"/>
        <v>0</v>
      </c>
      <c r="M12" s="1133">
        <f>+M13+M16+M18+M19</f>
        <v>0</v>
      </c>
      <c r="O12" s="1134">
        <f>+O13+O16+O18+O19</f>
        <v>0</v>
      </c>
      <c r="P12" s="1133">
        <f t="shared" si="5"/>
        <v>4039</v>
      </c>
      <c r="R12" s="48">
        <f t="shared" si="6"/>
        <v>6</v>
      </c>
      <c r="S12" s="35" t="s">
        <v>42</v>
      </c>
      <c r="T12" s="59">
        <v>4039</v>
      </c>
      <c r="U12" s="60">
        <v>4039</v>
      </c>
      <c r="V12" s="60">
        <v>0</v>
      </c>
      <c r="W12" s="60">
        <v>0</v>
      </c>
      <c r="X12" s="60">
        <v>4039</v>
      </c>
      <c r="Y12" s="61">
        <v>4039</v>
      </c>
      <c r="Z12" s="78"/>
      <c r="AA12" s="78">
        <v>0</v>
      </c>
      <c r="AB12" s="62">
        <v>97</v>
      </c>
      <c r="AC12" s="63">
        <v>0</v>
      </c>
      <c r="AD12" s="63">
        <v>0</v>
      </c>
      <c r="AE12" s="1036"/>
      <c r="AF12" s="59">
        <v>0</v>
      </c>
      <c r="AG12" s="63">
        <v>4039</v>
      </c>
    </row>
    <row r="13" spans="1:33" ht="17.25" customHeight="1">
      <c r="A13" s="25">
        <f t="shared" si="2"/>
        <v>7</v>
      </c>
      <c r="B13" s="36" t="s">
        <v>51</v>
      </c>
      <c r="C13" s="1142"/>
      <c r="D13" s="1143"/>
      <c r="E13" s="1143"/>
      <c r="F13" s="1143"/>
      <c r="G13" s="1135">
        <f t="shared" si="3"/>
        <v>0</v>
      </c>
      <c r="H13" s="1136">
        <f t="shared" si="3"/>
        <v>0</v>
      </c>
      <c r="I13" s="1137"/>
      <c r="J13" s="1144"/>
      <c r="K13" s="1142"/>
      <c r="L13" s="1140">
        <f t="shared" si="4"/>
        <v>0</v>
      </c>
      <c r="M13" s="1140"/>
      <c r="O13" s="1145"/>
      <c r="P13" s="1140">
        <f t="shared" si="5"/>
        <v>0</v>
      </c>
      <c r="R13" s="29">
        <f t="shared" si="6"/>
        <v>7</v>
      </c>
      <c r="S13" s="36" t="s">
        <v>51</v>
      </c>
      <c r="T13" s="85"/>
      <c r="U13" s="82"/>
      <c r="V13" s="82"/>
      <c r="W13" s="82"/>
      <c r="X13" s="65">
        <v>0</v>
      </c>
      <c r="Y13" s="66">
        <v>0</v>
      </c>
      <c r="Z13" s="79"/>
      <c r="AA13" s="83"/>
      <c r="AB13" s="81"/>
      <c r="AC13" s="68">
        <v>0</v>
      </c>
      <c r="AD13" s="68"/>
      <c r="AE13" s="706"/>
      <c r="AF13" s="85"/>
      <c r="AG13" s="68">
        <v>0</v>
      </c>
    </row>
    <row r="14" spans="1:33" ht="17.25" customHeight="1">
      <c r="A14" s="29"/>
      <c r="B14" s="36" t="s">
        <v>61</v>
      </c>
      <c r="C14" s="1142"/>
      <c r="D14" s="1143"/>
      <c r="E14" s="1143"/>
      <c r="F14" s="1143"/>
      <c r="G14" s="1135">
        <f t="shared" si="3"/>
        <v>0</v>
      </c>
      <c r="H14" s="1136">
        <f t="shared" si="3"/>
        <v>0</v>
      </c>
      <c r="I14" s="1137"/>
      <c r="J14" s="1144"/>
      <c r="K14" s="1142"/>
      <c r="L14" s="1140">
        <f t="shared" si="4"/>
        <v>0</v>
      </c>
      <c r="M14" s="1140"/>
      <c r="O14" s="1145"/>
      <c r="P14" s="1140">
        <f t="shared" si="5"/>
        <v>0</v>
      </c>
      <c r="R14" s="29"/>
      <c r="S14" s="36" t="s">
        <v>61</v>
      </c>
      <c r="T14" s="85"/>
      <c r="U14" s="82"/>
      <c r="V14" s="82"/>
      <c r="W14" s="82"/>
      <c r="X14" s="65">
        <v>0</v>
      </c>
      <c r="Y14" s="66">
        <v>0</v>
      </c>
      <c r="Z14" s="79"/>
      <c r="AA14" s="83"/>
      <c r="AB14" s="81"/>
      <c r="AC14" s="68">
        <v>0</v>
      </c>
      <c r="AD14" s="68"/>
      <c r="AE14" s="706"/>
      <c r="AF14" s="85"/>
      <c r="AG14" s="68">
        <v>0</v>
      </c>
    </row>
    <row r="15" spans="1:33" ht="16.5" customHeight="1">
      <c r="A15" s="25">
        <f>A13+1</f>
        <v>8</v>
      </c>
      <c r="B15" s="37" t="s">
        <v>66</v>
      </c>
      <c r="C15" s="1146"/>
      <c r="D15" s="1147"/>
      <c r="E15" s="1147"/>
      <c r="F15" s="1147"/>
      <c r="G15" s="1135">
        <f t="shared" si="3"/>
        <v>0</v>
      </c>
      <c r="H15" s="1136">
        <f t="shared" si="3"/>
        <v>0</v>
      </c>
      <c r="I15" s="1148"/>
      <c r="J15" s="1148"/>
      <c r="K15" s="1146"/>
      <c r="L15" s="1140">
        <f t="shared" si="4"/>
        <v>0</v>
      </c>
      <c r="M15" s="1140"/>
      <c r="O15" s="1149"/>
      <c r="P15" s="1140">
        <f t="shared" si="5"/>
        <v>0</v>
      </c>
      <c r="R15" s="25">
        <f>R13+1</f>
        <v>8</v>
      </c>
      <c r="S15" s="37" t="s">
        <v>66</v>
      </c>
      <c r="T15" s="89"/>
      <c r="U15" s="87"/>
      <c r="V15" s="87"/>
      <c r="W15" s="87"/>
      <c r="X15" s="65">
        <v>0</v>
      </c>
      <c r="Y15" s="66">
        <v>0</v>
      </c>
      <c r="Z15" s="88"/>
      <c r="AA15" s="88"/>
      <c r="AB15" s="86"/>
      <c r="AC15" s="68">
        <v>0</v>
      </c>
      <c r="AD15" s="68"/>
      <c r="AE15" s="1036"/>
      <c r="AF15" s="89"/>
      <c r="AG15" s="68">
        <v>0</v>
      </c>
    </row>
    <row r="16" spans="1:33" ht="17.25" customHeight="1">
      <c r="A16" s="25">
        <f t="shared" si="2"/>
        <v>9</v>
      </c>
      <c r="B16" s="36" t="s">
        <v>52</v>
      </c>
      <c r="C16" s="1142"/>
      <c r="D16" s="1143"/>
      <c r="E16" s="1143"/>
      <c r="F16" s="1143"/>
      <c r="G16" s="1135">
        <f t="shared" si="3"/>
        <v>0</v>
      </c>
      <c r="H16" s="1136">
        <f t="shared" si="3"/>
        <v>0</v>
      </c>
      <c r="I16" s="1137"/>
      <c r="J16" s="1144"/>
      <c r="K16" s="1142"/>
      <c r="L16" s="1140">
        <f t="shared" si="4"/>
        <v>0</v>
      </c>
      <c r="M16" s="1140"/>
      <c r="O16" s="1145"/>
      <c r="P16" s="1140">
        <f t="shared" si="5"/>
        <v>0</v>
      </c>
      <c r="R16" s="29">
        <f t="shared" si="6"/>
        <v>9</v>
      </c>
      <c r="S16" s="36" t="s">
        <v>52</v>
      </c>
      <c r="T16" s="85"/>
      <c r="U16" s="82"/>
      <c r="V16" s="82"/>
      <c r="W16" s="82"/>
      <c r="X16" s="65">
        <v>0</v>
      </c>
      <c r="Y16" s="66">
        <v>0</v>
      </c>
      <c r="Z16" s="79"/>
      <c r="AA16" s="83"/>
      <c r="AB16" s="81"/>
      <c r="AC16" s="68">
        <v>0</v>
      </c>
      <c r="AD16" s="68"/>
      <c r="AE16" s="706"/>
      <c r="AF16" s="85"/>
      <c r="AG16" s="68">
        <v>0</v>
      </c>
    </row>
    <row r="17" spans="1:33" ht="15.75">
      <c r="A17" s="25">
        <f t="shared" si="2"/>
        <v>10</v>
      </c>
      <c r="B17" s="37" t="s">
        <v>30</v>
      </c>
      <c r="C17" s="1146"/>
      <c r="D17" s="1147"/>
      <c r="E17" s="1147"/>
      <c r="F17" s="1147"/>
      <c r="G17" s="1135">
        <f t="shared" si="3"/>
        <v>0</v>
      </c>
      <c r="H17" s="1136">
        <f t="shared" si="3"/>
        <v>0</v>
      </c>
      <c r="I17" s="1148"/>
      <c r="J17" s="1148"/>
      <c r="K17" s="1146"/>
      <c r="L17" s="1140">
        <f t="shared" si="4"/>
        <v>0</v>
      </c>
      <c r="M17" s="1140"/>
      <c r="O17" s="1149"/>
      <c r="P17" s="1140">
        <f t="shared" si="5"/>
        <v>0</v>
      </c>
      <c r="R17" s="25">
        <f t="shared" si="6"/>
        <v>10</v>
      </c>
      <c r="S17" s="37" t="s">
        <v>30</v>
      </c>
      <c r="T17" s="89"/>
      <c r="U17" s="87"/>
      <c r="V17" s="87"/>
      <c r="W17" s="87"/>
      <c r="X17" s="65">
        <v>0</v>
      </c>
      <c r="Y17" s="66">
        <v>0</v>
      </c>
      <c r="Z17" s="88"/>
      <c r="AA17" s="88"/>
      <c r="AB17" s="86"/>
      <c r="AC17" s="68">
        <v>0</v>
      </c>
      <c r="AD17" s="68"/>
      <c r="AE17" s="1036"/>
      <c r="AF17" s="89"/>
      <c r="AG17" s="68">
        <v>0</v>
      </c>
    </row>
    <row r="18" spans="1:33" ht="16.5" customHeight="1">
      <c r="A18" s="25">
        <f t="shared" si="2"/>
        <v>11</v>
      </c>
      <c r="B18" s="36" t="s">
        <v>37</v>
      </c>
      <c r="C18" s="1146">
        <v>4039</v>
      </c>
      <c r="D18" s="1147">
        <v>4039</v>
      </c>
      <c r="E18" s="1143"/>
      <c r="F18" s="1143"/>
      <c r="G18" s="1135">
        <f t="shared" si="3"/>
        <v>4039</v>
      </c>
      <c r="H18" s="1136">
        <f t="shared" si="3"/>
        <v>4039</v>
      </c>
      <c r="I18" s="1144"/>
      <c r="J18" s="1144"/>
      <c r="K18" s="1142">
        <v>97</v>
      </c>
      <c r="L18" s="1140">
        <f t="shared" si="4"/>
        <v>0</v>
      </c>
      <c r="M18" s="1140"/>
      <c r="O18" s="1145"/>
      <c r="P18" s="1140">
        <f t="shared" si="5"/>
        <v>4039</v>
      </c>
      <c r="R18" s="29">
        <f t="shared" si="6"/>
        <v>11</v>
      </c>
      <c r="S18" s="36" t="s">
        <v>37</v>
      </c>
      <c r="T18" s="85">
        <v>4039</v>
      </c>
      <c r="U18" s="82">
        <v>4039</v>
      </c>
      <c r="V18" s="82"/>
      <c r="W18" s="82"/>
      <c r="X18" s="65">
        <v>4039</v>
      </c>
      <c r="Y18" s="66">
        <v>4039</v>
      </c>
      <c r="Z18" s="83"/>
      <c r="AA18" s="83"/>
      <c r="AB18" s="81">
        <v>97</v>
      </c>
      <c r="AC18" s="68">
        <v>0</v>
      </c>
      <c r="AD18" s="68"/>
      <c r="AE18" s="706"/>
      <c r="AF18" s="85"/>
      <c r="AG18" s="68">
        <v>4039</v>
      </c>
    </row>
    <row r="19" spans="1:33" ht="16.5" customHeight="1">
      <c r="A19" s="25">
        <f t="shared" si="2"/>
        <v>12</v>
      </c>
      <c r="B19" s="50" t="s">
        <v>38</v>
      </c>
      <c r="C19" s="1142"/>
      <c r="D19" s="1143"/>
      <c r="E19" s="1143"/>
      <c r="F19" s="1143"/>
      <c r="G19" s="1135">
        <f t="shared" si="3"/>
        <v>0</v>
      </c>
      <c r="H19" s="1136">
        <f t="shared" si="3"/>
        <v>0</v>
      </c>
      <c r="I19" s="1144"/>
      <c r="J19" s="1144"/>
      <c r="K19" s="1142"/>
      <c r="L19" s="1140">
        <f t="shared" si="4"/>
        <v>0</v>
      </c>
      <c r="M19" s="1140"/>
      <c r="O19" s="1145"/>
      <c r="P19" s="1140">
        <f t="shared" si="5"/>
        <v>0</v>
      </c>
      <c r="R19" s="29">
        <f t="shared" si="6"/>
        <v>12</v>
      </c>
      <c r="S19" s="50" t="s">
        <v>38</v>
      </c>
      <c r="T19" s="85"/>
      <c r="U19" s="82"/>
      <c r="V19" s="82"/>
      <c r="W19" s="82"/>
      <c r="X19" s="65">
        <v>0</v>
      </c>
      <c r="Y19" s="66">
        <v>0</v>
      </c>
      <c r="Z19" s="83"/>
      <c r="AA19" s="83"/>
      <c r="AB19" s="81"/>
      <c r="AC19" s="68">
        <v>0</v>
      </c>
      <c r="AD19" s="68"/>
      <c r="AE19" s="706"/>
      <c r="AF19" s="85"/>
      <c r="AG19" s="68">
        <v>0</v>
      </c>
    </row>
    <row r="20" spans="1:33" ht="15.75">
      <c r="A20" s="25">
        <f t="shared" si="2"/>
        <v>13</v>
      </c>
      <c r="B20" s="37" t="s">
        <v>30</v>
      </c>
      <c r="C20" s="1146"/>
      <c r="D20" s="1147"/>
      <c r="E20" s="1147"/>
      <c r="F20" s="1147"/>
      <c r="G20" s="1135">
        <f t="shared" si="3"/>
        <v>0</v>
      </c>
      <c r="H20" s="1136">
        <f t="shared" si="3"/>
        <v>0</v>
      </c>
      <c r="I20" s="1148"/>
      <c r="J20" s="1148"/>
      <c r="K20" s="1146"/>
      <c r="L20" s="1140">
        <f t="shared" si="4"/>
        <v>0</v>
      </c>
      <c r="M20" s="1140"/>
      <c r="O20" s="1149"/>
      <c r="P20" s="1140">
        <f t="shared" si="5"/>
        <v>0</v>
      </c>
      <c r="R20" s="25">
        <f t="shared" si="6"/>
        <v>13</v>
      </c>
      <c r="S20" s="37" t="s">
        <v>30</v>
      </c>
      <c r="T20" s="89"/>
      <c r="U20" s="87"/>
      <c r="V20" s="87"/>
      <c r="W20" s="87"/>
      <c r="X20" s="65">
        <v>0</v>
      </c>
      <c r="Y20" s="66">
        <v>0</v>
      </c>
      <c r="Z20" s="88"/>
      <c r="AA20" s="88"/>
      <c r="AB20" s="86"/>
      <c r="AC20" s="68">
        <v>0</v>
      </c>
      <c r="AD20" s="68"/>
      <c r="AE20" s="1036"/>
      <c r="AF20" s="89"/>
      <c r="AG20" s="68">
        <v>0</v>
      </c>
    </row>
    <row r="21" spans="1:33" ht="15.75">
      <c r="A21" s="24">
        <f t="shared" si="2"/>
        <v>14</v>
      </c>
      <c r="B21" s="1121" t="s">
        <v>29</v>
      </c>
      <c r="C21" s="1134">
        <f>+C22+C24+C26</f>
        <v>6001</v>
      </c>
      <c r="D21" s="1128">
        <f>+D22+D24+D26</f>
        <v>5981</v>
      </c>
      <c r="E21" s="1128">
        <f>+E22+E24+E26</f>
        <v>80</v>
      </c>
      <c r="F21" s="1128">
        <f>+F22+F24+F26</f>
        <v>80</v>
      </c>
      <c r="G21" s="1128">
        <f t="shared" si="3"/>
        <v>6081</v>
      </c>
      <c r="H21" s="1129">
        <f t="shared" si="3"/>
        <v>6061</v>
      </c>
      <c r="I21" s="1131"/>
      <c r="J21" s="1131">
        <f>+J22+J24+J26</f>
        <v>0</v>
      </c>
      <c r="K21" s="1132">
        <f>+K22+K24+K26</f>
        <v>0</v>
      </c>
      <c r="L21" s="1133">
        <f>+L22+L24+L26</f>
        <v>20</v>
      </c>
      <c r="M21" s="1150">
        <f>+M22+M24+M26</f>
        <v>20</v>
      </c>
      <c r="O21" s="1134">
        <f>+O22+O24+O26</f>
        <v>0</v>
      </c>
      <c r="P21" s="1133">
        <f t="shared" si="5"/>
        <v>6061</v>
      </c>
      <c r="R21" s="24">
        <f t="shared" si="6"/>
        <v>14</v>
      </c>
      <c r="S21" s="38" t="s">
        <v>29</v>
      </c>
      <c r="T21" s="70">
        <v>6001</v>
      </c>
      <c r="U21" s="71">
        <v>5981</v>
      </c>
      <c r="V21" s="71">
        <v>80</v>
      </c>
      <c r="W21" s="71">
        <v>80</v>
      </c>
      <c r="X21" s="71">
        <v>6081</v>
      </c>
      <c r="Y21" s="72">
        <v>6061</v>
      </c>
      <c r="Z21" s="90"/>
      <c r="AA21" s="1252">
        <v>0</v>
      </c>
      <c r="AB21" s="73">
        <v>0</v>
      </c>
      <c r="AC21" s="74">
        <v>20</v>
      </c>
      <c r="AD21" s="74">
        <v>20</v>
      </c>
      <c r="AE21" s="1036"/>
      <c r="AF21" s="70">
        <v>0</v>
      </c>
      <c r="AG21" s="74">
        <v>6061</v>
      </c>
    </row>
    <row r="22" spans="1:33" ht="15.75">
      <c r="A22" s="46">
        <f t="shared" si="2"/>
        <v>15</v>
      </c>
      <c r="B22" s="1151" t="s">
        <v>561</v>
      </c>
      <c r="C22" s="1152">
        <f>+C23</f>
        <v>6001</v>
      </c>
      <c r="D22" s="1152">
        <f t="shared" ref="D22:O22" si="7">+D23</f>
        <v>5981</v>
      </c>
      <c r="E22" s="1152">
        <f t="shared" si="7"/>
        <v>80</v>
      </c>
      <c r="F22" s="1152">
        <f t="shared" si="7"/>
        <v>80</v>
      </c>
      <c r="G22" s="1152">
        <f t="shared" si="7"/>
        <v>6081</v>
      </c>
      <c r="H22" s="1153">
        <f t="shared" si="7"/>
        <v>6061</v>
      </c>
      <c r="I22" s="1154"/>
      <c r="J22" s="1154">
        <f t="shared" si="7"/>
        <v>0</v>
      </c>
      <c r="K22" s="1155">
        <f t="shared" si="7"/>
        <v>0</v>
      </c>
      <c r="L22" s="1156">
        <f t="shared" si="7"/>
        <v>20</v>
      </c>
      <c r="M22" s="1156">
        <f t="shared" si="7"/>
        <v>20</v>
      </c>
      <c r="O22" s="1157">
        <f t="shared" si="7"/>
        <v>0</v>
      </c>
      <c r="P22" s="1156">
        <f t="shared" si="5"/>
        <v>6061</v>
      </c>
      <c r="R22" s="46">
        <f t="shared" si="6"/>
        <v>15</v>
      </c>
      <c r="S22" s="43" t="s">
        <v>53</v>
      </c>
      <c r="T22" s="59">
        <v>6001</v>
      </c>
      <c r="U22" s="60">
        <v>5981</v>
      </c>
      <c r="V22" s="60">
        <v>80</v>
      </c>
      <c r="W22" s="60">
        <v>80</v>
      </c>
      <c r="X22" s="60">
        <v>6081</v>
      </c>
      <c r="Y22" s="61">
        <v>6061</v>
      </c>
      <c r="Z22" s="78"/>
      <c r="AA22" s="78">
        <v>0</v>
      </c>
      <c r="AB22" s="62">
        <v>0</v>
      </c>
      <c r="AC22" s="63">
        <v>20</v>
      </c>
      <c r="AD22" s="63">
        <v>20</v>
      </c>
      <c r="AE22" s="1036"/>
      <c r="AF22" s="59">
        <v>0</v>
      </c>
      <c r="AG22" s="63">
        <v>6061</v>
      </c>
    </row>
    <row r="23" spans="1:33" ht="15.75">
      <c r="A23" s="21">
        <f t="shared" si="2"/>
        <v>16</v>
      </c>
      <c r="B23" s="1158" t="s">
        <v>545</v>
      </c>
      <c r="C23" s="1159">
        <f>5531+470</f>
        <v>6001</v>
      </c>
      <c r="D23" s="1160">
        <f>5528+453</f>
        <v>5981</v>
      </c>
      <c r="E23" s="1160">
        <v>80</v>
      </c>
      <c r="F23" s="1160">
        <v>80</v>
      </c>
      <c r="G23" s="1152">
        <f>+C23+E23</f>
        <v>6081</v>
      </c>
      <c r="H23" s="1153">
        <f>+D23+F23</f>
        <v>6061</v>
      </c>
      <c r="I23" s="1161"/>
      <c r="J23" s="1161"/>
      <c r="K23" s="1159"/>
      <c r="L23" s="1156">
        <f>+G23-H23</f>
        <v>20</v>
      </c>
      <c r="M23" s="1156">
        <v>20</v>
      </c>
      <c r="O23" s="1162"/>
      <c r="P23" s="1156">
        <f t="shared" si="5"/>
        <v>6061</v>
      </c>
      <c r="R23" s="25">
        <f t="shared" si="6"/>
        <v>16</v>
      </c>
      <c r="S23" s="37" t="s">
        <v>60</v>
      </c>
      <c r="T23" s="89">
        <v>6001</v>
      </c>
      <c r="U23" s="87">
        <v>5981</v>
      </c>
      <c r="V23" s="87">
        <v>80</v>
      </c>
      <c r="W23" s="87">
        <v>80</v>
      </c>
      <c r="X23" s="65">
        <v>6081</v>
      </c>
      <c r="Y23" s="66">
        <v>6061</v>
      </c>
      <c r="Z23" s="88"/>
      <c r="AA23" s="88"/>
      <c r="AB23" s="86"/>
      <c r="AC23" s="68">
        <v>20</v>
      </c>
      <c r="AD23" s="68">
        <v>20</v>
      </c>
      <c r="AE23" s="1036"/>
      <c r="AF23" s="89"/>
      <c r="AG23" s="68">
        <v>6061</v>
      </c>
    </row>
    <row r="24" spans="1:33" ht="15.75">
      <c r="A24" s="46">
        <f t="shared" si="2"/>
        <v>17</v>
      </c>
      <c r="B24" s="47" t="s">
        <v>59</v>
      </c>
      <c r="C24" s="1152">
        <f>+C25</f>
        <v>0</v>
      </c>
      <c r="D24" s="1152">
        <f t="shared" ref="D24:O24" si="8">+D25</f>
        <v>0</v>
      </c>
      <c r="E24" s="1152">
        <f t="shared" si="8"/>
        <v>0</v>
      </c>
      <c r="F24" s="1152">
        <f t="shared" si="8"/>
        <v>0</v>
      </c>
      <c r="G24" s="1152">
        <f t="shared" si="8"/>
        <v>0</v>
      </c>
      <c r="H24" s="1153">
        <f t="shared" si="8"/>
        <v>0</v>
      </c>
      <c r="I24" s="1154"/>
      <c r="J24" s="1154">
        <f t="shared" si="8"/>
        <v>0</v>
      </c>
      <c r="K24" s="1155">
        <f t="shared" si="8"/>
        <v>0</v>
      </c>
      <c r="L24" s="1156">
        <f t="shared" si="8"/>
        <v>0</v>
      </c>
      <c r="M24" s="1156">
        <f t="shared" si="8"/>
        <v>0</v>
      </c>
      <c r="O24" s="1157">
        <f t="shared" si="8"/>
        <v>0</v>
      </c>
      <c r="P24" s="1156">
        <f t="shared" si="5"/>
        <v>0</v>
      </c>
      <c r="R24" s="46">
        <f t="shared" si="6"/>
        <v>17</v>
      </c>
      <c r="S24" s="47" t="s">
        <v>59</v>
      </c>
      <c r="T24" s="59">
        <v>0</v>
      </c>
      <c r="U24" s="60">
        <v>0</v>
      </c>
      <c r="V24" s="60">
        <v>0</v>
      </c>
      <c r="W24" s="60">
        <v>0</v>
      </c>
      <c r="X24" s="60">
        <v>0</v>
      </c>
      <c r="Y24" s="61">
        <v>0</v>
      </c>
      <c r="Z24" s="78"/>
      <c r="AA24" s="78">
        <v>0</v>
      </c>
      <c r="AB24" s="62">
        <v>0</v>
      </c>
      <c r="AC24" s="63">
        <v>0</v>
      </c>
      <c r="AD24" s="63">
        <v>0</v>
      </c>
      <c r="AE24" s="1036"/>
      <c r="AF24" s="59">
        <v>0</v>
      </c>
      <c r="AG24" s="63">
        <v>0</v>
      </c>
    </row>
    <row r="25" spans="1:33" ht="15.75">
      <c r="A25" s="25">
        <f t="shared" si="2"/>
        <v>18</v>
      </c>
      <c r="B25" s="37" t="s">
        <v>60</v>
      </c>
      <c r="C25" s="1146"/>
      <c r="D25" s="1147"/>
      <c r="E25" s="1147"/>
      <c r="F25" s="1147"/>
      <c r="G25" s="1135">
        <f>+C25+E25</f>
        <v>0</v>
      </c>
      <c r="H25" s="1136">
        <f>+D25+F25</f>
        <v>0</v>
      </c>
      <c r="I25" s="1148"/>
      <c r="J25" s="1148"/>
      <c r="K25" s="1146"/>
      <c r="L25" s="1140">
        <f>+G25-H25</f>
        <v>0</v>
      </c>
      <c r="M25" s="1140"/>
      <c r="O25" s="1149"/>
      <c r="P25" s="1140">
        <f t="shared" si="5"/>
        <v>0</v>
      </c>
      <c r="R25" s="25">
        <f t="shared" si="6"/>
        <v>18</v>
      </c>
      <c r="S25" s="37" t="s">
        <v>60</v>
      </c>
      <c r="T25" s="89"/>
      <c r="U25" s="87"/>
      <c r="V25" s="87"/>
      <c r="W25" s="87"/>
      <c r="X25" s="65">
        <v>0</v>
      </c>
      <c r="Y25" s="66">
        <v>0</v>
      </c>
      <c r="Z25" s="88"/>
      <c r="AA25" s="88"/>
      <c r="AB25" s="86"/>
      <c r="AC25" s="68">
        <v>0</v>
      </c>
      <c r="AD25" s="68"/>
      <c r="AE25" s="1036"/>
      <c r="AF25" s="89"/>
      <c r="AG25" s="68">
        <v>0</v>
      </c>
    </row>
    <row r="26" spans="1:33" ht="15.75">
      <c r="A26" s="46">
        <f t="shared" si="2"/>
        <v>19</v>
      </c>
      <c r="B26" s="47" t="s">
        <v>54</v>
      </c>
      <c r="C26" s="1152">
        <f>+C27</f>
        <v>0</v>
      </c>
      <c r="D26" s="1152">
        <f t="shared" ref="D26:O26" si="9">+D27</f>
        <v>0</v>
      </c>
      <c r="E26" s="1152">
        <f t="shared" si="9"/>
        <v>0</v>
      </c>
      <c r="F26" s="1152">
        <f t="shared" si="9"/>
        <v>0</v>
      </c>
      <c r="G26" s="1152">
        <f t="shared" si="9"/>
        <v>0</v>
      </c>
      <c r="H26" s="1153">
        <f t="shared" si="9"/>
        <v>0</v>
      </c>
      <c r="I26" s="1154"/>
      <c r="J26" s="1154">
        <f t="shared" si="9"/>
        <v>0</v>
      </c>
      <c r="K26" s="1155">
        <f t="shared" si="9"/>
        <v>0</v>
      </c>
      <c r="L26" s="1156">
        <f t="shared" si="9"/>
        <v>0</v>
      </c>
      <c r="M26" s="1156">
        <f t="shared" si="9"/>
        <v>0</v>
      </c>
      <c r="O26" s="1157">
        <f t="shared" si="9"/>
        <v>0</v>
      </c>
      <c r="P26" s="1156">
        <f t="shared" si="5"/>
        <v>0</v>
      </c>
      <c r="R26" s="46">
        <f t="shared" si="6"/>
        <v>19</v>
      </c>
      <c r="S26" s="47" t="s">
        <v>54</v>
      </c>
      <c r="T26" s="59">
        <v>0</v>
      </c>
      <c r="U26" s="60">
        <v>0</v>
      </c>
      <c r="V26" s="60">
        <v>0</v>
      </c>
      <c r="W26" s="60">
        <v>0</v>
      </c>
      <c r="X26" s="60">
        <v>0</v>
      </c>
      <c r="Y26" s="61">
        <v>0</v>
      </c>
      <c r="Z26" s="78"/>
      <c r="AA26" s="78">
        <v>0</v>
      </c>
      <c r="AB26" s="62">
        <v>0</v>
      </c>
      <c r="AC26" s="63">
        <v>0</v>
      </c>
      <c r="AD26" s="63">
        <v>0</v>
      </c>
      <c r="AE26" s="1036"/>
      <c r="AF26" s="59">
        <v>0</v>
      </c>
      <c r="AG26" s="63">
        <v>0</v>
      </c>
    </row>
    <row r="27" spans="1:33" ht="15.75">
      <c r="A27" s="25">
        <f t="shared" si="2"/>
        <v>20</v>
      </c>
      <c r="B27" s="37" t="s">
        <v>60</v>
      </c>
      <c r="C27" s="1163"/>
      <c r="D27" s="1164"/>
      <c r="E27" s="1164"/>
      <c r="F27" s="1164"/>
      <c r="G27" s="1135">
        <f>+C27+E27</f>
        <v>0</v>
      </c>
      <c r="H27" s="1136">
        <f>+D27+F27</f>
        <v>0</v>
      </c>
      <c r="I27" s="1165"/>
      <c r="J27" s="1165"/>
      <c r="K27" s="1163"/>
      <c r="L27" s="1140">
        <f>+G27-H27</f>
        <v>0</v>
      </c>
      <c r="M27" s="1140"/>
      <c r="O27" s="1166"/>
      <c r="P27" s="1140">
        <f t="shared" si="5"/>
        <v>0</v>
      </c>
      <c r="R27" s="25">
        <f t="shared" si="6"/>
        <v>20</v>
      </c>
      <c r="S27" s="37" t="s">
        <v>60</v>
      </c>
      <c r="T27" s="94"/>
      <c r="U27" s="92"/>
      <c r="V27" s="92"/>
      <c r="W27" s="92"/>
      <c r="X27" s="65">
        <v>0</v>
      </c>
      <c r="Y27" s="66">
        <v>0</v>
      </c>
      <c r="Z27" s="93"/>
      <c r="AA27" s="93"/>
      <c r="AB27" s="91"/>
      <c r="AC27" s="68">
        <v>0</v>
      </c>
      <c r="AD27" s="68"/>
      <c r="AE27" s="1036"/>
      <c r="AF27" s="94"/>
      <c r="AG27" s="68">
        <v>0</v>
      </c>
    </row>
    <row r="28" spans="1:33" ht="15.75">
      <c r="A28" s="24">
        <f t="shared" si="2"/>
        <v>21</v>
      </c>
      <c r="B28" s="38" t="s">
        <v>27</v>
      </c>
      <c r="C28" s="1167">
        <f>+C29</f>
        <v>0</v>
      </c>
      <c r="D28" s="1168">
        <f t="shared" ref="D28:O29" si="10">+D29</f>
        <v>0</v>
      </c>
      <c r="E28" s="1168">
        <f t="shared" si="10"/>
        <v>0</v>
      </c>
      <c r="F28" s="1168">
        <f t="shared" si="10"/>
        <v>0</v>
      </c>
      <c r="G28" s="1168">
        <f>+C28+E28</f>
        <v>0</v>
      </c>
      <c r="H28" s="1169">
        <f>+D28+F28</f>
        <v>0</v>
      </c>
      <c r="I28" s="1170"/>
      <c r="J28" s="1170">
        <f>+J29</f>
        <v>0</v>
      </c>
      <c r="K28" s="1171">
        <f>+K29</f>
        <v>0</v>
      </c>
      <c r="L28" s="1172">
        <f>+G28-H28</f>
        <v>0</v>
      </c>
      <c r="M28" s="1172">
        <f>+M29</f>
        <v>0</v>
      </c>
      <c r="O28" s="1167">
        <f>+O29</f>
        <v>0</v>
      </c>
      <c r="P28" s="1172">
        <f t="shared" si="5"/>
        <v>0</v>
      </c>
      <c r="R28" s="24">
        <f t="shared" si="6"/>
        <v>21</v>
      </c>
      <c r="S28" s="38" t="s">
        <v>27</v>
      </c>
      <c r="T28" s="70">
        <v>0</v>
      </c>
      <c r="U28" s="71">
        <v>0</v>
      </c>
      <c r="V28" s="71">
        <v>0</v>
      </c>
      <c r="W28" s="71">
        <v>0</v>
      </c>
      <c r="X28" s="71">
        <v>0</v>
      </c>
      <c r="Y28" s="72">
        <v>0</v>
      </c>
      <c r="Z28" s="90"/>
      <c r="AA28" s="90">
        <v>0</v>
      </c>
      <c r="AB28" s="73">
        <v>0</v>
      </c>
      <c r="AC28" s="74">
        <v>0</v>
      </c>
      <c r="AD28" s="74">
        <v>0</v>
      </c>
      <c r="AE28" s="1036"/>
      <c r="AF28" s="70">
        <v>0</v>
      </c>
      <c r="AG28" s="74">
        <v>0</v>
      </c>
    </row>
    <row r="29" spans="1:33" ht="15.75">
      <c r="A29" s="29">
        <f t="shared" si="2"/>
        <v>22</v>
      </c>
      <c r="B29" s="43" t="s">
        <v>34</v>
      </c>
      <c r="C29" s="1152">
        <f>+C30</f>
        <v>0</v>
      </c>
      <c r="D29" s="1152">
        <f t="shared" si="10"/>
        <v>0</v>
      </c>
      <c r="E29" s="1152">
        <f t="shared" si="10"/>
        <v>0</v>
      </c>
      <c r="F29" s="1152">
        <f t="shared" si="10"/>
        <v>0</v>
      </c>
      <c r="G29" s="1152">
        <f t="shared" si="10"/>
        <v>0</v>
      </c>
      <c r="H29" s="1153">
        <f t="shared" si="10"/>
        <v>0</v>
      </c>
      <c r="I29" s="1154"/>
      <c r="J29" s="1154">
        <f t="shared" si="10"/>
        <v>0</v>
      </c>
      <c r="K29" s="1155">
        <f t="shared" si="10"/>
        <v>0</v>
      </c>
      <c r="L29" s="1156">
        <f t="shared" si="10"/>
        <v>0</v>
      </c>
      <c r="M29" s="1156">
        <f t="shared" si="10"/>
        <v>0</v>
      </c>
      <c r="O29" s="1157">
        <f t="shared" si="10"/>
        <v>0</v>
      </c>
      <c r="P29" s="1156">
        <f t="shared" si="5"/>
        <v>0</v>
      </c>
      <c r="R29" s="29">
        <f t="shared" si="6"/>
        <v>22</v>
      </c>
      <c r="S29" s="43" t="s">
        <v>34</v>
      </c>
      <c r="T29" s="59">
        <v>0</v>
      </c>
      <c r="U29" s="60">
        <v>0</v>
      </c>
      <c r="V29" s="60">
        <v>0</v>
      </c>
      <c r="W29" s="60">
        <v>0</v>
      </c>
      <c r="X29" s="60">
        <v>0</v>
      </c>
      <c r="Y29" s="61">
        <v>0</v>
      </c>
      <c r="Z29" s="78"/>
      <c r="AA29" s="78">
        <v>0</v>
      </c>
      <c r="AB29" s="62">
        <v>0</v>
      </c>
      <c r="AC29" s="63">
        <v>0</v>
      </c>
      <c r="AD29" s="63">
        <v>0</v>
      </c>
      <c r="AE29" s="1036"/>
      <c r="AF29" s="59">
        <v>0</v>
      </c>
      <c r="AG29" s="63">
        <v>0</v>
      </c>
    </row>
    <row r="30" spans="1:33" ht="15.75">
      <c r="A30" s="25">
        <f t="shared" si="2"/>
        <v>23</v>
      </c>
      <c r="B30" s="37" t="s">
        <v>60</v>
      </c>
      <c r="C30" s="1163"/>
      <c r="D30" s="1164"/>
      <c r="E30" s="1164"/>
      <c r="F30" s="1164"/>
      <c r="G30" s="1135">
        <f>+C30+E30</f>
        <v>0</v>
      </c>
      <c r="H30" s="1136">
        <f>+D30+F30</f>
        <v>0</v>
      </c>
      <c r="I30" s="1165"/>
      <c r="J30" s="1165"/>
      <c r="K30" s="1163"/>
      <c r="L30" s="1140">
        <f>+G30-H30</f>
        <v>0</v>
      </c>
      <c r="M30" s="1140"/>
      <c r="O30" s="1166"/>
      <c r="P30" s="1140">
        <f t="shared" si="5"/>
        <v>0</v>
      </c>
      <c r="R30" s="25">
        <f t="shared" si="6"/>
        <v>23</v>
      </c>
      <c r="S30" s="37" t="s">
        <v>60</v>
      </c>
      <c r="T30" s="94"/>
      <c r="U30" s="92"/>
      <c r="V30" s="92"/>
      <c r="W30" s="92"/>
      <c r="X30" s="65">
        <v>0</v>
      </c>
      <c r="Y30" s="66">
        <v>0</v>
      </c>
      <c r="Z30" s="93"/>
      <c r="AA30" s="93"/>
      <c r="AB30" s="91"/>
      <c r="AC30" s="68">
        <v>0</v>
      </c>
      <c r="AD30" s="68"/>
      <c r="AE30" s="1036"/>
      <c r="AF30" s="94"/>
      <c r="AG30" s="68">
        <v>0</v>
      </c>
    </row>
    <row r="31" spans="1:33" ht="15.75">
      <c r="A31" s="24">
        <f t="shared" si="2"/>
        <v>24</v>
      </c>
      <c r="B31" s="38" t="s">
        <v>32</v>
      </c>
      <c r="C31" s="1167">
        <f>+C32</f>
        <v>0</v>
      </c>
      <c r="D31" s="1168">
        <f t="shared" ref="D31:O32" si="11">+D32</f>
        <v>0</v>
      </c>
      <c r="E31" s="1168">
        <f t="shared" si="11"/>
        <v>0</v>
      </c>
      <c r="F31" s="1168">
        <f t="shared" si="11"/>
        <v>0</v>
      </c>
      <c r="G31" s="1168">
        <f>+C31+E31</f>
        <v>0</v>
      </c>
      <c r="H31" s="1169">
        <f>+D31+F31</f>
        <v>0</v>
      </c>
      <c r="I31" s="1170"/>
      <c r="J31" s="1170">
        <f>+J32</f>
        <v>0</v>
      </c>
      <c r="K31" s="1171">
        <f>+K32</f>
        <v>0</v>
      </c>
      <c r="L31" s="1172">
        <f>+G31-H31</f>
        <v>0</v>
      </c>
      <c r="M31" s="1172">
        <f>+M32</f>
        <v>0</v>
      </c>
      <c r="O31" s="1167">
        <f>+O32</f>
        <v>0</v>
      </c>
      <c r="P31" s="1172">
        <f t="shared" si="5"/>
        <v>0</v>
      </c>
      <c r="R31" s="24">
        <f t="shared" si="6"/>
        <v>24</v>
      </c>
      <c r="S31" s="38" t="s">
        <v>32</v>
      </c>
      <c r="T31" s="70">
        <v>0</v>
      </c>
      <c r="U31" s="71">
        <v>0</v>
      </c>
      <c r="V31" s="71">
        <v>0</v>
      </c>
      <c r="W31" s="71">
        <v>0</v>
      </c>
      <c r="X31" s="71">
        <v>0</v>
      </c>
      <c r="Y31" s="72">
        <v>0</v>
      </c>
      <c r="Z31" s="90"/>
      <c r="AA31" s="90">
        <v>0</v>
      </c>
      <c r="AB31" s="73">
        <v>0</v>
      </c>
      <c r="AC31" s="74">
        <v>0</v>
      </c>
      <c r="AD31" s="74">
        <v>0</v>
      </c>
      <c r="AE31" s="1036"/>
      <c r="AF31" s="70">
        <v>0</v>
      </c>
      <c r="AG31" s="74">
        <v>0</v>
      </c>
    </row>
    <row r="32" spans="1:33" ht="15.75">
      <c r="A32" s="46">
        <f t="shared" si="2"/>
        <v>25</v>
      </c>
      <c r="B32" s="47" t="s">
        <v>39</v>
      </c>
      <c r="C32" s="1152">
        <f>+C33</f>
        <v>0</v>
      </c>
      <c r="D32" s="1152">
        <f t="shared" si="11"/>
        <v>0</v>
      </c>
      <c r="E32" s="1152">
        <f t="shared" si="11"/>
        <v>0</v>
      </c>
      <c r="F32" s="1152">
        <f t="shared" si="11"/>
        <v>0</v>
      </c>
      <c r="G32" s="1152">
        <f t="shared" si="11"/>
        <v>0</v>
      </c>
      <c r="H32" s="1153">
        <f t="shared" si="11"/>
        <v>0</v>
      </c>
      <c r="I32" s="1154"/>
      <c r="J32" s="1154">
        <f t="shared" si="11"/>
        <v>0</v>
      </c>
      <c r="K32" s="1155">
        <f t="shared" si="11"/>
        <v>0</v>
      </c>
      <c r="L32" s="1156">
        <f t="shared" si="11"/>
        <v>0</v>
      </c>
      <c r="M32" s="1156">
        <f t="shared" si="11"/>
        <v>0</v>
      </c>
      <c r="O32" s="1157">
        <f t="shared" si="11"/>
        <v>0</v>
      </c>
      <c r="P32" s="1156">
        <f t="shared" si="5"/>
        <v>0</v>
      </c>
      <c r="R32" s="46">
        <f t="shared" si="6"/>
        <v>25</v>
      </c>
      <c r="S32" s="47" t="s">
        <v>39</v>
      </c>
      <c r="T32" s="59">
        <v>0</v>
      </c>
      <c r="U32" s="60">
        <v>0</v>
      </c>
      <c r="V32" s="60">
        <v>0</v>
      </c>
      <c r="W32" s="60">
        <v>0</v>
      </c>
      <c r="X32" s="60">
        <v>0</v>
      </c>
      <c r="Y32" s="61">
        <v>0</v>
      </c>
      <c r="Z32" s="78"/>
      <c r="AA32" s="78">
        <v>0</v>
      </c>
      <c r="AB32" s="62">
        <v>0</v>
      </c>
      <c r="AC32" s="63">
        <v>0</v>
      </c>
      <c r="AD32" s="63">
        <v>0</v>
      </c>
      <c r="AE32" s="1036"/>
      <c r="AF32" s="59">
        <v>0</v>
      </c>
      <c r="AG32" s="63">
        <v>0</v>
      </c>
    </row>
    <row r="33" spans="1:33" ht="16.5" thickBot="1">
      <c r="A33" s="25">
        <f t="shared" si="2"/>
        <v>26</v>
      </c>
      <c r="B33" s="37" t="s">
        <v>60</v>
      </c>
      <c r="C33" s="1146"/>
      <c r="D33" s="1147"/>
      <c r="E33" s="1147"/>
      <c r="F33" s="1147"/>
      <c r="G33" s="1135">
        <f>+C33+E33</f>
        <v>0</v>
      </c>
      <c r="H33" s="1136">
        <f>+D33+F33</f>
        <v>0</v>
      </c>
      <c r="I33" s="1148"/>
      <c r="J33" s="1148"/>
      <c r="K33" s="1146"/>
      <c r="L33" s="1140">
        <f>+G33-H33</f>
        <v>0</v>
      </c>
      <c r="M33" s="1140"/>
      <c r="O33" s="1149"/>
      <c r="P33" s="1140">
        <f t="shared" si="5"/>
        <v>0</v>
      </c>
      <c r="R33" s="25">
        <f t="shared" si="6"/>
        <v>26</v>
      </c>
      <c r="S33" s="37" t="s">
        <v>60</v>
      </c>
      <c r="T33" s="89"/>
      <c r="U33" s="87"/>
      <c r="V33" s="87"/>
      <c r="W33" s="87"/>
      <c r="X33" s="65">
        <v>0</v>
      </c>
      <c r="Y33" s="66">
        <v>0</v>
      </c>
      <c r="Z33" s="88"/>
      <c r="AA33" s="88"/>
      <c r="AB33" s="86"/>
      <c r="AC33" s="68">
        <v>0</v>
      </c>
      <c r="AD33" s="68"/>
      <c r="AE33" s="1036"/>
      <c r="AF33" s="89"/>
      <c r="AG33" s="68">
        <v>0</v>
      </c>
    </row>
    <row r="34" spans="1:33" ht="16.5" thickBot="1">
      <c r="A34" s="283">
        <f t="shared" si="2"/>
        <v>27</v>
      </c>
      <c r="B34" s="39" t="s">
        <v>23</v>
      </c>
      <c r="C34" s="1173">
        <f t="shared" ref="C34:H34" si="12">+C7+C21+C28+C31</f>
        <v>25057</v>
      </c>
      <c r="D34" s="1174">
        <f t="shared" si="12"/>
        <v>25037</v>
      </c>
      <c r="E34" s="1174">
        <f t="shared" si="12"/>
        <v>350</v>
      </c>
      <c r="F34" s="1174">
        <f t="shared" si="12"/>
        <v>350</v>
      </c>
      <c r="G34" s="1174">
        <f t="shared" si="12"/>
        <v>25407</v>
      </c>
      <c r="H34" s="1175">
        <f t="shared" si="12"/>
        <v>25387</v>
      </c>
      <c r="I34" s="1176"/>
      <c r="J34" s="1176">
        <f>+J7+J21+J28+J31</f>
        <v>0</v>
      </c>
      <c r="K34" s="1177">
        <f>+K7+K21+K28+K31</f>
        <v>636</v>
      </c>
      <c r="L34" s="1178">
        <f>+L7+L21+L28+L31</f>
        <v>20</v>
      </c>
      <c r="M34" s="1178">
        <f>+M7+M21+M28+M31</f>
        <v>20</v>
      </c>
      <c r="O34" s="1173">
        <f>+O7+O21+O28+O31</f>
        <v>0</v>
      </c>
      <c r="P34" s="1178">
        <f>+P7+P21+P28+P31</f>
        <v>25387</v>
      </c>
      <c r="R34" s="31">
        <f t="shared" si="6"/>
        <v>27</v>
      </c>
      <c r="S34" s="39" t="s">
        <v>23</v>
      </c>
      <c r="T34" s="95">
        <v>25057</v>
      </c>
      <c r="U34" s="96">
        <v>25037</v>
      </c>
      <c r="V34" s="96">
        <v>350</v>
      </c>
      <c r="W34" s="96">
        <v>350</v>
      </c>
      <c r="X34" s="96">
        <v>25407</v>
      </c>
      <c r="Y34" s="97">
        <v>25387</v>
      </c>
      <c r="Z34" s="98"/>
      <c r="AA34" s="98">
        <v>0</v>
      </c>
      <c r="AB34" s="99">
        <v>636</v>
      </c>
      <c r="AC34" s="100">
        <v>20</v>
      </c>
      <c r="AD34" s="100">
        <v>20</v>
      </c>
      <c r="AE34" s="101"/>
      <c r="AF34" s="95">
        <v>0</v>
      </c>
      <c r="AG34" s="100">
        <v>25387</v>
      </c>
    </row>
  </sheetData>
  <mergeCells count="24">
    <mergeCell ref="A4:A6"/>
    <mergeCell ref="B4:B6"/>
    <mergeCell ref="C4:D4"/>
    <mergeCell ref="E4:F4"/>
    <mergeCell ref="G4:H4"/>
    <mergeCell ref="I4:I5"/>
    <mergeCell ref="R4:R6"/>
    <mergeCell ref="S4:S6"/>
    <mergeCell ref="T4:U4"/>
    <mergeCell ref="J4:J5"/>
    <mergeCell ref="K4:K5"/>
    <mergeCell ref="L4:L5"/>
    <mergeCell ref="M4:M5"/>
    <mergeCell ref="O4:O5"/>
    <mergeCell ref="P4:P5"/>
    <mergeCell ref="AD4:AD5"/>
    <mergeCell ref="AF4:AF5"/>
    <mergeCell ref="AG4:AG5"/>
    <mergeCell ref="V4:W4"/>
    <mergeCell ref="X4:Y4"/>
    <mergeCell ref="Z4:Z5"/>
    <mergeCell ref="AA4:AA5"/>
    <mergeCell ref="AB4:AB5"/>
    <mergeCell ref="AC4:AC5"/>
  </mergeCells>
  <pageMargins left="0.7" right="0.7" top="0.78740157499999996" bottom="0.78740157499999996"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3"/>
  <dimension ref="A1:AG34"/>
  <sheetViews>
    <sheetView zoomScale="85" zoomScaleNormal="85" workbookViewId="0">
      <selection activeCell="R1" sqref="R1:AG65536"/>
    </sheetView>
  </sheetViews>
  <sheetFormatPr defaultRowHeight="15"/>
  <cols>
    <col min="1" max="1" width="9.42578125" customWidth="1"/>
    <col min="2" max="2" width="45.85546875" customWidth="1"/>
    <col min="3" max="3" width="12.7109375" customWidth="1"/>
    <col min="4" max="4" width="11.5703125" customWidth="1"/>
    <col min="5" max="5" width="11.28515625" customWidth="1"/>
    <col min="6" max="6" width="11.5703125" customWidth="1"/>
    <col min="7" max="7" width="10.85546875" customWidth="1"/>
    <col min="8" max="9" width="10.42578125" customWidth="1"/>
    <col min="10" max="10" width="12.5703125" customWidth="1"/>
    <col min="11" max="11" width="10.5703125" customWidth="1"/>
    <col min="12" max="12" width="14" customWidth="1"/>
    <col min="13" max="13" width="12.42578125" customWidth="1"/>
    <col min="14" max="14" width="1.7109375" customWidth="1"/>
    <col min="15" max="15" width="11" customWidth="1"/>
    <col min="16" max="16" width="10.85546875" customWidth="1"/>
    <col min="18" max="18" width="9.42578125" hidden="1" customWidth="1"/>
    <col min="19" max="19" width="45.85546875" hidden="1" customWidth="1"/>
    <col min="20" max="20" width="12.7109375" hidden="1" customWidth="1"/>
    <col min="21" max="21" width="11.5703125" hidden="1" customWidth="1"/>
    <col min="22" max="22" width="11.28515625" hidden="1" customWidth="1"/>
    <col min="23" max="23" width="11.5703125" hidden="1" customWidth="1"/>
    <col min="24" max="25" width="12.140625" hidden="1" customWidth="1"/>
    <col min="26" max="26" width="10.42578125" hidden="1" customWidth="1"/>
    <col min="27" max="27" width="12.5703125" hidden="1" customWidth="1"/>
    <col min="28" max="28" width="10.5703125" hidden="1" customWidth="1"/>
    <col min="29" max="29" width="14" hidden="1" customWidth="1"/>
    <col min="30" max="30" width="12.42578125" hidden="1" customWidth="1"/>
    <col min="31" max="31" width="1.7109375" hidden="1" customWidth="1"/>
    <col min="32" max="32" width="11" hidden="1" customWidth="1"/>
    <col min="33" max="33" width="10.85546875" hidden="1" customWidth="1"/>
  </cols>
  <sheetData>
    <row r="1" spans="1:33" ht="15.75">
      <c r="A1" s="102" t="s">
        <v>44</v>
      </c>
      <c r="B1" s="28"/>
      <c r="C1" s="20"/>
      <c r="D1" s="20"/>
      <c r="E1" s="20"/>
      <c r="F1" s="20"/>
      <c r="G1" s="20"/>
      <c r="H1" s="20"/>
      <c r="I1" s="20"/>
      <c r="J1" s="20"/>
      <c r="K1" s="20"/>
      <c r="L1" s="20"/>
      <c r="M1" s="20"/>
      <c r="N1" s="22"/>
      <c r="O1" s="20"/>
      <c r="P1" s="20"/>
    </row>
    <row r="2" spans="1:33" ht="15.75">
      <c r="A2" s="3"/>
      <c r="B2" s="2" t="s">
        <v>43</v>
      </c>
      <c r="C2" s="20"/>
      <c r="D2" s="20"/>
      <c r="E2" s="20"/>
      <c r="F2" s="20"/>
      <c r="G2" s="20"/>
      <c r="H2" s="20"/>
      <c r="I2" s="20"/>
      <c r="J2" s="20"/>
      <c r="K2" s="20"/>
      <c r="L2" s="20"/>
      <c r="M2" s="20"/>
      <c r="N2" s="22"/>
      <c r="O2" s="20"/>
      <c r="P2" s="20"/>
    </row>
    <row r="3" spans="1:33" ht="16.5" thickBot="1">
      <c r="A3" s="20"/>
      <c r="B3" s="19"/>
      <c r="C3" s="20"/>
      <c r="D3" s="20"/>
      <c r="E3" s="20"/>
      <c r="F3" s="20"/>
      <c r="G3" s="20"/>
      <c r="H3" s="20"/>
      <c r="I3" s="20"/>
      <c r="J3" s="20"/>
      <c r="K3" s="20"/>
      <c r="L3" s="20"/>
      <c r="M3" s="20"/>
      <c r="N3" s="22"/>
      <c r="O3" s="20"/>
      <c r="P3" s="23" t="s">
        <v>2</v>
      </c>
    </row>
    <row r="4" spans="1:33">
      <c r="A4" s="1357" t="s">
        <v>1</v>
      </c>
      <c r="B4" s="1354" t="s">
        <v>46</v>
      </c>
      <c r="C4" s="1394" t="s">
        <v>18</v>
      </c>
      <c r="D4" s="1361"/>
      <c r="E4" s="1361" t="s">
        <v>19</v>
      </c>
      <c r="F4" s="1361"/>
      <c r="G4" s="1364" t="s">
        <v>20</v>
      </c>
      <c r="H4" s="1365"/>
      <c r="I4" s="1349" t="s">
        <v>47</v>
      </c>
      <c r="J4" s="1349" t="s">
        <v>48</v>
      </c>
      <c r="K4" s="1351" t="s">
        <v>49</v>
      </c>
      <c r="L4" s="1362" t="s">
        <v>117</v>
      </c>
      <c r="M4" s="1370" t="s">
        <v>118</v>
      </c>
      <c r="N4" s="9"/>
      <c r="O4" s="1366" t="s">
        <v>65</v>
      </c>
      <c r="P4" s="1368" t="s">
        <v>21</v>
      </c>
      <c r="R4" s="1357" t="s">
        <v>1</v>
      </c>
      <c r="S4" s="1354" t="s">
        <v>46</v>
      </c>
      <c r="T4" s="1360" t="s">
        <v>18</v>
      </c>
      <c r="U4" s="1361"/>
      <c r="V4" s="1361" t="s">
        <v>19</v>
      </c>
      <c r="W4" s="1361"/>
      <c r="X4" s="1364" t="s">
        <v>20</v>
      </c>
      <c r="Y4" s="1365"/>
      <c r="Z4" s="1349" t="s">
        <v>47</v>
      </c>
      <c r="AA4" s="1349" t="s">
        <v>48</v>
      </c>
      <c r="AB4" s="1351" t="s">
        <v>49</v>
      </c>
      <c r="AC4" s="1362" t="s">
        <v>62</v>
      </c>
      <c r="AD4" s="1370" t="s">
        <v>69</v>
      </c>
      <c r="AE4" s="1037"/>
      <c r="AF4" s="1366" t="s">
        <v>65</v>
      </c>
      <c r="AG4" s="1368" t="s">
        <v>21</v>
      </c>
    </row>
    <row r="5" spans="1:33">
      <c r="A5" s="1358"/>
      <c r="B5" s="1355"/>
      <c r="C5" s="10" t="s">
        <v>26</v>
      </c>
      <c r="D5" s="11" t="s">
        <v>50</v>
      </c>
      <c r="E5" s="10" t="s">
        <v>12</v>
      </c>
      <c r="F5" s="11" t="s">
        <v>16</v>
      </c>
      <c r="G5" s="11" t="s">
        <v>12</v>
      </c>
      <c r="H5" s="33" t="s">
        <v>16</v>
      </c>
      <c r="I5" s="1350"/>
      <c r="J5" s="1350"/>
      <c r="K5" s="1352"/>
      <c r="L5" s="1363"/>
      <c r="M5" s="1371"/>
      <c r="N5" s="9"/>
      <c r="O5" s="1367"/>
      <c r="P5" s="1369"/>
      <c r="R5" s="1358"/>
      <c r="S5" s="1355"/>
      <c r="T5" s="1077" t="s">
        <v>26</v>
      </c>
      <c r="U5" s="11" t="s">
        <v>50</v>
      </c>
      <c r="V5" s="10" t="s">
        <v>12</v>
      </c>
      <c r="W5" s="11" t="s">
        <v>16</v>
      </c>
      <c r="X5" s="11" t="s">
        <v>12</v>
      </c>
      <c r="Y5" s="33" t="s">
        <v>16</v>
      </c>
      <c r="Z5" s="1350"/>
      <c r="AA5" s="1350"/>
      <c r="AB5" s="1352"/>
      <c r="AC5" s="1363"/>
      <c r="AD5" s="1371"/>
      <c r="AE5" s="1037"/>
      <c r="AF5" s="1367"/>
      <c r="AG5" s="1369"/>
    </row>
    <row r="6" spans="1:33" ht="15.75" thickBot="1">
      <c r="A6" s="1359"/>
      <c r="B6" s="1356"/>
      <c r="C6" s="12" t="s">
        <v>4</v>
      </c>
      <c r="D6" s="13" t="s">
        <v>5</v>
      </c>
      <c r="E6" s="13" t="s">
        <v>6</v>
      </c>
      <c r="F6" s="13" t="s">
        <v>7</v>
      </c>
      <c r="G6" s="13" t="s">
        <v>13</v>
      </c>
      <c r="H6" s="34" t="s">
        <v>14</v>
      </c>
      <c r="I6" s="45" t="s">
        <v>28</v>
      </c>
      <c r="J6" s="45" t="s">
        <v>31</v>
      </c>
      <c r="K6" s="32" t="s">
        <v>9</v>
      </c>
      <c r="L6" s="14" t="s">
        <v>22</v>
      </c>
      <c r="M6" s="14" t="s">
        <v>63</v>
      </c>
      <c r="N6" s="9"/>
      <c r="O6" s="44" t="s">
        <v>10</v>
      </c>
      <c r="P6" s="14" t="s">
        <v>64</v>
      </c>
      <c r="R6" s="1359"/>
      <c r="S6" s="1356"/>
      <c r="T6" s="1078" t="s">
        <v>4</v>
      </c>
      <c r="U6" s="13" t="s">
        <v>5</v>
      </c>
      <c r="V6" s="13" t="s">
        <v>6</v>
      </c>
      <c r="W6" s="13" t="s">
        <v>7</v>
      </c>
      <c r="X6" s="13" t="s">
        <v>13</v>
      </c>
      <c r="Y6" s="34" t="s">
        <v>14</v>
      </c>
      <c r="Z6" s="45" t="s">
        <v>28</v>
      </c>
      <c r="AA6" s="45" t="s">
        <v>31</v>
      </c>
      <c r="AB6" s="32" t="s">
        <v>9</v>
      </c>
      <c r="AC6" s="14" t="s">
        <v>22</v>
      </c>
      <c r="AD6" s="14" t="s">
        <v>63</v>
      </c>
      <c r="AE6" s="1037"/>
      <c r="AF6" s="44" t="s">
        <v>10</v>
      </c>
      <c r="AG6" s="14" t="s">
        <v>64</v>
      </c>
    </row>
    <row r="7" spans="1:33">
      <c r="A7" s="24">
        <v>1</v>
      </c>
      <c r="B7" s="38" t="s">
        <v>15</v>
      </c>
      <c r="C7" s="55">
        <f>+C8+C12</f>
        <v>4366</v>
      </c>
      <c r="D7" s="55">
        <f t="shared" ref="D7:L7" si="0">+D8+D12</f>
        <v>4366</v>
      </c>
      <c r="E7" s="55">
        <f t="shared" si="0"/>
        <v>308</v>
      </c>
      <c r="F7" s="55">
        <f t="shared" si="0"/>
        <v>308</v>
      </c>
      <c r="G7" s="55">
        <f t="shared" si="0"/>
        <v>4674</v>
      </c>
      <c r="H7" s="56">
        <f t="shared" si="0"/>
        <v>4674</v>
      </c>
      <c r="I7" s="75"/>
      <c r="J7" s="75">
        <f t="shared" si="0"/>
        <v>0</v>
      </c>
      <c r="K7" s="57">
        <f t="shared" si="0"/>
        <v>234</v>
      </c>
      <c r="L7" s="58">
        <f t="shared" si="0"/>
        <v>0</v>
      </c>
      <c r="M7" s="58">
        <f>+M8+M12</f>
        <v>0</v>
      </c>
      <c r="N7" s="76"/>
      <c r="O7" s="54">
        <f>+O8+O12</f>
        <v>0</v>
      </c>
      <c r="P7" s="55">
        <f>+P8+P12</f>
        <v>4674</v>
      </c>
      <c r="R7" s="24">
        <v>1</v>
      </c>
      <c r="S7" s="38" t="s">
        <v>15</v>
      </c>
      <c r="T7" s="54">
        <v>4366</v>
      </c>
      <c r="U7" s="55">
        <v>4366</v>
      </c>
      <c r="V7" s="55">
        <v>308</v>
      </c>
      <c r="W7" s="55">
        <v>308</v>
      </c>
      <c r="X7" s="55">
        <v>4674</v>
      </c>
      <c r="Y7" s="56">
        <v>4674</v>
      </c>
      <c r="Z7" s="75"/>
      <c r="AA7" s="75">
        <v>0</v>
      </c>
      <c r="AB7" s="57">
        <v>234</v>
      </c>
      <c r="AC7" s="58">
        <v>0</v>
      </c>
      <c r="AD7" s="58">
        <v>0</v>
      </c>
      <c r="AE7" s="1036"/>
      <c r="AF7" s="54">
        <v>0</v>
      </c>
      <c r="AG7" s="58">
        <v>4674</v>
      </c>
    </row>
    <row r="8" spans="1:33">
      <c r="A8" s="48">
        <f>A7+1</f>
        <v>2</v>
      </c>
      <c r="B8" s="35" t="s">
        <v>35</v>
      </c>
      <c r="C8" s="60">
        <f t="shared" ref="C8:L8" si="1">SUM(C9:C11)</f>
        <v>3514</v>
      </c>
      <c r="D8" s="60">
        <f t="shared" si="1"/>
        <v>3514</v>
      </c>
      <c r="E8" s="60">
        <f t="shared" si="1"/>
        <v>308</v>
      </c>
      <c r="F8" s="60">
        <f t="shared" si="1"/>
        <v>308</v>
      </c>
      <c r="G8" s="60">
        <f t="shared" si="1"/>
        <v>3822</v>
      </c>
      <c r="H8" s="61">
        <f t="shared" si="1"/>
        <v>3822</v>
      </c>
      <c r="I8" s="77"/>
      <c r="J8" s="78">
        <f t="shared" si="1"/>
        <v>0</v>
      </c>
      <c r="K8" s="62">
        <f>SUM(K9:K11)</f>
        <v>191</v>
      </c>
      <c r="L8" s="63">
        <f t="shared" si="1"/>
        <v>0</v>
      </c>
      <c r="M8" s="63">
        <f>SUM(M9:M11)</f>
        <v>0</v>
      </c>
      <c r="N8" s="76"/>
      <c r="O8" s="59">
        <f>SUM(O9:O11)</f>
        <v>0</v>
      </c>
      <c r="P8" s="63">
        <f>SUM(P9:P11)</f>
        <v>3822</v>
      </c>
      <c r="R8" s="48">
        <f>R7+1</f>
        <v>2</v>
      </c>
      <c r="S8" s="35" t="s">
        <v>35</v>
      </c>
      <c r="T8" s="59">
        <v>3514</v>
      </c>
      <c r="U8" s="60">
        <v>3514</v>
      </c>
      <c r="V8" s="60">
        <v>308</v>
      </c>
      <c r="W8" s="60">
        <v>308</v>
      </c>
      <c r="X8" s="60">
        <v>3822</v>
      </c>
      <c r="Y8" s="61">
        <v>3822</v>
      </c>
      <c r="Z8" s="77"/>
      <c r="AA8" s="78">
        <v>0</v>
      </c>
      <c r="AB8" s="62">
        <v>191</v>
      </c>
      <c r="AC8" s="63">
        <v>0</v>
      </c>
      <c r="AD8" s="63">
        <v>0</v>
      </c>
      <c r="AE8" s="1036"/>
      <c r="AF8" s="59">
        <v>0</v>
      </c>
      <c r="AG8" s="63">
        <v>3822</v>
      </c>
    </row>
    <row r="9" spans="1:33">
      <c r="A9" s="25">
        <f t="shared" ref="A9:A34" si="2">A8+1</f>
        <v>3</v>
      </c>
      <c r="B9" s="36" t="s">
        <v>58</v>
      </c>
      <c r="C9" s="65">
        <v>3514</v>
      </c>
      <c r="D9" s="65">
        <v>3514</v>
      </c>
      <c r="E9" s="65">
        <v>308</v>
      </c>
      <c r="F9" s="65">
        <v>308</v>
      </c>
      <c r="G9" s="65">
        <f t="shared" ref="G9:H21" si="3">+C9+E9</f>
        <v>3822</v>
      </c>
      <c r="H9" s="66">
        <f t="shared" si="3"/>
        <v>3822</v>
      </c>
      <c r="I9" s="79"/>
      <c r="J9" s="80"/>
      <c r="K9" s="67">
        <v>191</v>
      </c>
      <c r="L9" s="1179">
        <v>0</v>
      </c>
      <c r="M9" s="68"/>
      <c r="N9" s="76"/>
      <c r="O9" s="64"/>
      <c r="P9" s="68">
        <f t="shared" ref="P9:P33" si="4">H9+O9</f>
        <v>3822</v>
      </c>
      <c r="R9" s="25">
        <f t="shared" ref="R9:R34" si="5">R8+1</f>
        <v>3</v>
      </c>
      <c r="S9" s="36" t="s">
        <v>58</v>
      </c>
      <c r="T9" s="64">
        <v>3514</v>
      </c>
      <c r="U9" s="65">
        <v>3514</v>
      </c>
      <c r="V9" s="65">
        <v>308</v>
      </c>
      <c r="W9" s="65">
        <v>308</v>
      </c>
      <c r="X9" s="65">
        <v>3822</v>
      </c>
      <c r="Y9" s="66">
        <v>3822</v>
      </c>
      <c r="Z9" s="80"/>
      <c r="AA9" s="80"/>
      <c r="AB9" s="67">
        <v>191</v>
      </c>
      <c r="AC9" s="68">
        <v>0</v>
      </c>
      <c r="AD9" s="68"/>
      <c r="AE9" s="1036"/>
      <c r="AF9" s="64"/>
      <c r="AG9" s="68">
        <v>3822</v>
      </c>
    </row>
    <row r="10" spans="1:33">
      <c r="A10" s="25">
        <f t="shared" si="2"/>
        <v>4</v>
      </c>
      <c r="B10" s="36" t="s">
        <v>36</v>
      </c>
      <c r="C10" s="65"/>
      <c r="D10" s="65"/>
      <c r="E10" s="65"/>
      <c r="F10" s="65"/>
      <c r="G10" s="65">
        <f t="shared" si="3"/>
        <v>0</v>
      </c>
      <c r="H10" s="66">
        <f t="shared" si="3"/>
        <v>0</v>
      </c>
      <c r="I10" s="79"/>
      <c r="J10" s="80"/>
      <c r="K10" s="67"/>
      <c r="L10" s="68">
        <f t="shared" ref="L10:L20" si="6">+G10-H10</f>
        <v>0</v>
      </c>
      <c r="M10" s="68"/>
      <c r="N10" s="76"/>
      <c r="O10" s="64"/>
      <c r="P10" s="68">
        <f t="shared" si="4"/>
        <v>0</v>
      </c>
      <c r="R10" s="25">
        <f t="shared" si="5"/>
        <v>4</v>
      </c>
      <c r="S10" s="36" t="s">
        <v>36</v>
      </c>
      <c r="T10" s="64"/>
      <c r="U10" s="65"/>
      <c r="V10" s="65"/>
      <c r="W10" s="65"/>
      <c r="X10" s="65">
        <v>0</v>
      </c>
      <c r="Y10" s="249">
        <v>0</v>
      </c>
      <c r="Z10" s="80"/>
      <c r="AA10" s="80"/>
      <c r="AB10" s="67"/>
      <c r="AC10" s="68">
        <v>0</v>
      </c>
      <c r="AD10" s="68"/>
      <c r="AE10" s="1036"/>
      <c r="AF10" s="64"/>
      <c r="AG10" s="68">
        <v>0</v>
      </c>
    </row>
    <row r="11" spans="1:33">
      <c r="A11" s="25">
        <f t="shared" si="2"/>
        <v>5</v>
      </c>
      <c r="B11" s="37" t="s">
        <v>30</v>
      </c>
      <c r="C11" s="65"/>
      <c r="D11" s="65"/>
      <c r="E11" s="65"/>
      <c r="F11" s="65"/>
      <c r="G11" s="65">
        <f t="shared" si="3"/>
        <v>0</v>
      </c>
      <c r="H11" s="66">
        <f t="shared" si="3"/>
        <v>0</v>
      </c>
      <c r="I11" s="79"/>
      <c r="J11" s="80"/>
      <c r="K11" s="67"/>
      <c r="L11" s="68">
        <f t="shared" si="6"/>
        <v>0</v>
      </c>
      <c r="M11" s="68"/>
      <c r="N11" s="76"/>
      <c r="O11" s="64"/>
      <c r="P11" s="68">
        <f t="shared" si="4"/>
        <v>0</v>
      </c>
      <c r="R11" s="25">
        <f t="shared" si="5"/>
        <v>5</v>
      </c>
      <c r="S11" s="37" t="s">
        <v>30</v>
      </c>
      <c r="T11" s="64"/>
      <c r="U11" s="65"/>
      <c r="V11" s="65"/>
      <c r="W11" s="65"/>
      <c r="X11" s="65">
        <v>0</v>
      </c>
      <c r="Y11" s="66">
        <v>0</v>
      </c>
      <c r="Z11" s="79"/>
      <c r="AA11" s="80"/>
      <c r="AB11" s="67"/>
      <c r="AC11" s="68">
        <v>0</v>
      </c>
      <c r="AD11" s="68"/>
      <c r="AE11" s="1036"/>
      <c r="AF11" s="64"/>
      <c r="AG11" s="68">
        <v>0</v>
      </c>
    </row>
    <row r="12" spans="1:33">
      <c r="A12" s="48">
        <f t="shared" si="2"/>
        <v>6</v>
      </c>
      <c r="B12" s="35" t="s">
        <v>42</v>
      </c>
      <c r="C12" s="60">
        <f>+C13+C16+C18+C19</f>
        <v>852</v>
      </c>
      <c r="D12" s="60">
        <f>+D13+D16+D18+D19</f>
        <v>852</v>
      </c>
      <c r="E12" s="60">
        <f>+E13+E16+E18+E19</f>
        <v>0</v>
      </c>
      <c r="F12" s="60">
        <f>+F13+F16+F18+F19</f>
        <v>0</v>
      </c>
      <c r="G12" s="60">
        <f t="shared" si="3"/>
        <v>852</v>
      </c>
      <c r="H12" s="61">
        <f t="shared" si="3"/>
        <v>852</v>
      </c>
      <c r="I12" s="78"/>
      <c r="J12" s="78">
        <f>+J13+J16+J18+J19</f>
        <v>0</v>
      </c>
      <c r="K12" s="62">
        <f>+K13+K16+K18+K19</f>
        <v>43</v>
      </c>
      <c r="L12" s="63">
        <f t="shared" si="6"/>
        <v>0</v>
      </c>
      <c r="M12" s="63">
        <f>+M13+M16+M18+M19</f>
        <v>0</v>
      </c>
      <c r="N12" s="76"/>
      <c r="O12" s="59">
        <f>+O13+O16+O18+O19</f>
        <v>0</v>
      </c>
      <c r="P12" s="63">
        <f t="shared" si="4"/>
        <v>852</v>
      </c>
      <c r="R12" s="48">
        <f t="shared" si="5"/>
        <v>6</v>
      </c>
      <c r="S12" s="35" t="s">
        <v>42</v>
      </c>
      <c r="T12" s="59">
        <v>852</v>
      </c>
      <c r="U12" s="60">
        <v>852</v>
      </c>
      <c r="V12" s="60">
        <v>0</v>
      </c>
      <c r="W12" s="60">
        <v>0</v>
      </c>
      <c r="X12" s="60">
        <v>852</v>
      </c>
      <c r="Y12" s="61">
        <v>852</v>
      </c>
      <c r="Z12" s="78"/>
      <c r="AA12" s="78">
        <v>0</v>
      </c>
      <c r="AB12" s="62">
        <v>43</v>
      </c>
      <c r="AC12" s="63">
        <v>0</v>
      </c>
      <c r="AD12" s="63">
        <v>0</v>
      </c>
      <c r="AE12" s="1036"/>
      <c r="AF12" s="59">
        <v>0</v>
      </c>
      <c r="AG12" s="63">
        <v>852</v>
      </c>
    </row>
    <row r="13" spans="1:33">
      <c r="A13" s="29">
        <f t="shared" si="2"/>
        <v>7</v>
      </c>
      <c r="B13" s="36" t="s">
        <v>51</v>
      </c>
      <c r="C13" s="81"/>
      <c r="D13" s="82"/>
      <c r="E13" s="82"/>
      <c r="F13" s="82"/>
      <c r="G13" s="65">
        <f t="shared" si="3"/>
        <v>0</v>
      </c>
      <c r="H13" s="66">
        <f t="shared" si="3"/>
        <v>0</v>
      </c>
      <c r="I13" s="79"/>
      <c r="J13" s="83"/>
      <c r="K13" s="81"/>
      <c r="L13" s="68">
        <f t="shared" si="6"/>
        <v>0</v>
      </c>
      <c r="M13" s="68"/>
      <c r="N13" s="84"/>
      <c r="O13" s="85"/>
      <c r="P13" s="68">
        <f t="shared" si="4"/>
        <v>0</v>
      </c>
      <c r="R13" s="29">
        <f t="shared" si="5"/>
        <v>7</v>
      </c>
      <c r="S13" s="36" t="s">
        <v>51</v>
      </c>
      <c r="T13" s="85"/>
      <c r="U13" s="82"/>
      <c r="V13" s="82"/>
      <c r="W13" s="82"/>
      <c r="X13" s="65">
        <v>0</v>
      </c>
      <c r="Y13" s="66">
        <v>0</v>
      </c>
      <c r="Z13" s="79"/>
      <c r="AA13" s="83"/>
      <c r="AB13" s="81"/>
      <c r="AC13" s="68">
        <v>0</v>
      </c>
      <c r="AD13" s="68"/>
      <c r="AE13" s="706"/>
      <c r="AF13" s="85"/>
      <c r="AG13" s="68">
        <v>0</v>
      </c>
    </row>
    <row r="14" spans="1:33">
      <c r="A14" s="29"/>
      <c r="B14" s="36" t="s">
        <v>61</v>
      </c>
      <c r="C14" s="81"/>
      <c r="D14" s="82"/>
      <c r="E14" s="82"/>
      <c r="F14" s="82"/>
      <c r="G14" s="65">
        <f t="shared" si="3"/>
        <v>0</v>
      </c>
      <c r="H14" s="66">
        <f t="shared" si="3"/>
        <v>0</v>
      </c>
      <c r="I14" s="79"/>
      <c r="J14" s="83"/>
      <c r="K14" s="81"/>
      <c r="L14" s="68">
        <f t="shared" si="6"/>
        <v>0</v>
      </c>
      <c r="M14" s="68"/>
      <c r="N14" s="84"/>
      <c r="O14" s="85"/>
      <c r="P14" s="68">
        <f t="shared" si="4"/>
        <v>0</v>
      </c>
      <c r="R14" s="29"/>
      <c r="S14" s="36" t="s">
        <v>61</v>
      </c>
      <c r="T14" s="85"/>
      <c r="U14" s="82"/>
      <c r="V14" s="82"/>
      <c r="W14" s="82"/>
      <c r="X14" s="65">
        <v>0</v>
      </c>
      <c r="Y14" s="66">
        <v>0</v>
      </c>
      <c r="Z14" s="79"/>
      <c r="AA14" s="83"/>
      <c r="AB14" s="81"/>
      <c r="AC14" s="68">
        <v>0</v>
      </c>
      <c r="AD14" s="68"/>
      <c r="AE14" s="706"/>
      <c r="AF14" s="85"/>
      <c r="AG14" s="68">
        <v>0</v>
      </c>
    </row>
    <row r="15" spans="1:33">
      <c r="A15" s="25">
        <f>A13+1</f>
        <v>8</v>
      </c>
      <c r="B15" s="37" t="s">
        <v>66</v>
      </c>
      <c r="C15" s="86"/>
      <c r="D15" s="87"/>
      <c r="E15" s="87"/>
      <c r="F15" s="87"/>
      <c r="G15" s="65">
        <f t="shared" si="3"/>
        <v>0</v>
      </c>
      <c r="H15" s="66">
        <f t="shared" si="3"/>
        <v>0</v>
      </c>
      <c r="I15" s="88"/>
      <c r="J15" s="88"/>
      <c r="K15" s="86"/>
      <c r="L15" s="68">
        <f t="shared" si="6"/>
        <v>0</v>
      </c>
      <c r="M15" s="68"/>
      <c r="N15" s="76"/>
      <c r="O15" s="89"/>
      <c r="P15" s="68">
        <f t="shared" si="4"/>
        <v>0</v>
      </c>
      <c r="R15" s="25">
        <f>R13+1</f>
        <v>8</v>
      </c>
      <c r="S15" s="37" t="s">
        <v>66</v>
      </c>
      <c r="T15" s="89"/>
      <c r="U15" s="87"/>
      <c r="V15" s="87"/>
      <c r="W15" s="87"/>
      <c r="X15" s="65">
        <v>0</v>
      </c>
      <c r="Y15" s="66">
        <v>0</v>
      </c>
      <c r="Z15" s="88"/>
      <c r="AA15" s="88"/>
      <c r="AB15" s="86"/>
      <c r="AC15" s="68">
        <v>0</v>
      </c>
      <c r="AD15" s="68"/>
      <c r="AE15" s="1036"/>
      <c r="AF15" s="89"/>
      <c r="AG15" s="68">
        <v>0</v>
      </c>
    </row>
    <row r="16" spans="1:33">
      <c r="A16" s="29">
        <f t="shared" si="2"/>
        <v>9</v>
      </c>
      <c r="B16" s="36" t="s">
        <v>52</v>
      </c>
      <c r="C16" s="81"/>
      <c r="D16" s="82"/>
      <c r="E16" s="82"/>
      <c r="F16" s="82"/>
      <c r="G16" s="65">
        <f t="shared" si="3"/>
        <v>0</v>
      </c>
      <c r="H16" s="66">
        <f t="shared" si="3"/>
        <v>0</v>
      </c>
      <c r="I16" s="79"/>
      <c r="J16" s="83"/>
      <c r="K16" s="81"/>
      <c r="L16" s="68">
        <f t="shared" si="6"/>
        <v>0</v>
      </c>
      <c r="M16" s="68"/>
      <c r="N16" s="84"/>
      <c r="O16" s="85"/>
      <c r="P16" s="68">
        <f t="shared" si="4"/>
        <v>0</v>
      </c>
      <c r="R16" s="29">
        <f t="shared" si="5"/>
        <v>9</v>
      </c>
      <c r="S16" s="36" t="s">
        <v>52</v>
      </c>
      <c r="T16" s="85"/>
      <c r="U16" s="82"/>
      <c r="V16" s="82"/>
      <c r="W16" s="82"/>
      <c r="X16" s="65">
        <v>0</v>
      </c>
      <c r="Y16" s="66">
        <v>0</v>
      </c>
      <c r="Z16" s="79"/>
      <c r="AA16" s="83"/>
      <c r="AB16" s="81"/>
      <c r="AC16" s="68">
        <v>0</v>
      </c>
      <c r="AD16" s="68"/>
      <c r="AE16" s="706"/>
      <c r="AF16" s="85"/>
      <c r="AG16" s="68">
        <v>0</v>
      </c>
    </row>
    <row r="17" spans="1:33">
      <c r="A17" s="25">
        <f t="shared" si="2"/>
        <v>10</v>
      </c>
      <c r="B17" s="37" t="s">
        <v>30</v>
      </c>
      <c r="C17" s="86"/>
      <c r="D17" s="87"/>
      <c r="E17" s="87"/>
      <c r="F17" s="87"/>
      <c r="G17" s="65">
        <f t="shared" si="3"/>
        <v>0</v>
      </c>
      <c r="H17" s="66">
        <f t="shared" si="3"/>
        <v>0</v>
      </c>
      <c r="I17" s="88"/>
      <c r="J17" s="88"/>
      <c r="K17" s="86"/>
      <c r="L17" s="68">
        <f t="shared" si="6"/>
        <v>0</v>
      </c>
      <c r="M17" s="68"/>
      <c r="N17" s="76"/>
      <c r="O17" s="89"/>
      <c r="P17" s="68">
        <f t="shared" si="4"/>
        <v>0</v>
      </c>
      <c r="R17" s="25">
        <f t="shared" si="5"/>
        <v>10</v>
      </c>
      <c r="S17" s="37" t="s">
        <v>30</v>
      </c>
      <c r="T17" s="89"/>
      <c r="U17" s="87"/>
      <c r="V17" s="87"/>
      <c r="W17" s="87"/>
      <c r="X17" s="65">
        <v>0</v>
      </c>
      <c r="Y17" s="66">
        <v>0</v>
      </c>
      <c r="Z17" s="88"/>
      <c r="AA17" s="88"/>
      <c r="AB17" s="86"/>
      <c r="AC17" s="68">
        <v>0</v>
      </c>
      <c r="AD17" s="68"/>
      <c r="AE17" s="1036"/>
      <c r="AF17" s="89"/>
      <c r="AG17" s="68">
        <v>0</v>
      </c>
    </row>
    <row r="18" spans="1:33">
      <c r="A18" s="29">
        <f t="shared" si="2"/>
        <v>11</v>
      </c>
      <c r="B18" s="36" t="s">
        <v>37</v>
      </c>
      <c r="C18" s="81">
        <v>852</v>
      </c>
      <c r="D18" s="81">
        <v>852</v>
      </c>
      <c r="E18" s="82"/>
      <c r="F18" s="82"/>
      <c r="G18" s="65">
        <f t="shared" si="3"/>
        <v>852</v>
      </c>
      <c r="H18" s="66">
        <f t="shared" si="3"/>
        <v>852</v>
      </c>
      <c r="I18" s="83"/>
      <c r="J18" s="83"/>
      <c r="K18" s="81">
        <v>43</v>
      </c>
      <c r="L18" s="68">
        <f t="shared" si="6"/>
        <v>0</v>
      </c>
      <c r="M18" s="68"/>
      <c r="N18" s="84"/>
      <c r="O18" s="85"/>
      <c r="P18" s="68">
        <f t="shared" si="4"/>
        <v>852</v>
      </c>
      <c r="R18" s="29">
        <f t="shared" si="5"/>
        <v>11</v>
      </c>
      <c r="S18" s="36" t="s">
        <v>37</v>
      </c>
      <c r="T18" s="85">
        <v>852</v>
      </c>
      <c r="U18" s="82">
        <v>852</v>
      </c>
      <c r="V18" s="82"/>
      <c r="W18" s="82"/>
      <c r="X18" s="65">
        <v>852</v>
      </c>
      <c r="Y18" s="66">
        <v>852</v>
      </c>
      <c r="Z18" s="83"/>
      <c r="AA18" s="83"/>
      <c r="AB18" s="81">
        <v>43</v>
      </c>
      <c r="AC18" s="68">
        <v>0</v>
      </c>
      <c r="AD18" s="68"/>
      <c r="AE18" s="706"/>
      <c r="AF18" s="85"/>
      <c r="AG18" s="68">
        <v>852</v>
      </c>
    </row>
    <row r="19" spans="1:33">
      <c r="A19" s="29">
        <f t="shared" si="2"/>
        <v>12</v>
      </c>
      <c r="B19" s="50" t="s">
        <v>38</v>
      </c>
      <c r="C19" s="81"/>
      <c r="D19" s="82"/>
      <c r="E19" s="82"/>
      <c r="F19" s="82"/>
      <c r="G19" s="65">
        <f t="shared" si="3"/>
        <v>0</v>
      </c>
      <c r="H19" s="66">
        <f t="shared" si="3"/>
        <v>0</v>
      </c>
      <c r="I19" s="83"/>
      <c r="J19" s="83"/>
      <c r="K19" s="81"/>
      <c r="L19" s="68">
        <f t="shared" si="6"/>
        <v>0</v>
      </c>
      <c r="M19" s="68"/>
      <c r="N19" s="84"/>
      <c r="O19" s="85"/>
      <c r="P19" s="68">
        <f t="shared" si="4"/>
        <v>0</v>
      </c>
      <c r="R19" s="29">
        <f t="shared" si="5"/>
        <v>12</v>
      </c>
      <c r="S19" s="50" t="s">
        <v>38</v>
      </c>
      <c r="T19" s="85"/>
      <c r="U19" s="82"/>
      <c r="V19" s="82"/>
      <c r="W19" s="82"/>
      <c r="X19" s="65">
        <v>0</v>
      </c>
      <c r="Y19" s="66">
        <v>0</v>
      </c>
      <c r="Z19" s="83"/>
      <c r="AA19" s="83"/>
      <c r="AB19" s="81"/>
      <c r="AC19" s="68">
        <v>0</v>
      </c>
      <c r="AD19" s="68"/>
      <c r="AE19" s="706"/>
      <c r="AF19" s="85"/>
      <c r="AG19" s="68">
        <v>0</v>
      </c>
    </row>
    <row r="20" spans="1:33">
      <c r="A20" s="25">
        <f t="shared" si="2"/>
        <v>13</v>
      </c>
      <c r="B20" s="37" t="s">
        <v>30</v>
      </c>
      <c r="C20" s="86"/>
      <c r="D20" s="87"/>
      <c r="E20" s="87"/>
      <c r="F20" s="87"/>
      <c r="G20" s="65">
        <f t="shared" si="3"/>
        <v>0</v>
      </c>
      <c r="H20" s="66">
        <f t="shared" si="3"/>
        <v>0</v>
      </c>
      <c r="I20" s="88"/>
      <c r="J20" s="88"/>
      <c r="K20" s="86"/>
      <c r="L20" s="68">
        <f t="shared" si="6"/>
        <v>0</v>
      </c>
      <c r="M20" s="68"/>
      <c r="N20" s="76"/>
      <c r="O20" s="89"/>
      <c r="P20" s="68">
        <f t="shared" si="4"/>
        <v>0</v>
      </c>
      <c r="R20" s="25">
        <f t="shared" si="5"/>
        <v>13</v>
      </c>
      <c r="S20" s="37" t="s">
        <v>30</v>
      </c>
      <c r="T20" s="89"/>
      <c r="U20" s="87"/>
      <c r="V20" s="87"/>
      <c r="W20" s="87"/>
      <c r="X20" s="65">
        <v>0</v>
      </c>
      <c r="Y20" s="66">
        <v>0</v>
      </c>
      <c r="Z20" s="88"/>
      <c r="AA20" s="88"/>
      <c r="AB20" s="86"/>
      <c r="AC20" s="68">
        <v>0</v>
      </c>
      <c r="AD20" s="68"/>
      <c r="AE20" s="1036"/>
      <c r="AF20" s="89"/>
      <c r="AG20" s="68">
        <v>0</v>
      </c>
    </row>
    <row r="21" spans="1:33">
      <c r="A21" s="24">
        <f t="shared" si="2"/>
        <v>14</v>
      </c>
      <c r="B21" s="38" t="s">
        <v>29</v>
      </c>
      <c r="C21" s="70">
        <f>+C22+C24+C26</f>
        <v>5264</v>
      </c>
      <c r="D21" s="71">
        <f>+D22+D24+D26</f>
        <v>5041</v>
      </c>
      <c r="E21" s="71">
        <f>+E22+E24+E26</f>
        <v>0</v>
      </c>
      <c r="F21" s="71">
        <f>+F22+F24+F26</f>
        <v>0</v>
      </c>
      <c r="G21" s="71">
        <f t="shared" si="3"/>
        <v>5264</v>
      </c>
      <c r="H21" s="72">
        <f t="shared" si="3"/>
        <v>5041</v>
      </c>
      <c r="I21" s="90"/>
      <c r="J21" s="90">
        <f>+J22+J24+J26</f>
        <v>0</v>
      </c>
      <c r="K21" s="73">
        <f>+K22+K24+K26</f>
        <v>88</v>
      </c>
      <c r="L21" s="74"/>
      <c r="M21" s="74">
        <f>+M22+M24+M26</f>
        <v>0</v>
      </c>
      <c r="N21" s="76"/>
      <c r="O21" s="70">
        <f>+O22+O24+O26</f>
        <v>0</v>
      </c>
      <c r="P21" s="74">
        <f>H21+O21</f>
        <v>5041</v>
      </c>
      <c r="R21" s="24">
        <f t="shared" si="5"/>
        <v>14</v>
      </c>
      <c r="S21" s="38" t="s">
        <v>29</v>
      </c>
      <c r="T21" s="70">
        <v>5264</v>
      </c>
      <c r="U21" s="71">
        <v>5041</v>
      </c>
      <c r="V21" s="71">
        <v>0</v>
      </c>
      <c r="W21" s="71">
        <v>0</v>
      </c>
      <c r="X21" s="71">
        <v>5264</v>
      </c>
      <c r="Y21" s="72">
        <v>5041</v>
      </c>
      <c r="Z21" s="90"/>
      <c r="AA21" s="1252">
        <v>0</v>
      </c>
      <c r="AB21" s="73">
        <v>88</v>
      </c>
      <c r="AC21" s="74"/>
      <c r="AD21" s="74">
        <v>0</v>
      </c>
      <c r="AE21" s="1036"/>
      <c r="AF21" s="70">
        <v>0</v>
      </c>
      <c r="AG21" s="74">
        <v>5041</v>
      </c>
    </row>
    <row r="22" spans="1:33">
      <c r="A22" s="46">
        <f t="shared" si="2"/>
        <v>15</v>
      </c>
      <c r="B22" s="43" t="s">
        <v>53</v>
      </c>
      <c r="C22" s="60">
        <f>+C23</f>
        <v>3018</v>
      </c>
      <c r="D22" s="60">
        <f t="shared" ref="D22:O22" si="7">+D23</f>
        <v>2795</v>
      </c>
      <c r="E22" s="60">
        <f t="shared" si="7"/>
        <v>0</v>
      </c>
      <c r="F22" s="60">
        <f t="shared" si="7"/>
        <v>0</v>
      </c>
      <c r="G22" s="60">
        <f t="shared" si="7"/>
        <v>3018</v>
      </c>
      <c r="H22" s="61">
        <f t="shared" si="7"/>
        <v>2795</v>
      </c>
      <c r="I22" s="78"/>
      <c r="J22" s="78">
        <f t="shared" si="7"/>
        <v>0</v>
      </c>
      <c r="K22" s="62">
        <f t="shared" si="7"/>
        <v>0</v>
      </c>
      <c r="L22" s="63">
        <f t="shared" si="7"/>
        <v>223</v>
      </c>
      <c r="M22" s="63">
        <f t="shared" si="7"/>
        <v>0</v>
      </c>
      <c r="N22" s="76"/>
      <c r="O22" s="59">
        <f t="shared" si="7"/>
        <v>0</v>
      </c>
      <c r="P22" s="63">
        <f t="shared" si="4"/>
        <v>2795</v>
      </c>
      <c r="R22" s="46">
        <f t="shared" si="5"/>
        <v>15</v>
      </c>
      <c r="S22" s="43" t="s">
        <v>53</v>
      </c>
      <c r="T22" s="59">
        <v>3018</v>
      </c>
      <c r="U22" s="60">
        <v>2795</v>
      </c>
      <c r="V22" s="60">
        <v>0</v>
      </c>
      <c r="W22" s="60">
        <v>0</v>
      </c>
      <c r="X22" s="60">
        <v>3018</v>
      </c>
      <c r="Y22" s="61">
        <v>2795</v>
      </c>
      <c r="Z22" s="78"/>
      <c r="AA22" s="78">
        <v>0</v>
      </c>
      <c r="AB22" s="62">
        <v>0</v>
      </c>
      <c r="AC22" s="63">
        <v>223</v>
      </c>
      <c r="AD22" s="63">
        <v>0</v>
      </c>
      <c r="AE22" s="1036"/>
      <c r="AF22" s="59">
        <v>0</v>
      </c>
      <c r="AG22" s="63">
        <v>2795</v>
      </c>
    </row>
    <row r="23" spans="1:33">
      <c r="A23" s="25">
        <f t="shared" si="2"/>
        <v>16</v>
      </c>
      <c r="B23" s="239" t="s">
        <v>546</v>
      </c>
      <c r="C23" s="86">
        <v>3018</v>
      </c>
      <c r="D23" s="86">
        <f>3018-223</f>
        <v>2795</v>
      </c>
      <c r="E23" s="87"/>
      <c r="F23" s="87"/>
      <c r="G23" s="65">
        <f>+C23+E23</f>
        <v>3018</v>
      </c>
      <c r="H23" s="66">
        <f>+D23+F23</f>
        <v>2795</v>
      </c>
      <c r="I23" s="88"/>
      <c r="J23" s="88"/>
      <c r="K23" s="86"/>
      <c r="L23" s="68">
        <v>223</v>
      </c>
      <c r="M23" s="68"/>
      <c r="N23" s="76"/>
      <c r="O23" s="89"/>
      <c r="P23" s="68">
        <f t="shared" si="4"/>
        <v>2795</v>
      </c>
      <c r="R23" s="25">
        <f t="shared" si="5"/>
        <v>16</v>
      </c>
      <c r="S23" s="37" t="s">
        <v>60</v>
      </c>
      <c r="T23" s="89">
        <v>3018</v>
      </c>
      <c r="U23" s="87">
        <v>2795</v>
      </c>
      <c r="V23" s="87"/>
      <c r="W23" s="87"/>
      <c r="X23" s="65">
        <v>3018</v>
      </c>
      <c r="Y23" s="66">
        <v>2795</v>
      </c>
      <c r="Z23" s="88"/>
      <c r="AA23" s="88"/>
      <c r="AB23" s="86"/>
      <c r="AC23" s="68">
        <v>223</v>
      </c>
      <c r="AD23" s="68"/>
      <c r="AE23" s="1036"/>
      <c r="AF23" s="89"/>
      <c r="AG23" s="68">
        <v>2795</v>
      </c>
    </row>
    <row r="24" spans="1:33">
      <c r="A24" s="46">
        <f t="shared" si="2"/>
        <v>17</v>
      </c>
      <c r="B24" s="47" t="s">
        <v>59</v>
      </c>
      <c r="C24" s="60">
        <f>+C25</f>
        <v>2246</v>
      </c>
      <c r="D24" s="60">
        <f t="shared" ref="D24:O24" si="8">+D25</f>
        <v>2246</v>
      </c>
      <c r="E24" s="60">
        <f t="shared" si="8"/>
        <v>0</v>
      </c>
      <c r="F24" s="60">
        <f t="shared" si="8"/>
        <v>0</v>
      </c>
      <c r="G24" s="60">
        <f t="shared" si="8"/>
        <v>2246</v>
      </c>
      <c r="H24" s="61">
        <f t="shared" si="8"/>
        <v>2246</v>
      </c>
      <c r="I24" s="78"/>
      <c r="J24" s="78">
        <f t="shared" si="8"/>
        <v>0</v>
      </c>
      <c r="K24" s="62">
        <v>88</v>
      </c>
      <c r="L24" s="63">
        <f t="shared" si="8"/>
        <v>0</v>
      </c>
      <c r="M24" s="63">
        <f t="shared" si="8"/>
        <v>0</v>
      </c>
      <c r="N24" s="76"/>
      <c r="O24" s="59">
        <f t="shared" si="8"/>
        <v>0</v>
      </c>
      <c r="P24" s="63">
        <f t="shared" si="4"/>
        <v>2246</v>
      </c>
      <c r="R24" s="46">
        <f t="shared" si="5"/>
        <v>17</v>
      </c>
      <c r="S24" s="47" t="s">
        <v>59</v>
      </c>
      <c r="T24" s="59">
        <v>2246</v>
      </c>
      <c r="U24" s="60">
        <v>2246</v>
      </c>
      <c r="V24" s="60">
        <v>0</v>
      </c>
      <c r="W24" s="60">
        <v>0</v>
      </c>
      <c r="X24" s="60">
        <v>2246</v>
      </c>
      <c r="Y24" s="61">
        <v>2246</v>
      </c>
      <c r="Z24" s="78"/>
      <c r="AA24" s="78">
        <v>0</v>
      </c>
      <c r="AB24" s="62">
        <v>88</v>
      </c>
      <c r="AC24" s="63">
        <v>0</v>
      </c>
      <c r="AD24" s="63">
        <v>0</v>
      </c>
      <c r="AE24" s="1036"/>
      <c r="AF24" s="59">
        <v>0</v>
      </c>
      <c r="AG24" s="63">
        <v>2246</v>
      </c>
    </row>
    <row r="25" spans="1:33">
      <c r="A25" s="25">
        <f>A24+1</f>
        <v>18</v>
      </c>
      <c r="B25" s="36" t="s">
        <v>260</v>
      </c>
      <c r="C25" s="86">
        <v>2246</v>
      </c>
      <c r="D25" s="86">
        <v>2246</v>
      </c>
      <c r="E25" s="87"/>
      <c r="F25" s="87"/>
      <c r="G25" s="65">
        <f>+C25+E25</f>
        <v>2246</v>
      </c>
      <c r="H25" s="66">
        <f>+D25+F25</f>
        <v>2246</v>
      </c>
      <c r="I25" s="88"/>
      <c r="J25" s="88"/>
      <c r="K25" s="86">
        <v>88</v>
      </c>
      <c r="L25" s="68">
        <f>+G25-H25</f>
        <v>0</v>
      </c>
      <c r="M25" s="68"/>
      <c r="N25" s="76"/>
      <c r="O25" s="89"/>
      <c r="P25" s="68">
        <f t="shared" si="4"/>
        <v>2246</v>
      </c>
      <c r="R25" s="25">
        <f t="shared" si="5"/>
        <v>18</v>
      </c>
      <c r="S25" s="37" t="s">
        <v>60</v>
      </c>
      <c r="T25" s="89">
        <v>2246</v>
      </c>
      <c r="U25" s="87">
        <v>2246</v>
      </c>
      <c r="V25" s="87"/>
      <c r="W25" s="87"/>
      <c r="X25" s="65">
        <v>2246</v>
      </c>
      <c r="Y25" s="66">
        <v>2246</v>
      </c>
      <c r="Z25" s="88"/>
      <c r="AA25" s="88"/>
      <c r="AB25" s="86">
        <v>88</v>
      </c>
      <c r="AC25" s="68">
        <v>0</v>
      </c>
      <c r="AD25" s="68"/>
      <c r="AE25" s="1036"/>
      <c r="AF25" s="89"/>
      <c r="AG25" s="68">
        <v>2246</v>
      </c>
    </row>
    <row r="26" spans="1:33">
      <c r="A26" s="46">
        <f t="shared" si="2"/>
        <v>19</v>
      </c>
      <c r="B26" s="47" t="s">
        <v>54</v>
      </c>
      <c r="C26" s="60">
        <f>+C27</f>
        <v>0</v>
      </c>
      <c r="D26" s="60">
        <f t="shared" ref="D26:O26" si="9">+D27</f>
        <v>0</v>
      </c>
      <c r="E26" s="60">
        <f t="shared" si="9"/>
        <v>0</v>
      </c>
      <c r="F26" s="60">
        <f t="shared" si="9"/>
        <v>0</v>
      </c>
      <c r="G26" s="60">
        <f t="shared" si="9"/>
        <v>0</v>
      </c>
      <c r="H26" s="61">
        <f t="shared" si="9"/>
        <v>0</v>
      </c>
      <c r="I26" s="78"/>
      <c r="J26" s="78">
        <f t="shared" si="9"/>
        <v>0</v>
      </c>
      <c r="K26" s="62">
        <f t="shared" si="9"/>
        <v>0</v>
      </c>
      <c r="L26" s="63">
        <f t="shared" si="9"/>
        <v>0</v>
      </c>
      <c r="M26" s="63">
        <f t="shared" si="9"/>
        <v>0</v>
      </c>
      <c r="N26" s="76"/>
      <c r="O26" s="59">
        <f t="shared" si="9"/>
        <v>0</v>
      </c>
      <c r="P26" s="63">
        <f t="shared" si="4"/>
        <v>0</v>
      </c>
      <c r="R26" s="46">
        <f t="shared" si="5"/>
        <v>19</v>
      </c>
      <c r="S26" s="47" t="s">
        <v>54</v>
      </c>
      <c r="T26" s="59">
        <v>0</v>
      </c>
      <c r="U26" s="60">
        <v>0</v>
      </c>
      <c r="V26" s="60">
        <v>0</v>
      </c>
      <c r="W26" s="60">
        <v>0</v>
      </c>
      <c r="X26" s="60">
        <v>0</v>
      </c>
      <c r="Y26" s="61">
        <v>0</v>
      </c>
      <c r="Z26" s="78"/>
      <c r="AA26" s="78">
        <v>0</v>
      </c>
      <c r="AB26" s="62">
        <v>0</v>
      </c>
      <c r="AC26" s="63">
        <v>0</v>
      </c>
      <c r="AD26" s="63">
        <v>0</v>
      </c>
      <c r="AE26" s="1036"/>
      <c r="AF26" s="59">
        <v>0</v>
      </c>
      <c r="AG26" s="63">
        <v>0</v>
      </c>
    </row>
    <row r="27" spans="1:33">
      <c r="A27" s="25">
        <f t="shared" si="2"/>
        <v>20</v>
      </c>
      <c r="B27" s="37" t="s">
        <v>60</v>
      </c>
      <c r="C27" s="91"/>
      <c r="D27" s="92"/>
      <c r="E27" s="92"/>
      <c r="F27" s="92"/>
      <c r="G27" s="65">
        <f>+C27+E27</f>
        <v>0</v>
      </c>
      <c r="H27" s="66">
        <f>+D27+F27</f>
        <v>0</v>
      </c>
      <c r="I27" s="93"/>
      <c r="J27" s="93"/>
      <c r="K27" s="91"/>
      <c r="L27" s="68">
        <f>+G27-H27</f>
        <v>0</v>
      </c>
      <c r="M27" s="68"/>
      <c r="N27" s="76"/>
      <c r="O27" s="94"/>
      <c r="P27" s="68">
        <f t="shared" si="4"/>
        <v>0</v>
      </c>
      <c r="R27" s="25">
        <f t="shared" si="5"/>
        <v>20</v>
      </c>
      <c r="S27" s="37" t="s">
        <v>60</v>
      </c>
      <c r="T27" s="94"/>
      <c r="U27" s="92"/>
      <c r="V27" s="92"/>
      <c r="W27" s="92"/>
      <c r="X27" s="65">
        <v>0</v>
      </c>
      <c r="Y27" s="66">
        <v>0</v>
      </c>
      <c r="Z27" s="93"/>
      <c r="AA27" s="93"/>
      <c r="AB27" s="91"/>
      <c r="AC27" s="68">
        <v>0</v>
      </c>
      <c r="AD27" s="68"/>
      <c r="AE27" s="1036"/>
      <c r="AF27" s="94"/>
      <c r="AG27" s="68">
        <v>0</v>
      </c>
    </row>
    <row r="28" spans="1:33">
      <c r="A28" s="24">
        <f t="shared" si="2"/>
        <v>21</v>
      </c>
      <c r="B28" s="38" t="s">
        <v>27</v>
      </c>
      <c r="C28" s="70">
        <f>+C29</f>
        <v>0</v>
      </c>
      <c r="D28" s="71">
        <f t="shared" ref="D28:O29" si="10">+D29</f>
        <v>0</v>
      </c>
      <c r="E28" s="71">
        <f t="shared" si="10"/>
        <v>0</v>
      </c>
      <c r="F28" s="71">
        <f t="shared" si="10"/>
        <v>0</v>
      </c>
      <c r="G28" s="71">
        <f>+C28+E28</f>
        <v>0</v>
      </c>
      <c r="H28" s="72">
        <f>+D28+F28</f>
        <v>0</v>
      </c>
      <c r="I28" s="90"/>
      <c r="J28" s="90">
        <f>+J29</f>
        <v>0</v>
      </c>
      <c r="K28" s="73">
        <f>+K29</f>
        <v>0</v>
      </c>
      <c r="L28" s="74">
        <f>+G28-H28</f>
        <v>0</v>
      </c>
      <c r="M28" s="74">
        <f>+M29</f>
        <v>0</v>
      </c>
      <c r="N28" s="76"/>
      <c r="O28" s="70">
        <f>+O29</f>
        <v>0</v>
      </c>
      <c r="P28" s="74">
        <f>H28+O28</f>
        <v>0</v>
      </c>
      <c r="R28" s="24">
        <f t="shared" si="5"/>
        <v>21</v>
      </c>
      <c r="S28" s="38" t="s">
        <v>27</v>
      </c>
      <c r="T28" s="70">
        <v>0</v>
      </c>
      <c r="U28" s="71">
        <v>0</v>
      </c>
      <c r="V28" s="71">
        <v>0</v>
      </c>
      <c r="W28" s="71">
        <v>0</v>
      </c>
      <c r="X28" s="71">
        <v>0</v>
      </c>
      <c r="Y28" s="72">
        <v>0</v>
      </c>
      <c r="Z28" s="90"/>
      <c r="AA28" s="90">
        <v>0</v>
      </c>
      <c r="AB28" s="73">
        <v>0</v>
      </c>
      <c r="AC28" s="74">
        <v>0</v>
      </c>
      <c r="AD28" s="74">
        <v>0</v>
      </c>
      <c r="AE28" s="1036"/>
      <c r="AF28" s="70">
        <v>0</v>
      </c>
      <c r="AG28" s="74">
        <v>0</v>
      </c>
    </row>
    <row r="29" spans="1:33">
      <c r="A29" s="29">
        <f t="shared" si="2"/>
        <v>22</v>
      </c>
      <c r="B29" s="43" t="s">
        <v>34</v>
      </c>
      <c r="C29" s="60">
        <f>+C30</f>
        <v>0</v>
      </c>
      <c r="D29" s="60">
        <f t="shared" si="10"/>
        <v>0</v>
      </c>
      <c r="E29" s="60">
        <f t="shared" si="10"/>
        <v>0</v>
      </c>
      <c r="F29" s="60">
        <f t="shared" si="10"/>
        <v>0</v>
      </c>
      <c r="G29" s="60">
        <f t="shared" si="10"/>
        <v>0</v>
      </c>
      <c r="H29" s="61">
        <f t="shared" si="10"/>
        <v>0</v>
      </c>
      <c r="I29" s="78"/>
      <c r="J29" s="78">
        <f t="shared" si="10"/>
        <v>0</v>
      </c>
      <c r="K29" s="62">
        <f t="shared" si="10"/>
        <v>0</v>
      </c>
      <c r="L29" s="63">
        <f t="shared" si="10"/>
        <v>0</v>
      </c>
      <c r="M29" s="63">
        <f t="shared" si="10"/>
        <v>0</v>
      </c>
      <c r="N29" s="76"/>
      <c r="O29" s="59">
        <f t="shared" si="10"/>
        <v>0</v>
      </c>
      <c r="P29" s="63">
        <f t="shared" si="4"/>
        <v>0</v>
      </c>
      <c r="R29" s="29">
        <f t="shared" si="5"/>
        <v>22</v>
      </c>
      <c r="S29" s="43" t="s">
        <v>34</v>
      </c>
      <c r="T29" s="59">
        <v>0</v>
      </c>
      <c r="U29" s="60">
        <v>0</v>
      </c>
      <c r="V29" s="60">
        <v>0</v>
      </c>
      <c r="W29" s="60">
        <v>0</v>
      </c>
      <c r="X29" s="60">
        <v>0</v>
      </c>
      <c r="Y29" s="61">
        <v>0</v>
      </c>
      <c r="Z29" s="78"/>
      <c r="AA29" s="78">
        <v>0</v>
      </c>
      <c r="AB29" s="62">
        <v>0</v>
      </c>
      <c r="AC29" s="63">
        <v>0</v>
      </c>
      <c r="AD29" s="63">
        <v>0</v>
      </c>
      <c r="AE29" s="1036"/>
      <c r="AF29" s="59">
        <v>0</v>
      </c>
      <c r="AG29" s="63">
        <v>0</v>
      </c>
    </row>
    <row r="30" spans="1:33">
      <c r="A30" s="25">
        <f t="shared" si="2"/>
        <v>23</v>
      </c>
      <c r="B30" s="37" t="s">
        <v>60</v>
      </c>
      <c r="C30" s="91"/>
      <c r="D30" s="92"/>
      <c r="E30" s="92"/>
      <c r="F30" s="92"/>
      <c r="G30" s="65">
        <f>+C30+E30</f>
        <v>0</v>
      </c>
      <c r="H30" s="66">
        <f>+D30+F30</f>
        <v>0</v>
      </c>
      <c r="I30" s="93"/>
      <c r="J30" s="93"/>
      <c r="K30" s="91"/>
      <c r="L30" s="68">
        <f>+G30-H30</f>
        <v>0</v>
      </c>
      <c r="M30" s="68"/>
      <c r="N30" s="76"/>
      <c r="O30" s="94"/>
      <c r="P30" s="68">
        <f t="shared" si="4"/>
        <v>0</v>
      </c>
      <c r="R30" s="25">
        <f t="shared" si="5"/>
        <v>23</v>
      </c>
      <c r="S30" s="37" t="s">
        <v>60</v>
      </c>
      <c r="T30" s="94"/>
      <c r="U30" s="92"/>
      <c r="V30" s="92"/>
      <c r="W30" s="92"/>
      <c r="X30" s="65">
        <v>0</v>
      </c>
      <c r="Y30" s="66">
        <v>0</v>
      </c>
      <c r="Z30" s="93"/>
      <c r="AA30" s="93"/>
      <c r="AB30" s="91"/>
      <c r="AC30" s="68">
        <v>0</v>
      </c>
      <c r="AD30" s="68"/>
      <c r="AE30" s="1036"/>
      <c r="AF30" s="94"/>
      <c r="AG30" s="68">
        <v>0</v>
      </c>
    </row>
    <row r="31" spans="1:33">
      <c r="A31" s="24">
        <f t="shared" si="2"/>
        <v>24</v>
      </c>
      <c r="B31" s="38" t="s">
        <v>32</v>
      </c>
      <c r="C31" s="70">
        <f>+C32</f>
        <v>0</v>
      </c>
      <c r="D31" s="71">
        <f t="shared" ref="D31:O32" si="11">+D32</f>
        <v>0</v>
      </c>
      <c r="E31" s="71">
        <f t="shared" si="11"/>
        <v>0</v>
      </c>
      <c r="F31" s="71">
        <f t="shared" si="11"/>
        <v>0</v>
      </c>
      <c r="G31" s="71">
        <f>+C31+E31</f>
        <v>0</v>
      </c>
      <c r="H31" s="72">
        <f>+D31+F31</f>
        <v>0</v>
      </c>
      <c r="I31" s="90"/>
      <c r="J31" s="90">
        <f>+J32</f>
        <v>0</v>
      </c>
      <c r="K31" s="73">
        <f>+K32</f>
        <v>0</v>
      </c>
      <c r="L31" s="74">
        <f>+G31-H31</f>
        <v>0</v>
      </c>
      <c r="M31" s="74">
        <f>+M32</f>
        <v>0</v>
      </c>
      <c r="N31" s="76"/>
      <c r="O31" s="70">
        <f>+O32</f>
        <v>0</v>
      </c>
      <c r="P31" s="74">
        <f>H31+O31</f>
        <v>0</v>
      </c>
      <c r="R31" s="24">
        <f t="shared" si="5"/>
        <v>24</v>
      </c>
      <c r="S31" s="38" t="s">
        <v>32</v>
      </c>
      <c r="T31" s="70">
        <v>0</v>
      </c>
      <c r="U31" s="71">
        <v>0</v>
      </c>
      <c r="V31" s="71">
        <v>0</v>
      </c>
      <c r="W31" s="71">
        <v>0</v>
      </c>
      <c r="X31" s="71">
        <v>0</v>
      </c>
      <c r="Y31" s="72">
        <v>0</v>
      </c>
      <c r="Z31" s="90"/>
      <c r="AA31" s="90">
        <v>0</v>
      </c>
      <c r="AB31" s="73">
        <v>0</v>
      </c>
      <c r="AC31" s="74">
        <v>0</v>
      </c>
      <c r="AD31" s="74">
        <v>0</v>
      </c>
      <c r="AE31" s="1036"/>
      <c r="AF31" s="70">
        <v>0</v>
      </c>
      <c r="AG31" s="74">
        <v>0</v>
      </c>
    </row>
    <row r="32" spans="1:33">
      <c r="A32" s="46">
        <f t="shared" si="2"/>
        <v>25</v>
      </c>
      <c r="B32" s="47" t="s">
        <v>39</v>
      </c>
      <c r="C32" s="60">
        <f>+C33</f>
        <v>0</v>
      </c>
      <c r="D32" s="60">
        <f t="shared" si="11"/>
        <v>0</v>
      </c>
      <c r="E32" s="60">
        <f t="shared" si="11"/>
        <v>0</v>
      </c>
      <c r="F32" s="60">
        <f t="shared" si="11"/>
        <v>0</v>
      </c>
      <c r="G32" s="60">
        <f t="shared" si="11"/>
        <v>0</v>
      </c>
      <c r="H32" s="61">
        <f t="shared" si="11"/>
        <v>0</v>
      </c>
      <c r="I32" s="78"/>
      <c r="J32" s="78">
        <f t="shared" si="11"/>
        <v>0</v>
      </c>
      <c r="K32" s="62">
        <f t="shared" si="11"/>
        <v>0</v>
      </c>
      <c r="L32" s="63">
        <f t="shared" si="11"/>
        <v>0</v>
      </c>
      <c r="M32" s="63">
        <f t="shared" si="11"/>
        <v>0</v>
      </c>
      <c r="N32" s="76"/>
      <c r="O32" s="59">
        <f t="shared" si="11"/>
        <v>0</v>
      </c>
      <c r="P32" s="63">
        <f t="shared" si="4"/>
        <v>0</v>
      </c>
      <c r="R32" s="46">
        <f t="shared" si="5"/>
        <v>25</v>
      </c>
      <c r="S32" s="47" t="s">
        <v>39</v>
      </c>
      <c r="T32" s="59">
        <v>0</v>
      </c>
      <c r="U32" s="60">
        <v>0</v>
      </c>
      <c r="V32" s="60">
        <v>0</v>
      </c>
      <c r="W32" s="60">
        <v>0</v>
      </c>
      <c r="X32" s="60">
        <v>0</v>
      </c>
      <c r="Y32" s="61">
        <v>0</v>
      </c>
      <c r="Z32" s="78"/>
      <c r="AA32" s="78">
        <v>0</v>
      </c>
      <c r="AB32" s="62">
        <v>0</v>
      </c>
      <c r="AC32" s="63">
        <v>0</v>
      </c>
      <c r="AD32" s="63">
        <v>0</v>
      </c>
      <c r="AE32" s="1036"/>
      <c r="AF32" s="59">
        <v>0</v>
      </c>
      <c r="AG32" s="63">
        <v>0</v>
      </c>
    </row>
    <row r="33" spans="1:33" ht="15.75" thickBot="1">
      <c r="A33" s="25">
        <f t="shared" si="2"/>
        <v>26</v>
      </c>
      <c r="B33" s="37" t="s">
        <v>60</v>
      </c>
      <c r="C33" s="86"/>
      <c r="D33" s="87"/>
      <c r="E33" s="87"/>
      <c r="F33" s="87"/>
      <c r="G33" s="65">
        <f>+C33+E33</f>
        <v>0</v>
      </c>
      <c r="H33" s="66">
        <f>+D33+F33</f>
        <v>0</v>
      </c>
      <c r="I33" s="88"/>
      <c r="J33" s="88"/>
      <c r="K33" s="86"/>
      <c r="L33" s="68">
        <f>+G33-H33</f>
        <v>0</v>
      </c>
      <c r="M33" s="68"/>
      <c r="N33" s="76"/>
      <c r="O33" s="89"/>
      <c r="P33" s="68">
        <f t="shared" si="4"/>
        <v>0</v>
      </c>
      <c r="R33" s="25">
        <f t="shared" si="5"/>
        <v>26</v>
      </c>
      <c r="S33" s="37" t="s">
        <v>60</v>
      </c>
      <c r="T33" s="89"/>
      <c r="U33" s="87"/>
      <c r="V33" s="87"/>
      <c r="W33" s="87"/>
      <c r="X33" s="65">
        <v>0</v>
      </c>
      <c r="Y33" s="66">
        <v>0</v>
      </c>
      <c r="Z33" s="88"/>
      <c r="AA33" s="88"/>
      <c r="AB33" s="86"/>
      <c r="AC33" s="68">
        <v>0</v>
      </c>
      <c r="AD33" s="68"/>
      <c r="AE33" s="1036"/>
      <c r="AF33" s="89"/>
      <c r="AG33" s="68">
        <v>0</v>
      </c>
    </row>
    <row r="34" spans="1:33" ht="15.75" thickBot="1">
      <c r="A34" s="31">
        <f t="shared" si="2"/>
        <v>27</v>
      </c>
      <c r="B34" s="39" t="s">
        <v>23</v>
      </c>
      <c r="C34" s="95">
        <f t="shared" ref="C34:H34" si="12">+C7+C21+C28+C31</f>
        <v>9630</v>
      </c>
      <c r="D34" s="96">
        <f t="shared" si="12"/>
        <v>9407</v>
      </c>
      <c r="E34" s="96">
        <f t="shared" si="12"/>
        <v>308</v>
      </c>
      <c r="F34" s="96">
        <f t="shared" si="12"/>
        <v>308</v>
      </c>
      <c r="G34" s="96">
        <f t="shared" si="12"/>
        <v>9938</v>
      </c>
      <c r="H34" s="97">
        <f t="shared" si="12"/>
        <v>9715</v>
      </c>
      <c r="I34" s="98"/>
      <c r="J34" s="98">
        <f>+J7+J21+J28+J31</f>
        <v>0</v>
      </c>
      <c r="K34" s="99">
        <f>+K7+K21+K28+K31</f>
        <v>322</v>
      </c>
      <c r="L34" s="100">
        <f>+L7+L21+L28+L31</f>
        <v>0</v>
      </c>
      <c r="M34" s="100">
        <f>+M7+M21+M28+M31</f>
        <v>0</v>
      </c>
      <c r="N34" s="101"/>
      <c r="O34" s="95">
        <f>+O7+O21+O28+O31</f>
        <v>0</v>
      </c>
      <c r="P34" s="100">
        <f>+P7+P21+P28+P31</f>
        <v>9715</v>
      </c>
      <c r="R34" s="31">
        <f t="shared" si="5"/>
        <v>27</v>
      </c>
      <c r="S34" s="39" t="s">
        <v>23</v>
      </c>
      <c r="T34" s="95">
        <v>9630</v>
      </c>
      <c r="U34" s="96">
        <v>9407</v>
      </c>
      <c r="V34" s="96">
        <v>308</v>
      </c>
      <c r="W34" s="96">
        <v>308</v>
      </c>
      <c r="X34" s="96">
        <v>9938</v>
      </c>
      <c r="Y34" s="97">
        <v>9715</v>
      </c>
      <c r="Z34" s="98"/>
      <c r="AA34" s="98">
        <v>0</v>
      </c>
      <c r="AB34" s="99">
        <v>322</v>
      </c>
      <c r="AC34" s="100">
        <v>0</v>
      </c>
      <c r="AD34" s="100">
        <v>0</v>
      </c>
      <c r="AE34" s="101"/>
      <c r="AF34" s="95">
        <v>0</v>
      </c>
      <c r="AG34" s="100">
        <v>9715</v>
      </c>
    </row>
  </sheetData>
  <mergeCells count="24">
    <mergeCell ref="A4:A6"/>
    <mergeCell ref="B4:B6"/>
    <mergeCell ref="C4:D4"/>
    <mergeCell ref="E4:F4"/>
    <mergeCell ref="G4:H4"/>
    <mergeCell ref="I4:I5"/>
    <mergeCell ref="J4:J5"/>
    <mergeCell ref="K4:K5"/>
    <mergeCell ref="L4:L5"/>
    <mergeCell ref="M4:M5"/>
    <mergeCell ref="O4:O5"/>
    <mergeCell ref="P4:P5"/>
    <mergeCell ref="R4:R6"/>
    <mergeCell ref="S4:S6"/>
    <mergeCell ref="T4:U4"/>
    <mergeCell ref="V4:W4"/>
    <mergeCell ref="X4:Y4"/>
    <mergeCell ref="Z4:Z5"/>
    <mergeCell ref="AA4:AA5"/>
    <mergeCell ref="AB4:AB5"/>
    <mergeCell ref="AC4:AC5"/>
    <mergeCell ref="AD4:AD5"/>
    <mergeCell ref="AF4:AF5"/>
    <mergeCell ref="AG4:AG5"/>
  </mergeCells>
  <pageMargins left="0.7" right="0.7" top="0.78740157499999996" bottom="0.78740157499999996"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4"/>
  <dimension ref="A1:AG34"/>
  <sheetViews>
    <sheetView zoomScale="85" zoomScaleNormal="85" workbookViewId="0">
      <selection activeCell="R1" sqref="R1:AG65536"/>
    </sheetView>
  </sheetViews>
  <sheetFormatPr defaultRowHeight="15"/>
  <cols>
    <col min="1" max="1" width="9.42578125" customWidth="1"/>
    <col min="2" max="2" width="45.85546875" customWidth="1"/>
    <col min="3" max="3" width="12.7109375" customWidth="1"/>
    <col min="4" max="4" width="11.5703125" customWidth="1"/>
    <col min="5" max="5" width="11.28515625" customWidth="1"/>
    <col min="6" max="6" width="11.5703125" customWidth="1"/>
    <col min="7" max="7" width="10.85546875" customWidth="1"/>
    <col min="8" max="9" width="10.42578125" customWidth="1"/>
    <col min="10" max="10" width="12.5703125" customWidth="1"/>
    <col min="11" max="11" width="10.5703125" customWidth="1"/>
    <col min="12" max="12" width="14" customWidth="1"/>
    <col min="13" max="13" width="12.42578125" customWidth="1"/>
    <col min="14" max="14" width="1.7109375" customWidth="1"/>
    <col min="15" max="15" width="11" customWidth="1"/>
    <col min="16" max="16" width="10.85546875" customWidth="1"/>
    <col min="18" max="18" width="9.42578125" hidden="1" customWidth="1"/>
    <col min="19" max="19" width="45.85546875" hidden="1" customWidth="1"/>
    <col min="20" max="20" width="12.7109375" hidden="1" customWidth="1"/>
    <col min="21" max="21" width="11.5703125" hidden="1" customWidth="1"/>
    <col min="22" max="22" width="11.28515625" hidden="1" customWidth="1"/>
    <col min="23" max="23" width="11.5703125" hidden="1" customWidth="1"/>
    <col min="24" max="25" width="12.140625" hidden="1" customWidth="1"/>
    <col min="26" max="26" width="10.42578125" hidden="1" customWidth="1"/>
    <col min="27" max="27" width="12.5703125" hidden="1" customWidth="1"/>
    <col min="28" max="28" width="10.5703125" hidden="1" customWidth="1"/>
    <col min="29" max="29" width="14" hidden="1" customWidth="1"/>
    <col min="30" max="30" width="12.42578125" hidden="1" customWidth="1"/>
    <col min="31" max="31" width="1.7109375" hidden="1" customWidth="1"/>
    <col min="32" max="32" width="11" hidden="1" customWidth="1"/>
    <col min="33" max="33" width="10.85546875" hidden="1" customWidth="1"/>
  </cols>
  <sheetData>
    <row r="1" spans="1:33" ht="15.75">
      <c r="A1" s="102" t="s">
        <v>44</v>
      </c>
      <c r="B1" s="28"/>
      <c r="C1" s="20"/>
      <c r="D1" s="20"/>
      <c r="E1" s="20"/>
      <c r="F1" s="20"/>
      <c r="G1" s="20"/>
      <c r="H1" s="20"/>
      <c r="I1" s="20"/>
      <c r="J1" s="20"/>
      <c r="K1" s="20"/>
      <c r="L1" s="20"/>
      <c r="M1" s="20"/>
      <c r="N1" s="22"/>
      <c r="O1" s="20"/>
      <c r="P1" s="20"/>
    </row>
    <row r="2" spans="1:33" ht="15.75">
      <c r="A2" s="3"/>
      <c r="B2" s="2" t="s">
        <v>43</v>
      </c>
      <c r="C2" s="20"/>
      <c r="D2" s="20"/>
      <c r="E2" s="20"/>
      <c r="F2" s="20"/>
      <c r="G2" s="20"/>
      <c r="H2" s="20"/>
      <c r="I2" s="20"/>
      <c r="J2" s="20"/>
      <c r="K2" s="20"/>
      <c r="L2" s="20"/>
      <c r="M2" s="20"/>
      <c r="N2" s="22"/>
      <c r="O2" s="20"/>
      <c r="P2" s="20"/>
    </row>
    <row r="3" spans="1:33" ht="16.5" thickBot="1">
      <c r="A3" s="20"/>
      <c r="B3" s="19"/>
      <c r="C3" s="20"/>
      <c r="D3" s="20"/>
      <c r="E3" s="20"/>
      <c r="F3" s="20"/>
      <c r="G3" s="20"/>
      <c r="H3" s="20"/>
      <c r="I3" s="20"/>
      <c r="J3" s="20"/>
      <c r="K3" s="20"/>
      <c r="L3" s="20"/>
      <c r="M3" s="20"/>
      <c r="N3" s="22"/>
      <c r="O3" s="20"/>
      <c r="P3" s="23" t="s">
        <v>2</v>
      </c>
    </row>
    <row r="4" spans="1:33">
      <c r="A4" s="1357" t="s">
        <v>1</v>
      </c>
      <c r="B4" s="1354" t="s">
        <v>46</v>
      </c>
      <c r="C4" s="1394" t="s">
        <v>18</v>
      </c>
      <c r="D4" s="1361"/>
      <c r="E4" s="1361" t="s">
        <v>19</v>
      </c>
      <c r="F4" s="1361"/>
      <c r="G4" s="1364" t="s">
        <v>20</v>
      </c>
      <c r="H4" s="1365"/>
      <c r="I4" s="1349" t="s">
        <v>47</v>
      </c>
      <c r="J4" s="1349" t="s">
        <v>48</v>
      </c>
      <c r="K4" s="1351" t="s">
        <v>49</v>
      </c>
      <c r="L4" s="1362" t="s">
        <v>117</v>
      </c>
      <c r="M4" s="1370" t="s">
        <v>118</v>
      </c>
      <c r="N4" s="9"/>
      <c r="O4" s="1366" t="s">
        <v>65</v>
      </c>
      <c r="P4" s="1368" t="s">
        <v>21</v>
      </c>
      <c r="R4" s="1357" t="s">
        <v>1</v>
      </c>
      <c r="S4" s="1354" t="s">
        <v>46</v>
      </c>
      <c r="T4" s="1360" t="s">
        <v>18</v>
      </c>
      <c r="U4" s="1361"/>
      <c r="V4" s="1361" t="s">
        <v>19</v>
      </c>
      <c r="W4" s="1361"/>
      <c r="X4" s="1364" t="s">
        <v>20</v>
      </c>
      <c r="Y4" s="1365"/>
      <c r="Z4" s="1349" t="s">
        <v>47</v>
      </c>
      <c r="AA4" s="1349" t="s">
        <v>48</v>
      </c>
      <c r="AB4" s="1351" t="s">
        <v>49</v>
      </c>
      <c r="AC4" s="1362" t="s">
        <v>62</v>
      </c>
      <c r="AD4" s="1370" t="s">
        <v>69</v>
      </c>
      <c r="AE4" s="1037"/>
      <c r="AF4" s="1366" t="s">
        <v>65</v>
      </c>
      <c r="AG4" s="1368" t="s">
        <v>21</v>
      </c>
    </row>
    <row r="5" spans="1:33">
      <c r="A5" s="1358"/>
      <c r="B5" s="1355"/>
      <c r="C5" s="10" t="s">
        <v>26</v>
      </c>
      <c r="D5" s="11" t="s">
        <v>50</v>
      </c>
      <c r="E5" s="10" t="s">
        <v>12</v>
      </c>
      <c r="F5" s="11" t="s">
        <v>16</v>
      </c>
      <c r="G5" s="11" t="s">
        <v>12</v>
      </c>
      <c r="H5" s="33" t="s">
        <v>16</v>
      </c>
      <c r="I5" s="1350"/>
      <c r="J5" s="1350"/>
      <c r="K5" s="1352"/>
      <c r="L5" s="1363"/>
      <c r="M5" s="1371"/>
      <c r="N5" s="9"/>
      <c r="O5" s="1367"/>
      <c r="P5" s="1369"/>
      <c r="R5" s="1358"/>
      <c r="S5" s="1355"/>
      <c r="T5" s="1077" t="s">
        <v>26</v>
      </c>
      <c r="U5" s="11" t="s">
        <v>50</v>
      </c>
      <c r="V5" s="10" t="s">
        <v>12</v>
      </c>
      <c r="W5" s="11" t="s">
        <v>16</v>
      </c>
      <c r="X5" s="11" t="s">
        <v>12</v>
      </c>
      <c r="Y5" s="33" t="s">
        <v>16</v>
      </c>
      <c r="Z5" s="1350"/>
      <c r="AA5" s="1350"/>
      <c r="AB5" s="1352"/>
      <c r="AC5" s="1363"/>
      <c r="AD5" s="1371"/>
      <c r="AE5" s="1037"/>
      <c r="AF5" s="1367"/>
      <c r="AG5" s="1369"/>
    </row>
    <row r="6" spans="1:33" ht="15.75" thickBot="1">
      <c r="A6" s="1359"/>
      <c r="B6" s="1356"/>
      <c r="C6" s="12" t="s">
        <v>4</v>
      </c>
      <c r="D6" s="13" t="s">
        <v>5</v>
      </c>
      <c r="E6" s="13" t="s">
        <v>6</v>
      </c>
      <c r="F6" s="13" t="s">
        <v>7</v>
      </c>
      <c r="G6" s="13" t="s">
        <v>13</v>
      </c>
      <c r="H6" s="34" t="s">
        <v>14</v>
      </c>
      <c r="I6" s="45" t="s">
        <v>28</v>
      </c>
      <c r="J6" s="45" t="s">
        <v>31</v>
      </c>
      <c r="K6" s="32" t="s">
        <v>9</v>
      </c>
      <c r="L6" s="14" t="s">
        <v>22</v>
      </c>
      <c r="M6" s="14" t="s">
        <v>63</v>
      </c>
      <c r="N6" s="9"/>
      <c r="O6" s="44" t="s">
        <v>10</v>
      </c>
      <c r="P6" s="14" t="s">
        <v>64</v>
      </c>
      <c r="R6" s="1359"/>
      <c r="S6" s="1356"/>
      <c r="T6" s="1078" t="s">
        <v>4</v>
      </c>
      <c r="U6" s="13" t="s">
        <v>5</v>
      </c>
      <c r="V6" s="13" t="s">
        <v>6</v>
      </c>
      <c r="W6" s="13" t="s">
        <v>7</v>
      </c>
      <c r="X6" s="13" t="s">
        <v>13</v>
      </c>
      <c r="Y6" s="34" t="s">
        <v>14</v>
      </c>
      <c r="Z6" s="45" t="s">
        <v>28</v>
      </c>
      <c r="AA6" s="45" t="s">
        <v>31</v>
      </c>
      <c r="AB6" s="32" t="s">
        <v>9</v>
      </c>
      <c r="AC6" s="14" t="s">
        <v>22</v>
      </c>
      <c r="AD6" s="14" t="s">
        <v>63</v>
      </c>
      <c r="AE6" s="1037"/>
      <c r="AF6" s="44" t="s">
        <v>10</v>
      </c>
      <c r="AG6" s="14" t="s">
        <v>64</v>
      </c>
    </row>
    <row r="7" spans="1:33">
      <c r="A7" s="24">
        <v>1</v>
      </c>
      <c r="B7" s="38" t="s">
        <v>15</v>
      </c>
      <c r="C7" s="55">
        <f t="shared" ref="C7:L7" si="0">+C8+C12</f>
        <v>6743</v>
      </c>
      <c r="D7" s="55">
        <f t="shared" si="0"/>
        <v>6743</v>
      </c>
      <c r="E7" s="55">
        <f t="shared" si="0"/>
        <v>0</v>
      </c>
      <c r="F7" s="55">
        <f t="shared" si="0"/>
        <v>0</v>
      </c>
      <c r="G7" s="55">
        <f t="shared" si="0"/>
        <v>6743</v>
      </c>
      <c r="H7" s="56">
        <f t="shared" si="0"/>
        <v>6743</v>
      </c>
      <c r="I7" s="75"/>
      <c r="J7" s="75">
        <f t="shared" si="0"/>
        <v>0</v>
      </c>
      <c r="K7" s="57">
        <f t="shared" si="0"/>
        <v>175</v>
      </c>
      <c r="L7" s="58">
        <f t="shared" si="0"/>
        <v>0</v>
      </c>
      <c r="M7" s="58">
        <f>+M8+M12</f>
        <v>0</v>
      </c>
      <c r="N7" s="76"/>
      <c r="O7" s="54">
        <f>+O8+O12</f>
        <v>0</v>
      </c>
      <c r="P7" s="55">
        <f>+P8+P12</f>
        <v>6743</v>
      </c>
      <c r="R7" s="24">
        <v>1</v>
      </c>
      <c r="S7" s="38" t="s">
        <v>15</v>
      </c>
      <c r="T7" s="54">
        <v>6743</v>
      </c>
      <c r="U7" s="55">
        <v>6743</v>
      </c>
      <c r="V7" s="55">
        <v>0</v>
      </c>
      <c r="W7" s="55">
        <v>0</v>
      </c>
      <c r="X7" s="55">
        <v>6743</v>
      </c>
      <c r="Y7" s="56">
        <v>6743</v>
      </c>
      <c r="Z7" s="75"/>
      <c r="AA7" s="75">
        <v>0</v>
      </c>
      <c r="AB7" s="57">
        <v>175</v>
      </c>
      <c r="AC7" s="58">
        <v>0</v>
      </c>
      <c r="AD7" s="58">
        <v>0</v>
      </c>
      <c r="AE7" s="1036"/>
      <c r="AF7" s="54">
        <v>0</v>
      </c>
      <c r="AG7" s="58">
        <v>6743</v>
      </c>
    </row>
    <row r="8" spans="1:33">
      <c r="A8" s="48">
        <f>A7+1</f>
        <v>2</v>
      </c>
      <c r="B8" s="35" t="s">
        <v>35</v>
      </c>
      <c r="C8" s="60">
        <f t="shared" ref="C8:L8" si="1">SUM(C9:C11)</f>
        <v>5423</v>
      </c>
      <c r="D8" s="60">
        <f t="shared" si="1"/>
        <v>5423</v>
      </c>
      <c r="E8" s="60">
        <f t="shared" si="1"/>
        <v>0</v>
      </c>
      <c r="F8" s="60">
        <f t="shared" si="1"/>
        <v>0</v>
      </c>
      <c r="G8" s="60">
        <f t="shared" si="1"/>
        <v>5423</v>
      </c>
      <c r="H8" s="61">
        <f t="shared" si="1"/>
        <v>5423</v>
      </c>
      <c r="I8" s="77"/>
      <c r="J8" s="78">
        <f t="shared" si="1"/>
        <v>0</v>
      </c>
      <c r="K8" s="62">
        <f t="shared" si="1"/>
        <v>167</v>
      </c>
      <c r="L8" s="63">
        <f t="shared" si="1"/>
        <v>0</v>
      </c>
      <c r="M8" s="63">
        <f>SUM(M9:M11)</f>
        <v>0</v>
      </c>
      <c r="N8" s="76"/>
      <c r="O8" s="59">
        <f>SUM(O9:O11)</f>
        <v>0</v>
      </c>
      <c r="P8" s="63">
        <f>SUM(P9:P11)</f>
        <v>5423</v>
      </c>
      <c r="R8" s="48">
        <f>R7+1</f>
        <v>2</v>
      </c>
      <c r="S8" s="35" t="s">
        <v>35</v>
      </c>
      <c r="T8" s="59">
        <v>5423</v>
      </c>
      <c r="U8" s="60">
        <v>5423</v>
      </c>
      <c r="V8" s="60">
        <v>0</v>
      </c>
      <c r="W8" s="60">
        <v>0</v>
      </c>
      <c r="X8" s="60">
        <v>5423</v>
      </c>
      <c r="Y8" s="61">
        <v>5423</v>
      </c>
      <c r="Z8" s="77"/>
      <c r="AA8" s="78">
        <v>0</v>
      </c>
      <c r="AB8" s="62">
        <v>167</v>
      </c>
      <c r="AC8" s="63">
        <v>0</v>
      </c>
      <c r="AD8" s="63">
        <v>0</v>
      </c>
      <c r="AE8" s="1036"/>
      <c r="AF8" s="59">
        <v>0</v>
      </c>
      <c r="AG8" s="63">
        <v>5423</v>
      </c>
    </row>
    <row r="9" spans="1:33">
      <c r="A9" s="25">
        <f t="shared" ref="A9:A34" si="2">A8+1</f>
        <v>3</v>
      </c>
      <c r="B9" s="36" t="s">
        <v>58</v>
      </c>
      <c r="C9" s="65">
        <v>5423</v>
      </c>
      <c r="D9" s="65">
        <v>5423</v>
      </c>
      <c r="E9" s="65"/>
      <c r="F9" s="65"/>
      <c r="G9" s="65">
        <f t="shared" ref="G9:H21" si="3">+C9+E9</f>
        <v>5423</v>
      </c>
      <c r="H9" s="66">
        <f t="shared" si="3"/>
        <v>5423</v>
      </c>
      <c r="I9" s="79"/>
      <c r="J9" s="80"/>
      <c r="K9" s="67">
        <v>167</v>
      </c>
      <c r="L9" s="68">
        <f t="shared" ref="L9:L20" si="4">+G9-H9</f>
        <v>0</v>
      </c>
      <c r="M9" s="68"/>
      <c r="N9" s="76"/>
      <c r="O9" s="64"/>
      <c r="P9" s="68">
        <f t="shared" ref="P9:P33" si="5">H9+O9</f>
        <v>5423</v>
      </c>
      <c r="R9" s="25">
        <f t="shared" ref="R9:R34" si="6">R8+1</f>
        <v>3</v>
      </c>
      <c r="S9" s="36" t="s">
        <v>58</v>
      </c>
      <c r="T9" s="64">
        <v>5423</v>
      </c>
      <c r="U9" s="65">
        <v>5423</v>
      </c>
      <c r="V9" s="65"/>
      <c r="W9" s="65"/>
      <c r="X9" s="65">
        <v>5423</v>
      </c>
      <c r="Y9" s="66">
        <v>5423</v>
      </c>
      <c r="Z9" s="80"/>
      <c r="AA9" s="80"/>
      <c r="AB9" s="67">
        <v>167</v>
      </c>
      <c r="AC9" s="68">
        <v>0</v>
      </c>
      <c r="AD9" s="68"/>
      <c r="AE9" s="1036"/>
      <c r="AF9" s="64"/>
      <c r="AG9" s="68">
        <v>5423</v>
      </c>
    </row>
    <row r="10" spans="1:33">
      <c r="A10" s="25">
        <f t="shared" si="2"/>
        <v>4</v>
      </c>
      <c r="B10" s="36" t="s">
        <v>36</v>
      </c>
      <c r="C10" s="65"/>
      <c r="D10" s="65"/>
      <c r="E10" s="65"/>
      <c r="F10" s="65"/>
      <c r="G10" s="65">
        <f t="shared" si="3"/>
        <v>0</v>
      </c>
      <c r="H10" s="66">
        <f t="shared" si="3"/>
        <v>0</v>
      </c>
      <c r="I10" s="79"/>
      <c r="J10" s="80"/>
      <c r="K10" s="67"/>
      <c r="L10" s="68">
        <f t="shared" si="4"/>
        <v>0</v>
      </c>
      <c r="M10" s="68"/>
      <c r="N10" s="76"/>
      <c r="O10" s="64"/>
      <c r="P10" s="68">
        <f t="shared" si="5"/>
        <v>0</v>
      </c>
      <c r="R10" s="25">
        <f t="shared" si="6"/>
        <v>4</v>
      </c>
      <c r="S10" s="36" t="s">
        <v>36</v>
      </c>
      <c r="T10" s="64"/>
      <c r="U10" s="65"/>
      <c r="V10" s="65"/>
      <c r="W10" s="65"/>
      <c r="X10" s="65">
        <v>0</v>
      </c>
      <c r="Y10" s="249">
        <v>0</v>
      </c>
      <c r="Z10" s="80"/>
      <c r="AA10" s="80"/>
      <c r="AB10" s="67"/>
      <c r="AC10" s="68">
        <v>0</v>
      </c>
      <c r="AD10" s="68"/>
      <c r="AE10" s="1036"/>
      <c r="AF10" s="64"/>
      <c r="AG10" s="68">
        <v>0</v>
      </c>
    </row>
    <row r="11" spans="1:33">
      <c r="A11" s="25">
        <f t="shared" si="2"/>
        <v>5</v>
      </c>
      <c r="B11" s="37" t="s">
        <v>30</v>
      </c>
      <c r="C11" s="65"/>
      <c r="D11" s="65"/>
      <c r="E11" s="65"/>
      <c r="F11" s="65"/>
      <c r="G11" s="65">
        <f t="shared" si="3"/>
        <v>0</v>
      </c>
      <c r="H11" s="66">
        <f t="shared" si="3"/>
        <v>0</v>
      </c>
      <c r="I11" s="79"/>
      <c r="J11" s="80"/>
      <c r="K11" s="67"/>
      <c r="L11" s="68">
        <f t="shared" si="4"/>
        <v>0</v>
      </c>
      <c r="M11" s="68"/>
      <c r="N11" s="76"/>
      <c r="O11" s="64"/>
      <c r="P11" s="68">
        <f t="shared" si="5"/>
        <v>0</v>
      </c>
      <c r="R11" s="25">
        <f t="shared" si="6"/>
        <v>5</v>
      </c>
      <c r="S11" s="37" t="s">
        <v>30</v>
      </c>
      <c r="T11" s="64"/>
      <c r="U11" s="65"/>
      <c r="V11" s="65"/>
      <c r="W11" s="65"/>
      <c r="X11" s="65">
        <v>0</v>
      </c>
      <c r="Y11" s="66">
        <v>0</v>
      </c>
      <c r="Z11" s="79"/>
      <c r="AA11" s="80"/>
      <c r="AB11" s="67"/>
      <c r="AC11" s="68">
        <v>0</v>
      </c>
      <c r="AD11" s="68"/>
      <c r="AE11" s="1036"/>
      <c r="AF11" s="64"/>
      <c r="AG11" s="68">
        <v>0</v>
      </c>
    </row>
    <row r="12" spans="1:33">
      <c r="A12" s="48">
        <f t="shared" si="2"/>
        <v>6</v>
      </c>
      <c r="B12" s="35" t="s">
        <v>42</v>
      </c>
      <c r="C12" s="60">
        <f>+C13+C16+C18+C19</f>
        <v>1320</v>
      </c>
      <c r="D12" s="60">
        <f>+D13+D16+D18+D19</f>
        <v>1320</v>
      </c>
      <c r="E12" s="60">
        <f>+E13+E16+E18+E19</f>
        <v>0</v>
      </c>
      <c r="F12" s="60">
        <f>+F13+F16+F18+F19</f>
        <v>0</v>
      </c>
      <c r="G12" s="60">
        <f t="shared" si="3"/>
        <v>1320</v>
      </c>
      <c r="H12" s="61">
        <f t="shared" si="3"/>
        <v>1320</v>
      </c>
      <c r="I12" s="78"/>
      <c r="J12" s="78">
        <f>+J13+J16+J18+J19</f>
        <v>0</v>
      </c>
      <c r="K12" s="62">
        <f>+K13+K16+K18+K19</f>
        <v>8</v>
      </c>
      <c r="L12" s="63">
        <f t="shared" si="4"/>
        <v>0</v>
      </c>
      <c r="M12" s="63">
        <f>+M13+M16+M18+M19</f>
        <v>0</v>
      </c>
      <c r="N12" s="76"/>
      <c r="O12" s="59">
        <f>+O13+O16+O18+O19</f>
        <v>0</v>
      </c>
      <c r="P12" s="63">
        <f t="shared" si="5"/>
        <v>1320</v>
      </c>
      <c r="R12" s="48">
        <f t="shared" si="6"/>
        <v>6</v>
      </c>
      <c r="S12" s="35" t="s">
        <v>42</v>
      </c>
      <c r="T12" s="59">
        <v>1320</v>
      </c>
      <c r="U12" s="60">
        <v>1320</v>
      </c>
      <c r="V12" s="60">
        <v>0</v>
      </c>
      <c r="W12" s="60">
        <v>0</v>
      </c>
      <c r="X12" s="60">
        <v>1320</v>
      </c>
      <c r="Y12" s="61">
        <v>1320</v>
      </c>
      <c r="Z12" s="78"/>
      <c r="AA12" s="78">
        <v>0</v>
      </c>
      <c r="AB12" s="62">
        <v>8</v>
      </c>
      <c r="AC12" s="63">
        <v>0</v>
      </c>
      <c r="AD12" s="63">
        <v>0</v>
      </c>
      <c r="AE12" s="1036"/>
      <c r="AF12" s="59">
        <v>0</v>
      </c>
      <c r="AG12" s="63">
        <v>1320</v>
      </c>
    </row>
    <row r="13" spans="1:33">
      <c r="A13" s="29">
        <f t="shared" si="2"/>
        <v>7</v>
      </c>
      <c r="B13" s="36" t="s">
        <v>51</v>
      </c>
      <c r="C13" s="81"/>
      <c r="D13" s="82"/>
      <c r="E13" s="82"/>
      <c r="F13" s="82"/>
      <c r="G13" s="65">
        <f t="shared" si="3"/>
        <v>0</v>
      </c>
      <c r="H13" s="66">
        <f t="shared" si="3"/>
        <v>0</v>
      </c>
      <c r="I13" s="79"/>
      <c r="J13" s="83"/>
      <c r="K13" s="81"/>
      <c r="L13" s="68">
        <f t="shared" si="4"/>
        <v>0</v>
      </c>
      <c r="M13" s="68"/>
      <c r="N13" s="84"/>
      <c r="O13" s="85"/>
      <c r="P13" s="68">
        <f t="shared" si="5"/>
        <v>0</v>
      </c>
      <c r="R13" s="29">
        <f t="shared" si="6"/>
        <v>7</v>
      </c>
      <c r="S13" s="36" t="s">
        <v>51</v>
      </c>
      <c r="T13" s="85"/>
      <c r="U13" s="82"/>
      <c r="V13" s="82"/>
      <c r="W13" s="82"/>
      <c r="X13" s="65">
        <v>0</v>
      </c>
      <c r="Y13" s="66">
        <v>0</v>
      </c>
      <c r="Z13" s="79"/>
      <c r="AA13" s="83"/>
      <c r="AB13" s="81"/>
      <c r="AC13" s="68">
        <v>0</v>
      </c>
      <c r="AD13" s="68"/>
      <c r="AE13" s="706"/>
      <c r="AF13" s="85"/>
      <c r="AG13" s="68">
        <v>0</v>
      </c>
    </row>
    <row r="14" spans="1:33">
      <c r="A14" s="29"/>
      <c r="B14" s="36" t="s">
        <v>61</v>
      </c>
      <c r="C14" s="81"/>
      <c r="D14" s="82"/>
      <c r="E14" s="82"/>
      <c r="F14" s="82"/>
      <c r="G14" s="65">
        <f t="shared" si="3"/>
        <v>0</v>
      </c>
      <c r="H14" s="66">
        <f t="shared" si="3"/>
        <v>0</v>
      </c>
      <c r="I14" s="79"/>
      <c r="J14" s="83"/>
      <c r="K14" s="81"/>
      <c r="L14" s="68">
        <f t="shared" si="4"/>
        <v>0</v>
      </c>
      <c r="M14" s="68"/>
      <c r="N14" s="84"/>
      <c r="O14" s="85"/>
      <c r="P14" s="68">
        <f t="shared" si="5"/>
        <v>0</v>
      </c>
      <c r="R14" s="29"/>
      <c r="S14" s="36" t="s">
        <v>61</v>
      </c>
      <c r="T14" s="85"/>
      <c r="U14" s="82"/>
      <c r="V14" s="82"/>
      <c r="W14" s="82"/>
      <c r="X14" s="65">
        <v>0</v>
      </c>
      <c r="Y14" s="66">
        <v>0</v>
      </c>
      <c r="Z14" s="79"/>
      <c r="AA14" s="83"/>
      <c r="AB14" s="81"/>
      <c r="AC14" s="68">
        <v>0</v>
      </c>
      <c r="AD14" s="68"/>
      <c r="AE14" s="706"/>
      <c r="AF14" s="85"/>
      <c r="AG14" s="68">
        <v>0</v>
      </c>
    </row>
    <row r="15" spans="1:33">
      <c r="A15" s="25">
        <f>A13+1</f>
        <v>8</v>
      </c>
      <c r="B15" s="37" t="s">
        <v>66</v>
      </c>
      <c r="C15" s="86"/>
      <c r="D15" s="87"/>
      <c r="E15" s="87"/>
      <c r="F15" s="87"/>
      <c r="G15" s="65">
        <f t="shared" si="3"/>
        <v>0</v>
      </c>
      <c r="H15" s="66">
        <f t="shared" si="3"/>
        <v>0</v>
      </c>
      <c r="I15" s="88"/>
      <c r="J15" s="88"/>
      <c r="K15" s="86"/>
      <c r="L15" s="68">
        <f t="shared" si="4"/>
        <v>0</v>
      </c>
      <c r="M15" s="68"/>
      <c r="N15" s="76"/>
      <c r="O15" s="89"/>
      <c r="P15" s="68">
        <f t="shared" si="5"/>
        <v>0</v>
      </c>
      <c r="R15" s="25">
        <f>R13+1</f>
        <v>8</v>
      </c>
      <c r="S15" s="37" t="s">
        <v>66</v>
      </c>
      <c r="T15" s="89"/>
      <c r="U15" s="87"/>
      <c r="V15" s="87"/>
      <c r="W15" s="87"/>
      <c r="X15" s="65">
        <v>0</v>
      </c>
      <c r="Y15" s="66">
        <v>0</v>
      </c>
      <c r="Z15" s="88"/>
      <c r="AA15" s="88"/>
      <c r="AB15" s="86"/>
      <c r="AC15" s="68">
        <v>0</v>
      </c>
      <c r="AD15" s="68"/>
      <c r="AE15" s="1036"/>
      <c r="AF15" s="89"/>
      <c r="AG15" s="68">
        <v>0</v>
      </c>
    </row>
    <row r="16" spans="1:33">
      <c r="A16" s="29">
        <f t="shared" si="2"/>
        <v>9</v>
      </c>
      <c r="B16" s="36" t="s">
        <v>52</v>
      </c>
      <c r="C16" s="81"/>
      <c r="D16" s="82"/>
      <c r="E16" s="82"/>
      <c r="F16" s="82"/>
      <c r="G16" s="65">
        <f t="shared" si="3"/>
        <v>0</v>
      </c>
      <c r="H16" s="66">
        <f t="shared" si="3"/>
        <v>0</v>
      </c>
      <c r="I16" s="79"/>
      <c r="J16" s="83"/>
      <c r="K16" s="81"/>
      <c r="L16" s="68">
        <f t="shared" si="4"/>
        <v>0</v>
      </c>
      <c r="M16" s="68"/>
      <c r="N16" s="84"/>
      <c r="O16" s="85"/>
      <c r="P16" s="68">
        <f t="shared" si="5"/>
        <v>0</v>
      </c>
      <c r="R16" s="29">
        <f t="shared" si="6"/>
        <v>9</v>
      </c>
      <c r="S16" s="36" t="s">
        <v>52</v>
      </c>
      <c r="T16" s="85"/>
      <c r="U16" s="82"/>
      <c r="V16" s="82"/>
      <c r="W16" s="82"/>
      <c r="X16" s="65">
        <v>0</v>
      </c>
      <c r="Y16" s="66">
        <v>0</v>
      </c>
      <c r="Z16" s="79"/>
      <c r="AA16" s="83"/>
      <c r="AB16" s="81"/>
      <c r="AC16" s="68">
        <v>0</v>
      </c>
      <c r="AD16" s="68"/>
      <c r="AE16" s="706"/>
      <c r="AF16" s="85"/>
      <c r="AG16" s="68">
        <v>0</v>
      </c>
    </row>
    <row r="17" spans="1:33">
      <c r="A17" s="25">
        <f t="shared" si="2"/>
        <v>10</v>
      </c>
      <c r="B17" s="37" t="s">
        <v>30</v>
      </c>
      <c r="C17" s="86"/>
      <c r="D17" s="87"/>
      <c r="E17" s="87"/>
      <c r="F17" s="87"/>
      <c r="G17" s="65">
        <f t="shared" si="3"/>
        <v>0</v>
      </c>
      <c r="H17" s="66">
        <f t="shared" si="3"/>
        <v>0</v>
      </c>
      <c r="I17" s="88"/>
      <c r="J17" s="88"/>
      <c r="K17" s="86"/>
      <c r="L17" s="68">
        <f t="shared" si="4"/>
        <v>0</v>
      </c>
      <c r="M17" s="68"/>
      <c r="N17" s="76"/>
      <c r="O17" s="89"/>
      <c r="P17" s="68">
        <f t="shared" si="5"/>
        <v>0</v>
      </c>
      <c r="R17" s="25">
        <f t="shared" si="6"/>
        <v>10</v>
      </c>
      <c r="S17" s="37" t="s">
        <v>30</v>
      </c>
      <c r="T17" s="89"/>
      <c r="U17" s="87"/>
      <c r="V17" s="87"/>
      <c r="W17" s="87"/>
      <c r="X17" s="65">
        <v>0</v>
      </c>
      <c r="Y17" s="66">
        <v>0</v>
      </c>
      <c r="Z17" s="88"/>
      <c r="AA17" s="88"/>
      <c r="AB17" s="86"/>
      <c r="AC17" s="68">
        <v>0</v>
      </c>
      <c r="AD17" s="68"/>
      <c r="AE17" s="1036"/>
      <c r="AF17" s="89"/>
      <c r="AG17" s="68">
        <v>0</v>
      </c>
    </row>
    <row r="18" spans="1:33">
      <c r="A18" s="29">
        <f t="shared" si="2"/>
        <v>11</v>
      </c>
      <c r="B18" s="36" t="s">
        <v>37</v>
      </c>
      <c r="C18" s="81">
        <v>1320</v>
      </c>
      <c r="D18" s="82">
        <v>1320</v>
      </c>
      <c r="E18" s="82"/>
      <c r="F18" s="82"/>
      <c r="G18" s="65">
        <f t="shared" si="3"/>
        <v>1320</v>
      </c>
      <c r="H18" s="66">
        <f t="shared" si="3"/>
        <v>1320</v>
      </c>
      <c r="I18" s="83"/>
      <c r="J18" s="83"/>
      <c r="K18" s="81">
        <v>8</v>
      </c>
      <c r="L18" s="68">
        <f t="shared" si="4"/>
        <v>0</v>
      </c>
      <c r="M18" s="68"/>
      <c r="N18" s="84"/>
      <c r="O18" s="85"/>
      <c r="P18" s="68">
        <f t="shared" si="5"/>
        <v>1320</v>
      </c>
      <c r="R18" s="29">
        <f t="shared" si="6"/>
        <v>11</v>
      </c>
      <c r="S18" s="36" t="s">
        <v>37</v>
      </c>
      <c r="T18" s="85">
        <v>1320</v>
      </c>
      <c r="U18" s="82">
        <v>1320</v>
      </c>
      <c r="V18" s="82"/>
      <c r="W18" s="82"/>
      <c r="X18" s="65">
        <v>1320</v>
      </c>
      <c r="Y18" s="66">
        <v>1320</v>
      </c>
      <c r="Z18" s="83"/>
      <c r="AA18" s="83"/>
      <c r="AB18" s="81">
        <v>8</v>
      </c>
      <c r="AC18" s="68">
        <v>0</v>
      </c>
      <c r="AD18" s="68"/>
      <c r="AE18" s="706"/>
      <c r="AF18" s="85"/>
      <c r="AG18" s="68">
        <v>1320</v>
      </c>
    </row>
    <row r="19" spans="1:33">
      <c r="A19" s="29">
        <f t="shared" si="2"/>
        <v>12</v>
      </c>
      <c r="B19" s="50" t="s">
        <v>38</v>
      </c>
      <c r="C19" s="81"/>
      <c r="D19" s="82"/>
      <c r="E19" s="82"/>
      <c r="F19" s="82"/>
      <c r="G19" s="65">
        <f t="shared" si="3"/>
        <v>0</v>
      </c>
      <c r="H19" s="66">
        <f t="shared" si="3"/>
        <v>0</v>
      </c>
      <c r="I19" s="83"/>
      <c r="J19" s="83"/>
      <c r="K19" s="81"/>
      <c r="L19" s="68">
        <f t="shared" si="4"/>
        <v>0</v>
      </c>
      <c r="M19" s="68"/>
      <c r="N19" s="84"/>
      <c r="O19" s="85"/>
      <c r="P19" s="68">
        <f t="shared" si="5"/>
        <v>0</v>
      </c>
      <c r="R19" s="29">
        <f t="shared" si="6"/>
        <v>12</v>
      </c>
      <c r="S19" s="50" t="s">
        <v>38</v>
      </c>
      <c r="T19" s="85"/>
      <c r="U19" s="82"/>
      <c r="V19" s="82"/>
      <c r="W19" s="82"/>
      <c r="X19" s="65">
        <v>0</v>
      </c>
      <c r="Y19" s="66">
        <v>0</v>
      </c>
      <c r="Z19" s="83"/>
      <c r="AA19" s="83"/>
      <c r="AB19" s="81"/>
      <c r="AC19" s="68">
        <v>0</v>
      </c>
      <c r="AD19" s="68"/>
      <c r="AE19" s="706"/>
      <c r="AF19" s="85"/>
      <c r="AG19" s="68">
        <v>0</v>
      </c>
    </row>
    <row r="20" spans="1:33">
      <c r="A20" s="25">
        <f t="shared" si="2"/>
        <v>13</v>
      </c>
      <c r="B20" s="37" t="s">
        <v>30</v>
      </c>
      <c r="C20" s="86"/>
      <c r="D20" s="87"/>
      <c r="E20" s="87"/>
      <c r="F20" s="87"/>
      <c r="G20" s="65">
        <f t="shared" si="3"/>
        <v>0</v>
      </c>
      <c r="H20" s="66">
        <f t="shared" si="3"/>
        <v>0</v>
      </c>
      <c r="I20" s="88"/>
      <c r="J20" s="88"/>
      <c r="K20" s="86"/>
      <c r="L20" s="68">
        <f t="shared" si="4"/>
        <v>0</v>
      </c>
      <c r="M20" s="68"/>
      <c r="N20" s="76"/>
      <c r="O20" s="89"/>
      <c r="P20" s="68">
        <f t="shared" si="5"/>
        <v>0</v>
      </c>
      <c r="R20" s="25">
        <f t="shared" si="6"/>
        <v>13</v>
      </c>
      <c r="S20" s="37" t="s">
        <v>30</v>
      </c>
      <c r="T20" s="89"/>
      <c r="U20" s="87"/>
      <c r="V20" s="87"/>
      <c r="W20" s="87"/>
      <c r="X20" s="65">
        <v>0</v>
      </c>
      <c r="Y20" s="66">
        <v>0</v>
      </c>
      <c r="Z20" s="88"/>
      <c r="AA20" s="88"/>
      <c r="AB20" s="86"/>
      <c r="AC20" s="68">
        <v>0</v>
      </c>
      <c r="AD20" s="68"/>
      <c r="AE20" s="1036"/>
      <c r="AF20" s="89"/>
      <c r="AG20" s="68">
        <v>0</v>
      </c>
    </row>
    <row r="21" spans="1:33">
      <c r="A21" s="24">
        <f t="shared" si="2"/>
        <v>14</v>
      </c>
      <c r="B21" s="38" t="s">
        <v>29</v>
      </c>
      <c r="C21" s="70">
        <f>+C22+C24+C26</f>
        <v>1297</v>
      </c>
      <c r="D21" s="71">
        <f>+D22+D24+D26</f>
        <v>1297</v>
      </c>
      <c r="E21" s="71">
        <f>+E22+E24+E26</f>
        <v>0</v>
      </c>
      <c r="F21" s="71">
        <f>+F22+F24+F26</f>
        <v>0</v>
      </c>
      <c r="G21" s="71">
        <f t="shared" si="3"/>
        <v>1297</v>
      </c>
      <c r="H21" s="72">
        <f t="shared" si="3"/>
        <v>1297</v>
      </c>
      <c r="I21" s="90"/>
      <c r="J21" s="90">
        <f>+J22+J24+J26</f>
        <v>0</v>
      </c>
      <c r="K21" s="73">
        <f>+K22+K24+K26</f>
        <v>31</v>
      </c>
      <c r="L21" s="74"/>
      <c r="M21" s="74">
        <f>+M22+M24+M26</f>
        <v>0</v>
      </c>
      <c r="N21" s="76"/>
      <c r="O21" s="70">
        <f>+O22+O24+O26</f>
        <v>0</v>
      </c>
      <c r="P21" s="74">
        <f>H21+O21</f>
        <v>1297</v>
      </c>
      <c r="R21" s="24">
        <f t="shared" si="6"/>
        <v>14</v>
      </c>
      <c r="S21" s="38" t="s">
        <v>29</v>
      </c>
      <c r="T21" s="70">
        <v>1297</v>
      </c>
      <c r="U21" s="71">
        <v>1297</v>
      </c>
      <c r="V21" s="71">
        <v>0</v>
      </c>
      <c r="W21" s="71">
        <v>0</v>
      </c>
      <c r="X21" s="71">
        <v>1297</v>
      </c>
      <c r="Y21" s="72">
        <v>1297</v>
      </c>
      <c r="Z21" s="90"/>
      <c r="AA21" s="1252">
        <v>0</v>
      </c>
      <c r="AB21" s="73">
        <v>31</v>
      </c>
      <c r="AC21" s="74"/>
      <c r="AD21" s="74">
        <v>0</v>
      </c>
      <c r="AE21" s="1036"/>
      <c r="AF21" s="70">
        <v>0</v>
      </c>
      <c r="AG21" s="74">
        <v>1297</v>
      </c>
    </row>
    <row r="22" spans="1:33">
      <c r="A22" s="46">
        <f t="shared" si="2"/>
        <v>15</v>
      </c>
      <c r="B22" s="43" t="s">
        <v>53</v>
      </c>
      <c r="C22" s="60">
        <f>+C23</f>
        <v>0</v>
      </c>
      <c r="D22" s="60">
        <f t="shared" ref="D22:O22" si="7">+D23</f>
        <v>0</v>
      </c>
      <c r="E22" s="60">
        <f t="shared" si="7"/>
        <v>0</v>
      </c>
      <c r="F22" s="60">
        <f t="shared" si="7"/>
        <v>0</v>
      </c>
      <c r="G22" s="60">
        <f t="shared" si="7"/>
        <v>0</v>
      </c>
      <c r="H22" s="61">
        <f t="shared" si="7"/>
        <v>0</v>
      </c>
      <c r="I22" s="78"/>
      <c r="J22" s="78">
        <f t="shared" si="7"/>
        <v>0</v>
      </c>
      <c r="K22" s="62">
        <f t="shared" si="7"/>
        <v>0</v>
      </c>
      <c r="L22" s="63">
        <f t="shared" si="7"/>
        <v>0</v>
      </c>
      <c r="M22" s="63">
        <f t="shared" si="7"/>
        <v>0</v>
      </c>
      <c r="N22" s="76"/>
      <c r="O22" s="59">
        <f t="shared" si="7"/>
        <v>0</v>
      </c>
      <c r="P22" s="63">
        <f t="shared" si="5"/>
        <v>0</v>
      </c>
      <c r="R22" s="46">
        <f t="shared" si="6"/>
        <v>15</v>
      </c>
      <c r="S22" s="43" t="s">
        <v>53</v>
      </c>
      <c r="T22" s="59">
        <v>0</v>
      </c>
      <c r="U22" s="60">
        <v>0</v>
      </c>
      <c r="V22" s="60">
        <v>0</v>
      </c>
      <c r="W22" s="60">
        <v>0</v>
      </c>
      <c r="X22" s="60">
        <v>0</v>
      </c>
      <c r="Y22" s="61">
        <v>0</v>
      </c>
      <c r="Z22" s="78"/>
      <c r="AA22" s="78">
        <v>0</v>
      </c>
      <c r="AB22" s="62">
        <v>0</v>
      </c>
      <c r="AC22" s="63">
        <v>0</v>
      </c>
      <c r="AD22" s="63">
        <v>0</v>
      </c>
      <c r="AE22" s="1036"/>
      <c r="AF22" s="59">
        <v>0</v>
      </c>
      <c r="AG22" s="63">
        <v>0</v>
      </c>
    </row>
    <row r="23" spans="1:33">
      <c r="A23" s="25">
        <f t="shared" si="2"/>
        <v>16</v>
      </c>
      <c r="B23" s="37" t="s">
        <v>60</v>
      </c>
      <c r="C23" s="86"/>
      <c r="D23" s="87"/>
      <c r="E23" s="87"/>
      <c r="F23" s="87"/>
      <c r="G23" s="65">
        <f>+C23+E23</f>
        <v>0</v>
      </c>
      <c r="H23" s="66">
        <f>+D23+F23</f>
        <v>0</v>
      </c>
      <c r="I23" s="88"/>
      <c r="J23" s="88"/>
      <c r="K23" s="86"/>
      <c r="L23" s="68">
        <f>+G23-H23</f>
        <v>0</v>
      </c>
      <c r="M23" s="68"/>
      <c r="N23" s="76"/>
      <c r="O23" s="89"/>
      <c r="P23" s="68">
        <f t="shared" si="5"/>
        <v>0</v>
      </c>
      <c r="R23" s="25">
        <f t="shared" si="6"/>
        <v>16</v>
      </c>
      <c r="S23" s="37" t="s">
        <v>60</v>
      </c>
      <c r="T23" s="89"/>
      <c r="U23" s="87"/>
      <c r="V23" s="87"/>
      <c r="W23" s="87"/>
      <c r="X23" s="65">
        <v>0</v>
      </c>
      <c r="Y23" s="66">
        <v>0</v>
      </c>
      <c r="Z23" s="88"/>
      <c r="AA23" s="88"/>
      <c r="AB23" s="86"/>
      <c r="AC23" s="68">
        <v>0</v>
      </c>
      <c r="AD23" s="68"/>
      <c r="AE23" s="1036"/>
      <c r="AF23" s="89"/>
      <c r="AG23" s="68">
        <v>0</v>
      </c>
    </row>
    <row r="24" spans="1:33">
      <c r="A24" s="46">
        <f t="shared" si="2"/>
        <v>17</v>
      </c>
      <c r="B24" s="47" t="s">
        <v>59</v>
      </c>
      <c r="C24" s="60">
        <f>+C25</f>
        <v>1297</v>
      </c>
      <c r="D24" s="60">
        <f t="shared" ref="D24:O24" si="8">+D25</f>
        <v>1297</v>
      </c>
      <c r="E24" s="60">
        <f t="shared" si="8"/>
        <v>0</v>
      </c>
      <c r="F24" s="60">
        <f t="shared" si="8"/>
        <v>0</v>
      </c>
      <c r="G24" s="60">
        <f t="shared" si="8"/>
        <v>1297</v>
      </c>
      <c r="H24" s="61">
        <f t="shared" si="8"/>
        <v>1297</v>
      </c>
      <c r="I24" s="78"/>
      <c r="J24" s="78">
        <f t="shared" si="8"/>
        <v>0</v>
      </c>
      <c r="K24" s="62">
        <f t="shared" si="8"/>
        <v>31</v>
      </c>
      <c r="L24" s="63">
        <f t="shared" si="8"/>
        <v>0</v>
      </c>
      <c r="M24" s="63">
        <f t="shared" si="8"/>
        <v>0</v>
      </c>
      <c r="N24" s="76"/>
      <c r="O24" s="59">
        <f t="shared" si="8"/>
        <v>0</v>
      </c>
      <c r="P24" s="63">
        <f t="shared" si="5"/>
        <v>1297</v>
      </c>
      <c r="R24" s="46">
        <f t="shared" si="6"/>
        <v>17</v>
      </c>
      <c r="S24" s="47" t="s">
        <v>59</v>
      </c>
      <c r="T24" s="59">
        <v>1297</v>
      </c>
      <c r="U24" s="60">
        <v>1297</v>
      </c>
      <c r="V24" s="60">
        <v>0</v>
      </c>
      <c r="W24" s="60">
        <v>0</v>
      </c>
      <c r="X24" s="60">
        <v>1297</v>
      </c>
      <c r="Y24" s="61">
        <v>1297</v>
      </c>
      <c r="Z24" s="78"/>
      <c r="AA24" s="78">
        <v>0</v>
      </c>
      <c r="AB24" s="62">
        <v>31</v>
      </c>
      <c r="AC24" s="63">
        <v>0</v>
      </c>
      <c r="AD24" s="63">
        <v>0</v>
      </c>
      <c r="AE24" s="1036"/>
      <c r="AF24" s="59">
        <v>0</v>
      </c>
      <c r="AG24" s="63">
        <v>1297</v>
      </c>
    </row>
    <row r="25" spans="1:33">
      <c r="A25" s="25">
        <f t="shared" si="2"/>
        <v>18</v>
      </c>
      <c r="B25" s="36" t="s">
        <v>260</v>
      </c>
      <c r="C25" s="86">
        <v>1297</v>
      </c>
      <c r="D25" s="87">
        <v>1297</v>
      </c>
      <c r="E25" s="87"/>
      <c r="F25" s="87"/>
      <c r="G25" s="65">
        <f>+C25+E25</f>
        <v>1297</v>
      </c>
      <c r="H25" s="66">
        <f>+D25+F25</f>
        <v>1297</v>
      </c>
      <c r="I25" s="88"/>
      <c r="J25" s="88"/>
      <c r="K25" s="86">
        <v>31</v>
      </c>
      <c r="L25" s="68">
        <f>+G25-H25</f>
        <v>0</v>
      </c>
      <c r="M25" s="68"/>
      <c r="N25" s="76"/>
      <c r="O25" s="89"/>
      <c r="P25" s="68">
        <f t="shared" si="5"/>
        <v>1297</v>
      </c>
      <c r="R25" s="25">
        <f t="shared" si="6"/>
        <v>18</v>
      </c>
      <c r="S25" s="37" t="s">
        <v>60</v>
      </c>
      <c r="T25" s="89">
        <v>1297</v>
      </c>
      <c r="U25" s="87">
        <v>1297</v>
      </c>
      <c r="V25" s="87"/>
      <c r="W25" s="87"/>
      <c r="X25" s="65">
        <v>1297</v>
      </c>
      <c r="Y25" s="66">
        <v>1297</v>
      </c>
      <c r="Z25" s="88"/>
      <c r="AA25" s="88"/>
      <c r="AB25" s="86">
        <v>31</v>
      </c>
      <c r="AC25" s="68">
        <v>0</v>
      </c>
      <c r="AD25" s="68"/>
      <c r="AE25" s="1036"/>
      <c r="AF25" s="89"/>
      <c r="AG25" s="68">
        <v>1297</v>
      </c>
    </row>
    <row r="26" spans="1:33">
      <c r="A26" s="46">
        <f t="shared" si="2"/>
        <v>19</v>
      </c>
      <c r="B26" s="47" t="s">
        <v>54</v>
      </c>
      <c r="C26" s="60">
        <f>+C27</f>
        <v>0</v>
      </c>
      <c r="D26" s="60">
        <f t="shared" ref="D26:O26" si="9">+D27</f>
        <v>0</v>
      </c>
      <c r="E26" s="60">
        <f t="shared" si="9"/>
        <v>0</v>
      </c>
      <c r="F26" s="60">
        <f t="shared" si="9"/>
        <v>0</v>
      </c>
      <c r="G26" s="60">
        <f t="shared" si="9"/>
        <v>0</v>
      </c>
      <c r="H26" s="61">
        <f t="shared" si="9"/>
        <v>0</v>
      </c>
      <c r="I26" s="78"/>
      <c r="J26" s="78">
        <f t="shared" si="9"/>
        <v>0</v>
      </c>
      <c r="K26" s="62">
        <f t="shared" si="9"/>
        <v>0</v>
      </c>
      <c r="L26" s="63">
        <f t="shared" si="9"/>
        <v>0</v>
      </c>
      <c r="M26" s="63">
        <f t="shared" si="9"/>
        <v>0</v>
      </c>
      <c r="N26" s="76"/>
      <c r="O26" s="59">
        <f t="shared" si="9"/>
        <v>0</v>
      </c>
      <c r="P26" s="63">
        <f t="shared" si="5"/>
        <v>0</v>
      </c>
      <c r="R26" s="46">
        <f t="shared" si="6"/>
        <v>19</v>
      </c>
      <c r="S26" s="47" t="s">
        <v>54</v>
      </c>
      <c r="T26" s="59">
        <v>0</v>
      </c>
      <c r="U26" s="60">
        <v>0</v>
      </c>
      <c r="V26" s="60">
        <v>0</v>
      </c>
      <c r="W26" s="60">
        <v>0</v>
      </c>
      <c r="X26" s="60">
        <v>0</v>
      </c>
      <c r="Y26" s="61">
        <v>0</v>
      </c>
      <c r="Z26" s="78"/>
      <c r="AA26" s="78">
        <v>0</v>
      </c>
      <c r="AB26" s="62">
        <v>0</v>
      </c>
      <c r="AC26" s="63">
        <v>0</v>
      </c>
      <c r="AD26" s="63">
        <v>0</v>
      </c>
      <c r="AE26" s="1036"/>
      <c r="AF26" s="59">
        <v>0</v>
      </c>
      <c r="AG26" s="63">
        <v>0</v>
      </c>
    </row>
    <row r="27" spans="1:33">
      <c r="A27" s="25">
        <f t="shared" si="2"/>
        <v>20</v>
      </c>
      <c r="B27" s="37" t="s">
        <v>60</v>
      </c>
      <c r="C27" s="91"/>
      <c r="D27" s="92"/>
      <c r="E27" s="92"/>
      <c r="F27" s="92"/>
      <c r="G27" s="65">
        <f>+C27+E27</f>
        <v>0</v>
      </c>
      <c r="H27" s="66">
        <f>+D27+F27</f>
        <v>0</v>
      </c>
      <c r="I27" s="93"/>
      <c r="J27" s="93"/>
      <c r="K27" s="91"/>
      <c r="L27" s="68">
        <f>+G27-H27</f>
        <v>0</v>
      </c>
      <c r="M27" s="68"/>
      <c r="N27" s="76"/>
      <c r="O27" s="94"/>
      <c r="P27" s="68">
        <f t="shared" si="5"/>
        <v>0</v>
      </c>
      <c r="R27" s="25">
        <f t="shared" si="6"/>
        <v>20</v>
      </c>
      <c r="S27" s="37" t="s">
        <v>60</v>
      </c>
      <c r="T27" s="94"/>
      <c r="U27" s="92"/>
      <c r="V27" s="92"/>
      <c r="W27" s="92"/>
      <c r="X27" s="65">
        <v>0</v>
      </c>
      <c r="Y27" s="66">
        <v>0</v>
      </c>
      <c r="Z27" s="93"/>
      <c r="AA27" s="93"/>
      <c r="AB27" s="91"/>
      <c r="AC27" s="68">
        <v>0</v>
      </c>
      <c r="AD27" s="68"/>
      <c r="AE27" s="1036"/>
      <c r="AF27" s="94"/>
      <c r="AG27" s="68">
        <v>0</v>
      </c>
    </row>
    <row r="28" spans="1:33">
      <c r="A28" s="24">
        <f t="shared" si="2"/>
        <v>21</v>
      </c>
      <c r="B28" s="38" t="s">
        <v>27</v>
      </c>
      <c r="C28" s="70">
        <f>+C29</f>
        <v>0</v>
      </c>
      <c r="D28" s="71">
        <f t="shared" ref="D28:O29" si="10">+D29</f>
        <v>0</v>
      </c>
      <c r="E28" s="71">
        <f t="shared" si="10"/>
        <v>0</v>
      </c>
      <c r="F28" s="71">
        <f t="shared" si="10"/>
        <v>0</v>
      </c>
      <c r="G28" s="71">
        <f>+C28+E28</f>
        <v>0</v>
      </c>
      <c r="H28" s="72">
        <f>+D28+F28</f>
        <v>0</v>
      </c>
      <c r="I28" s="90"/>
      <c r="J28" s="90">
        <f>+J29</f>
        <v>0</v>
      </c>
      <c r="K28" s="73">
        <f>+K29</f>
        <v>0</v>
      </c>
      <c r="L28" s="74">
        <f>+G28-H28</f>
        <v>0</v>
      </c>
      <c r="M28" s="74">
        <f>+M29</f>
        <v>0</v>
      </c>
      <c r="N28" s="76"/>
      <c r="O28" s="70">
        <f>+O29</f>
        <v>0</v>
      </c>
      <c r="P28" s="74">
        <f>H28+O28</f>
        <v>0</v>
      </c>
      <c r="R28" s="24">
        <f t="shared" si="6"/>
        <v>21</v>
      </c>
      <c r="S28" s="38" t="s">
        <v>27</v>
      </c>
      <c r="T28" s="70">
        <v>0</v>
      </c>
      <c r="U28" s="71">
        <v>0</v>
      </c>
      <c r="V28" s="71">
        <v>0</v>
      </c>
      <c r="W28" s="71">
        <v>0</v>
      </c>
      <c r="X28" s="71">
        <v>0</v>
      </c>
      <c r="Y28" s="72">
        <v>0</v>
      </c>
      <c r="Z28" s="90"/>
      <c r="AA28" s="90">
        <v>0</v>
      </c>
      <c r="AB28" s="73">
        <v>0</v>
      </c>
      <c r="AC28" s="74">
        <v>0</v>
      </c>
      <c r="AD28" s="74">
        <v>0</v>
      </c>
      <c r="AE28" s="1036"/>
      <c r="AF28" s="70">
        <v>0</v>
      </c>
      <c r="AG28" s="74">
        <v>0</v>
      </c>
    </row>
    <row r="29" spans="1:33">
      <c r="A29" s="29">
        <f t="shared" si="2"/>
        <v>22</v>
      </c>
      <c r="B29" s="43" t="s">
        <v>34</v>
      </c>
      <c r="C29" s="60">
        <f>+C30</f>
        <v>0</v>
      </c>
      <c r="D29" s="60">
        <f t="shared" si="10"/>
        <v>0</v>
      </c>
      <c r="E29" s="60">
        <f t="shared" si="10"/>
        <v>0</v>
      </c>
      <c r="F29" s="60">
        <f t="shared" si="10"/>
        <v>0</v>
      </c>
      <c r="G29" s="60">
        <f t="shared" si="10"/>
        <v>0</v>
      </c>
      <c r="H29" s="61">
        <f t="shared" si="10"/>
        <v>0</v>
      </c>
      <c r="I29" s="78"/>
      <c r="J29" s="78">
        <f t="shared" si="10"/>
        <v>0</v>
      </c>
      <c r="K29" s="62">
        <f t="shared" si="10"/>
        <v>0</v>
      </c>
      <c r="L29" s="63">
        <f t="shared" si="10"/>
        <v>0</v>
      </c>
      <c r="M29" s="63">
        <f t="shared" si="10"/>
        <v>0</v>
      </c>
      <c r="N29" s="76"/>
      <c r="O29" s="59">
        <f t="shared" si="10"/>
        <v>0</v>
      </c>
      <c r="P29" s="63">
        <f t="shared" si="5"/>
        <v>0</v>
      </c>
      <c r="R29" s="29">
        <f t="shared" si="6"/>
        <v>22</v>
      </c>
      <c r="S29" s="43" t="s">
        <v>34</v>
      </c>
      <c r="T29" s="59">
        <v>0</v>
      </c>
      <c r="U29" s="60">
        <v>0</v>
      </c>
      <c r="V29" s="60">
        <v>0</v>
      </c>
      <c r="W29" s="60">
        <v>0</v>
      </c>
      <c r="X29" s="60">
        <v>0</v>
      </c>
      <c r="Y29" s="61">
        <v>0</v>
      </c>
      <c r="Z29" s="78"/>
      <c r="AA29" s="78">
        <v>0</v>
      </c>
      <c r="AB29" s="62">
        <v>0</v>
      </c>
      <c r="AC29" s="63">
        <v>0</v>
      </c>
      <c r="AD29" s="63">
        <v>0</v>
      </c>
      <c r="AE29" s="1036"/>
      <c r="AF29" s="59">
        <v>0</v>
      </c>
      <c r="AG29" s="63">
        <v>0</v>
      </c>
    </row>
    <row r="30" spans="1:33">
      <c r="A30" s="25">
        <f t="shared" si="2"/>
        <v>23</v>
      </c>
      <c r="B30" s="37" t="s">
        <v>60</v>
      </c>
      <c r="C30" s="91"/>
      <c r="D30" s="92"/>
      <c r="E30" s="92"/>
      <c r="F30" s="92"/>
      <c r="G30" s="65">
        <f>+C30+E30</f>
        <v>0</v>
      </c>
      <c r="H30" s="66">
        <f>+D30+F30</f>
        <v>0</v>
      </c>
      <c r="I30" s="93"/>
      <c r="J30" s="93"/>
      <c r="K30" s="91"/>
      <c r="L30" s="68">
        <f>+G30-H30</f>
        <v>0</v>
      </c>
      <c r="M30" s="68"/>
      <c r="N30" s="76"/>
      <c r="O30" s="94"/>
      <c r="P30" s="68">
        <f t="shared" si="5"/>
        <v>0</v>
      </c>
      <c r="R30" s="25">
        <f t="shared" si="6"/>
        <v>23</v>
      </c>
      <c r="S30" s="37" t="s">
        <v>60</v>
      </c>
      <c r="T30" s="94"/>
      <c r="U30" s="92"/>
      <c r="V30" s="92"/>
      <c r="W30" s="92"/>
      <c r="X30" s="65">
        <v>0</v>
      </c>
      <c r="Y30" s="66">
        <v>0</v>
      </c>
      <c r="Z30" s="93"/>
      <c r="AA30" s="93"/>
      <c r="AB30" s="91"/>
      <c r="AC30" s="68">
        <v>0</v>
      </c>
      <c r="AD30" s="68"/>
      <c r="AE30" s="1036"/>
      <c r="AF30" s="94"/>
      <c r="AG30" s="68">
        <v>0</v>
      </c>
    </row>
    <row r="31" spans="1:33">
      <c r="A31" s="24">
        <f t="shared" si="2"/>
        <v>24</v>
      </c>
      <c r="B31" s="38" t="s">
        <v>32</v>
      </c>
      <c r="C31" s="70">
        <f>+C32</f>
        <v>0</v>
      </c>
      <c r="D31" s="71">
        <f t="shared" ref="D31:O32" si="11">+D32</f>
        <v>0</v>
      </c>
      <c r="E31" s="71">
        <f t="shared" si="11"/>
        <v>0</v>
      </c>
      <c r="F31" s="71">
        <f t="shared" si="11"/>
        <v>0</v>
      </c>
      <c r="G31" s="71">
        <f>+C31+E31</f>
        <v>0</v>
      </c>
      <c r="H31" s="72">
        <f>+D31+F31</f>
        <v>0</v>
      </c>
      <c r="I31" s="90"/>
      <c r="J31" s="90">
        <f>+J32</f>
        <v>0</v>
      </c>
      <c r="K31" s="73">
        <f>+K32</f>
        <v>0</v>
      </c>
      <c r="L31" s="74">
        <f>+G31-H31</f>
        <v>0</v>
      </c>
      <c r="M31" s="74">
        <f>+M32</f>
        <v>0</v>
      </c>
      <c r="N31" s="76"/>
      <c r="O31" s="70">
        <f>+O32</f>
        <v>0</v>
      </c>
      <c r="P31" s="74">
        <f>H31+O31</f>
        <v>0</v>
      </c>
      <c r="R31" s="24">
        <f t="shared" si="6"/>
        <v>24</v>
      </c>
      <c r="S31" s="38" t="s">
        <v>32</v>
      </c>
      <c r="T31" s="70">
        <v>0</v>
      </c>
      <c r="U31" s="71">
        <v>0</v>
      </c>
      <c r="V31" s="71">
        <v>0</v>
      </c>
      <c r="W31" s="71">
        <v>0</v>
      </c>
      <c r="X31" s="71">
        <v>0</v>
      </c>
      <c r="Y31" s="72">
        <v>0</v>
      </c>
      <c r="Z31" s="90"/>
      <c r="AA31" s="90">
        <v>0</v>
      </c>
      <c r="AB31" s="73">
        <v>0</v>
      </c>
      <c r="AC31" s="74">
        <v>0</v>
      </c>
      <c r="AD31" s="74">
        <v>0</v>
      </c>
      <c r="AE31" s="1036"/>
      <c r="AF31" s="70">
        <v>0</v>
      </c>
      <c r="AG31" s="74">
        <v>0</v>
      </c>
    </row>
    <row r="32" spans="1:33">
      <c r="A32" s="46">
        <f t="shared" si="2"/>
        <v>25</v>
      </c>
      <c r="B32" s="47" t="s">
        <v>39</v>
      </c>
      <c r="C32" s="60">
        <f>+C33</f>
        <v>0</v>
      </c>
      <c r="D32" s="60">
        <f t="shared" si="11"/>
        <v>0</v>
      </c>
      <c r="E32" s="60">
        <f t="shared" si="11"/>
        <v>0</v>
      </c>
      <c r="F32" s="60">
        <f t="shared" si="11"/>
        <v>0</v>
      </c>
      <c r="G32" s="60">
        <f t="shared" si="11"/>
        <v>0</v>
      </c>
      <c r="H32" s="61">
        <f t="shared" si="11"/>
        <v>0</v>
      </c>
      <c r="I32" s="78"/>
      <c r="J32" s="78">
        <f t="shared" si="11"/>
        <v>0</v>
      </c>
      <c r="K32" s="62">
        <f t="shared" si="11"/>
        <v>0</v>
      </c>
      <c r="L32" s="63">
        <f t="shared" si="11"/>
        <v>0</v>
      </c>
      <c r="M32" s="63">
        <f t="shared" si="11"/>
        <v>0</v>
      </c>
      <c r="N32" s="76"/>
      <c r="O32" s="59">
        <f t="shared" si="11"/>
        <v>0</v>
      </c>
      <c r="P32" s="63">
        <f t="shared" si="5"/>
        <v>0</v>
      </c>
      <c r="R32" s="46">
        <f t="shared" si="6"/>
        <v>25</v>
      </c>
      <c r="S32" s="47" t="s">
        <v>39</v>
      </c>
      <c r="T32" s="59">
        <v>0</v>
      </c>
      <c r="U32" s="60">
        <v>0</v>
      </c>
      <c r="V32" s="60">
        <v>0</v>
      </c>
      <c r="W32" s="60">
        <v>0</v>
      </c>
      <c r="X32" s="60">
        <v>0</v>
      </c>
      <c r="Y32" s="61">
        <v>0</v>
      </c>
      <c r="Z32" s="78"/>
      <c r="AA32" s="78">
        <v>0</v>
      </c>
      <c r="AB32" s="62">
        <v>0</v>
      </c>
      <c r="AC32" s="63">
        <v>0</v>
      </c>
      <c r="AD32" s="63">
        <v>0</v>
      </c>
      <c r="AE32" s="1036"/>
      <c r="AF32" s="59">
        <v>0</v>
      </c>
      <c r="AG32" s="63">
        <v>0</v>
      </c>
    </row>
    <row r="33" spans="1:33" ht="15.75" thickBot="1">
      <c r="A33" s="25">
        <f t="shared" si="2"/>
        <v>26</v>
      </c>
      <c r="B33" s="37" t="s">
        <v>60</v>
      </c>
      <c r="C33" s="86"/>
      <c r="D33" s="87"/>
      <c r="E33" s="87"/>
      <c r="F33" s="87"/>
      <c r="G33" s="65">
        <f>+C33+E33</f>
        <v>0</v>
      </c>
      <c r="H33" s="66">
        <f>+D33+F33</f>
        <v>0</v>
      </c>
      <c r="I33" s="88"/>
      <c r="J33" s="88"/>
      <c r="K33" s="86"/>
      <c r="L33" s="68">
        <f>+G33-H33</f>
        <v>0</v>
      </c>
      <c r="M33" s="68"/>
      <c r="N33" s="76"/>
      <c r="O33" s="89"/>
      <c r="P33" s="68">
        <f t="shared" si="5"/>
        <v>0</v>
      </c>
      <c r="R33" s="25">
        <f t="shared" si="6"/>
        <v>26</v>
      </c>
      <c r="S33" s="37" t="s">
        <v>60</v>
      </c>
      <c r="T33" s="89"/>
      <c r="U33" s="87"/>
      <c r="V33" s="87"/>
      <c r="W33" s="87"/>
      <c r="X33" s="65">
        <v>0</v>
      </c>
      <c r="Y33" s="66">
        <v>0</v>
      </c>
      <c r="Z33" s="88"/>
      <c r="AA33" s="88"/>
      <c r="AB33" s="86"/>
      <c r="AC33" s="68">
        <v>0</v>
      </c>
      <c r="AD33" s="68"/>
      <c r="AE33" s="1036"/>
      <c r="AF33" s="89"/>
      <c r="AG33" s="68">
        <v>0</v>
      </c>
    </row>
    <row r="34" spans="1:33" ht="15.75" thickBot="1">
      <c r="A34" s="31">
        <f t="shared" si="2"/>
        <v>27</v>
      </c>
      <c r="B34" s="39" t="s">
        <v>23</v>
      </c>
      <c r="C34" s="95">
        <f t="shared" ref="C34:H34" si="12">+C7+C21+C28+C31</f>
        <v>8040</v>
      </c>
      <c r="D34" s="96">
        <f t="shared" si="12"/>
        <v>8040</v>
      </c>
      <c r="E34" s="96">
        <f t="shared" si="12"/>
        <v>0</v>
      </c>
      <c r="F34" s="96">
        <f t="shared" si="12"/>
        <v>0</v>
      </c>
      <c r="G34" s="96">
        <f t="shared" si="12"/>
        <v>8040</v>
      </c>
      <c r="H34" s="97">
        <f t="shared" si="12"/>
        <v>8040</v>
      </c>
      <c r="I34" s="98"/>
      <c r="J34" s="98">
        <f>+J7+J21+J28+J31</f>
        <v>0</v>
      </c>
      <c r="K34" s="99">
        <f>+K7+K21+K28+K31</f>
        <v>206</v>
      </c>
      <c r="L34" s="100">
        <f>+L7+L21+L28+L31</f>
        <v>0</v>
      </c>
      <c r="M34" s="100">
        <f>+M7+M21+M28+M31</f>
        <v>0</v>
      </c>
      <c r="N34" s="101"/>
      <c r="O34" s="95">
        <f>+O7+O21+O28+O31</f>
        <v>0</v>
      </c>
      <c r="P34" s="100">
        <f>+P7+P21+P28+P31</f>
        <v>8040</v>
      </c>
      <c r="R34" s="31">
        <f t="shared" si="6"/>
        <v>27</v>
      </c>
      <c r="S34" s="39" t="s">
        <v>23</v>
      </c>
      <c r="T34" s="95">
        <v>8040</v>
      </c>
      <c r="U34" s="96">
        <v>8040</v>
      </c>
      <c r="V34" s="96">
        <v>0</v>
      </c>
      <c r="W34" s="96">
        <v>0</v>
      </c>
      <c r="X34" s="96">
        <v>8040</v>
      </c>
      <c r="Y34" s="97">
        <v>8040</v>
      </c>
      <c r="Z34" s="98"/>
      <c r="AA34" s="98">
        <v>0</v>
      </c>
      <c r="AB34" s="99">
        <v>206</v>
      </c>
      <c r="AC34" s="100">
        <v>0</v>
      </c>
      <c r="AD34" s="100">
        <v>0</v>
      </c>
      <c r="AE34" s="101"/>
      <c r="AF34" s="95">
        <v>0</v>
      </c>
      <c r="AG34" s="100">
        <v>8040</v>
      </c>
    </row>
  </sheetData>
  <mergeCells count="24">
    <mergeCell ref="A4:A6"/>
    <mergeCell ref="B4:B6"/>
    <mergeCell ref="C4:D4"/>
    <mergeCell ref="E4:F4"/>
    <mergeCell ref="G4:H4"/>
    <mergeCell ref="I4:I5"/>
    <mergeCell ref="J4:J5"/>
    <mergeCell ref="K4:K5"/>
    <mergeCell ref="L4:L5"/>
    <mergeCell ref="M4:M5"/>
    <mergeCell ref="O4:O5"/>
    <mergeCell ref="P4:P5"/>
    <mergeCell ref="R4:R6"/>
    <mergeCell ref="S4:S6"/>
    <mergeCell ref="T4:U4"/>
    <mergeCell ref="V4:W4"/>
    <mergeCell ref="X4:Y4"/>
    <mergeCell ref="Z4:Z5"/>
    <mergeCell ref="AA4:AA5"/>
    <mergeCell ref="AB4:AB5"/>
    <mergeCell ref="AC4:AC5"/>
    <mergeCell ref="AD4:AD5"/>
    <mergeCell ref="AF4:AF5"/>
    <mergeCell ref="AG4:AG5"/>
  </mergeCells>
  <pageMargins left="0.7" right="0.7" top="0.78740157499999996" bottom="0.78740157499999996"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5"/>
  <dimension ref="A1:AG34"/>
  <sheetViews>
    <sheetView zoomScale="85" zoomScaleNormal="85" workbookViewId="0">
      <selection activeCell="R1" sqref="R1:AG65536"/>
    </sheetView>
  </sheetViews>
  <sheetFormatPr defaultRowHeight="15"/>
  <cols>
    <col min="1" max="1" width="9.42578125" customWidth="1"/>
    <col min="2" max="2" width="45.85546875" customWidth="1"/>
    <col min="3" max="3" width="12.7109375" customWidth="1"/>
    <col min="4" max="4" width="11.5703125" customWidth="1"/>
    <col min="5" max="5" width="11.28515625" customWidth="1"/>
    <col min="6" max="6" width="11.5703125" customWidth="1"/>
    <col min="7" max="7" width="10.85546875" customWidth="1"/>
    <col min="8" max="9" width="10.42578125" customWidth="1"/>
    <col min="10" max="10" width="12.5703125" customWidth="1"/>
    <col min="11" max="11" width="10.5703125" customWidth="1"/>
    <col min="12" max="12" width="14" customWidth="1"/>
    <col min="13" max="13" width="12.42578125" customWidth="1"/>
    <col min="14" max="14" width="1.7109375" customWidth="1"/>
    <col min="15" max="15" width="11" customWidth="1"/>
    <col min="16" max="16" width="10.85546875" customWidth="1"/>
    <col min="18" max="18" width="9.42578125" hidden="1" customWidth="1"/>
    <col min="19" max="19" width="45.85546875" hidden="1" customWidth="1"/>
    <col min="20" max="20" width="12.7109375" hidden="1" customWidth="1"/>
    <col min="21" max="21" width="11.5703125" hidden="1" customWidth="1"/>
    <col min="22" max="22" width="11.28515625" hidden="1" customWidth="1"/>
    <col min="23" max="23" width="11.5703125" hidden="1" customWidth="1"/>
    <col min="24" max="25" width="12.140625" hidden="1" customWidth="1"/>
    <col min="26" max="26" width="10.42578125" hidden="1" customWidth="1"/>
    <col min="27" max="27" width="12.5703125" hidden="1" customWidth="1"/>
    <col min="28" max="28" width="10.5703125" hidden="1" customWidth="1"/>
    <col min="29" max="29" width="14" hidden="1" customWidth="1"/>
    <col min="30" max="30" width="12.42578125" hidden="1" customWidth="1"/>
    <col min="31" max="31" width="1.7109375" hidden="1" customWidth="1"/>
    <col min="32" max="32" width="11" hidden="1" customWidth="1"/>
    <col min="33" max="33" width="10.85546875" hidden="1" customWidth="1"/>
  </cols>
  <sheetData>
    <row r="1" spans="1:33" ht="15.75">
      <c r="A1" s="102" t="s">
        <v>44</v>
      </c>
      <c r="B1" s="28"/>
      <c r="C1" s="20"/>
      <c r="D1" s="20"/>
      <c r="E1" s="20"/>
      <c r="F1" s="20"/>
      <c r="G1" s="20"/>
      <c r="H1" s="20"/>
      <c r="I1" s="20"/>
      <c r="J1" s="20"/>
      <c r="K1" s="20"/>
      <c r="L1" s="20"/>
      <c r="M1" s="20"/>
      <c r="N1" s="22"/>
      <c r="O1" s="20"/>
      <c r="P1" s="20"/>
    </row>
    <row r="2" spans="1:33" ht="15.75">
      <c r="A2" s="3"/>
      <c r="B2" s="2" t="s">
        <v>43</v>
      </c>
      <c r="C2" s="20"/>
      <c r="D2" s="20"/>
      <c r="E2" s="20"/>
      <c r="F2" s="20"/>
      <c r="G2" s="20"/>
      <c r="H2" s="20"/>
      <c r="I2" s="20"/>
      <c r="J2" s="20"/>
      <c r="K2" s="20"/>
      <c r="L2" s="20"/>
      <c r="M2" s="20"/>
      <c r="N2" s="22"/>
      <c r="O2" s="20"/>
      <c r="P2" s="20"/>
    </row>
    <row r="3" spans="1:33" ht="16.5" thickBot="1">
      <c r="A3" s="20"/>
      <c r="B3" s="19"/>
      <c r="C3" s="20"/>
      <c r="D3" s="20"/>
      <c r="E3" s="20"/>
      <c r="F3" s="20"/>
      <c r="G3" s="20"/>
      <c r="H3" s="20"/>
      <c r="I3" s="20"/>
      <c r="J3" s="20"/>
      <c r="K3" s="20"/>
      <c r="L3" s="20"/>
      <c r="M3" s="20"/>
      <c r="N3" s="22"/>
      <c r="O3" s="20"/>
      <c r="P3" s="23" t="s">
        <v>2</v>
      </c>
    </row>
    <row r="4" spans="1:33">
      <c r="A4" s="1357" t="s">
        <v>1</v>
      </c>
      <c r="B4" s="1354" t="s">
        <v>46</v>
      </c>
      <c r="C4" s="1394" t="s">
        <v>18</v>
      </c>
      <c r="D4" s="1361"/>
      <c r="E4" s="1361" t="s">
        <v>19</v>
      </c>
      <c r="F4" s="1361"/>
      <c r="G4" s="1364" t="s">
        <v>20</v>
      </c>
      <c r="H4" s="1365"/>
      <c r="I4" s="1349" t="s">
        <v>47</v>
      </c>
      <c r="J4" s="1349" t="s">
        <v>48</v>
      </c>
      <c r="K4" s="1351" t="s">
        <v>49</v>
      </c>
      <c r="L4" s="1362" t="s">
        <v>117</v>
      </c>
      <c r="M4" s="1370" t="s">
        <v>118</v>
      </c>
      <c r="N4" s="9"/>
      <c r="O4" s="1366" t="s">
        <v>65</v>
      </c>
      <c r="P4" s="1368" t="s">
        <v>21</v>
      </c>
      <c r="R4" s="1357" t="s">
        <v>1</v>
      </c>
      <c r="S4" s="1354" t="s">
        <v>46</v>
      </c>
      <c r="T4" s="1360" t="s">
        <v>18</v>
      </c>
      <c r="U4" s="1361"/>
      <c r="V4" s="1361" t="s">
        <v>19</v>
      </c>
      <c r="W4" s="1361"/>
      <c r="X4" s="1364" t="s">
        <v>20</v>
      </c>
      <c r="Y4" s="1365"/>
      <c r="Z4" s="1349" t="s">
        <v>47</v>
      </c>
      <c r="AA4" s="1349" t="s">
        <v>48</v>
      </c>
      <c r="AB4" s="1351" t="s">
        <v>49</v>
      </c>
      <c r="AC4" s="1362" t="s">
        <v>62</v>
      </c>
      <c r="AD4" s="1370" t="s">
        <v>69</v>
      </c>
      <c r="AE4" s="1037"/>
      <c r="AF4" s="1366" t="s">
        <v>65</v>
      </c>
      <c r="AG4" s="1368" t="s">
        <v>21</v>
      </c>
    </row>
    <row r="5" spans="1:33">
      <c r="A5" s="1358"/>
      <c r="B5" s="1355"/>
      <c r="C5" s="10" t="s">
        <v>26</v>
      </c>
      <c r="D5" s="11" t="s">
        <v>50</v>
      </c>
      <c r="E5" s="10" t="s">
        <v>12</v>
      </c>
      <c r="F5" s="11" t="s">
        <v>16</v>
      </c>
      <c r="G5" s="11" t="s">
        <v>12</v>
      </c>
      <c r="H5" s="33" t="s">
        <v>16</v>
      </c>
      <c r="I5" s="1350"/>
      <c r="J5" s="1350"/>
      <c r="K5" s="1352"/>
      <c r="L5" s="1363"/>
      <c r="M5" s="1371"/>
      <c r="N5" s="9"/>
      <c r="O5" s="1367"/>
      <c r="P5" s="1369"/>
      <c r="R5" s="1358"/>
      <c r="S5" s="1355"/>
      <c r="T5" s="1077" t="s">
        <v>26</v>
      </c>
      <c r="U5" s="11" t="s">
        <v>50</v>
      </c>
      <c r="V5" s="10" t="s">
        <v>12</v>
      </c>
      <c r="W5" s="11" t="s">
        <v>16</v>
      </c>
      <c r="X5" s="11" t="s">
        <v>12</v>
      </c>
      <c r="Y5" s="33" t="s">
        <v>16</v>
      </c>
      <c r="Z5" s="1350"/>
      <c r="AA5" s="1350"/>
      <c r="AB5" s="1352"/>
      <c r="AC5" s="1363"/>
      <c r="AD5" s="1371"/>
      <c r="AE5" s="1037"/>
      <c r="AF5" s="1367"/>
      <c r="AG5" s="1369"/>
    </row>
    <row r="6" spans="1:33" ht="15.75" thickBot="1">
      <c r="A6" s="1359"/>
      <c r="B6" s="1356"/>
      <c r="C6" s="12" t="s">
        <v>4</v>
      </c>
      <c r="D6" s="13" t="s">
        <v>5</v>
      </c>
      <c r="E6" s="13" t="s">
        <v>6</v>
      </c>
      <c r="F6" s="13" t="s">
        <v>7</v>
      </c>
      <c r="G6" s="13" t="s">
        <v>13</v>
      </c>
      <c r="H6" s="34" t="s">
        <v>14</v>
      </c>
      <c r="I6" s="45" t="s">
        <v>28</v>
      </c>
      <c r="J6" s="45" t="s">
        <v>31</v>
      </c>
      <c r="K6" s="32" t="s">
        <v>9</v>
      </c>
      <c r="L6" s="14" t="s">
        <v>22</v>
      </c>
      <c r="M6" s="14" t="s">
        <v>63</v>
      </c>
      <c r="N6" s="9"/>
      <c r="O6" s="44" t="s">
        <v>10</v>
      </c>
      <c r="P6" s="14" t="s">
        <v>64</v>
      </c>
      <c r="R6" s="1359"/>
      <c r="S6" s="1356"/>
      <c r="T6" s="1078" t="s">
        <v>4</v>
      </c>
      <c r="U6" s="13" t="s">
        <v>5</v>
      </c>
      <c r="V6" s="13" t="s">
        <v>6</v>
      </c>
      <c r="W6" s="13" t="s">
        <v>7</v>
      </c>
      <c r="X6" s="13" t="s">
        <v>13</v>
      </c>
      <c r="Y6" s="34" t="s">
        <v>14</v>
      </c>
      <c r="Z6" s="45" t="s">
        <v>28</v>
      </c>
      <c r="AA6" s="45" t="s">
        <v>31</v>
      </c>
      <c r="AB6" s="32" t="s">
        <v>9</v>
      </c>
      <c r="AC6" s="14" t="s">
        <v>22</v>
      </c>
      <c r="AD6" s="14" t="s">
        <v>63</v>
      </c>
      <c r="AE6" s="1037"/>
      <c r="AF6" s="44" t="s">
        <v>10</v>
      </c>
      <c r="AG6" s="14" t="s">
        <v>64</v>
      </c>
    </row>
    <row r="7" spans="1:33">
      <c r="A7" s="24">
        <v>1</v>
      </c>
      <c r="B7" s="38" t="s">
        <v>15</v>
      </c>
      <c r="C7" s="1180">
        <f t="shared" ref="C7:L7" si="0">+C8+C12</f>
        <v>6462.8560000000007</v>
      </c>
      <c r="D7" s="1180">
        <f t="shared" si="0"/>
        <v>6462.8560000000007</v>
      </c>
      <c r="E7" s="1180">
        <f t="shared" si="0"/>
        <v>0</v>
      </c>
      <c r="F7" s="1180">
        <f t="shared" si="0"/>
        <v>0</v>
      </c>
      <c r="G7" s="1180">
        <f t="shared" si="0"/>
        <v>6462.8560000000007</v>
      </c>
      <c r="H7" s="1181">
        <f t="shared" si="0"/>
        <v>6462.8560000000007</v>
      </c>
      <c r="I7" s="1182"/>
      <c r="J7" s="1182">
        <f t="shared" si="0"/>
        <v>0</v>
      </c>
      <c r="K7" s="1183">
        <f t="shared" si="0"/>
        <v>0</v>
      </c>
      <c r="L7" s="1184">
        <f t="shared" si="0"/>
        <v>0</v>
      </c>
      <c r="M7" s="1184">
        <f>+M8+M12</f>
        <v>0</v>
      </c>
      <c r="N7" s="76"/>
      <c r="O7" s="1185">
        <f>+O8+O12</f>
        <v>0</v>
      </c>
      <c r="P7" s="1180">
        <f>+P8+P12</f>
        <v>6462.8560000000007</v>
      </c>
      <c r="R7" s="24">
        <v>1</v>
      </c>
      <c r="S7" s="38" t="s">
        <v>15</v>
      </c>
      <c r="T7" s="54">
        <v>6462.8560000000007</v>
      </c>
      <c r="U7" s="55">
        <v>6462.8560000000007</v>
      </c>
      <c r="V7" s="55">
        <v>0</v>
      </c>
      <c r="W7" s="55">
        <v>0</v>
      </c>
      <c r="X7" s="55">
        <v>6462.8560000000007</v>
      </c>
      <c r="Y7" s="56">
        <v>6462.8560000000007</v>
      </c>
      <c r="Z7" s="75"/>
      <c r="AA7" s="75">
        <v>0</v>
      </c>
      <c r="AB7" s="57">
        <v>0</v>
      </c>
      <c r="AC7" s="58">
        <v>0</v>
      </c>
      <c r="AD7" s="58">
        <v>0</v>
      </c>
      <c r="AE7" s="1036"/>
      <c r="AF7" s="54">
        <v>0</v>
      </c>
      <c r="AG7" s="58">
        <v>6462.8560000000007</v>
      </c>
    </row>
    <row r="8" spans="1:33">
      <c r="A8" s="48">
        <f>A7+1</f>
        <v>2</v>
      </c>
      <c r="B8" s="35" t="s">
        <v>35</v>
      </c>
      <c r="C8" s="1186">
        <f t="shared" ref="C8:L8" si="1">SUM(C9:C11)</f>
        <v>4831.3370000000004</v>
      </c>
      <c r="D8" s="1186">
        <f t="shared" si="1"/>
        <v>4831.3370000000004</v>
      </c>
      <c r="E8" s="1186">
        <f t="shared" si="1"/>
        <v>0</v>
      </c>
      <c r="F8" s="1186">
        <f t="shared" si="1"/>
        <v>0</v>
      </c>
      <c r="G8" s="1186">
        <f t="shared" si="1"/>
        <v>4831.3370000000004</v>
      </c>
      <c r="H8" s="1187">
        <f t="shared" si="1"/>
        <v>4831.3370000000004</v>
      </c>
      <c r="I8" s="1188"/>
      <c r="J8" s="1189">
        <f t="shared" si="1"/>
        <v>0</v>
      </c>
      <c r="K8" s="1190">
        <f t="shared" si="1"/>
        <v>0</v>
      </c>
      <c r="L8" s="1191">
        <f t="shared" si="1"/>
        <v>0</v>
      </c>
      <c r="M8" s="1191">
        <f>SUM(M9:M11)</f>
        <v>0</v>
      </c>
      <c r="N8" s="76"/>
      <c r="O8" s="1192">
        <f>SUM(O9:O11)</f>
        <v>0</v>
      </c>
      <c r="P8" s="1191">
        <f>SUM(P9:P11)</f>
        <v>4831.3370000000004</v>
      </c>
      <c r="R8" s="48">
        <f>R7+1</f>
        <v>2</v>
      </c>
      <c r="S8" s="35" t="s">
        <v>35</v>
      </c>
      <c r="T8" s="59">
        <v>4831.3370000000004</v>
      </c>
      <c r="U8" s="60">
        <v>4831.3370000000004</v>
      </c>
      <c r="V8" s="60">
        <v>0</v>
      </c>
      <c r="W8" s="60">
        <v>0</v>
      </c>
      <c r="X8" s="60">
        <v>4831.3370000000004</v>
      </c>
      <c r="Y8" s="61">
        <v>4831.3370000000004</v>
      </c>
      <c r="Z8" s="77"/>
      <c r="AA8" s="78">
        <v>0</v>
      </c>
      <c r="AB8" s="62">
        <v>0</v>
      </c>
      <c r="AC8" s="63">
        <v>0</v>
      </c>
      <c r="AD8" s="63">
        <v>0</v>
      </c>
      <c r="AE8" s="1036"/>
      <c r="AF8" s="59">
        <v>0</v>
      </c>
      <c r="AG8" s="63">
        <v>4831.3370000000004</v>
      </c>
    </row>
    <row r="9" spans="1:33">
      <c r="A9" s="25">
        <f t="shared" ref="A9:A34" si="2">A8+1</f>
        <v>3</v>
      </c>
      <c r="B9" s="36" t="s">
        <v>58</v>
      </c>
      <c r="C9" s="1193">
        <v>4831.3370000000004</v>
      </c>
      <c r="D9" s="1193">
        <v>4831.3370000000004</v>
      </c>
      <c r="E9" s="1193"/>
      <c r="F9" s="1193"/>
      <c r="G9" s="1193">
        <f t="shared" ref="G9:H21" si="3">+C9+E9</f>
        <v>4831.3370000000004</v>
      </c>
      <c r="H9" s="1194">
        <f t="shared" si="3"/>
        <v>4831.3370000000004</v>
      </c>
      <c r="I9" s="1195"/>
      <c r="J9" s="1196"/>
      <c r="K9" s="1197"/>
      <c r="L9" s="1198">
        <f t="shared" ref="L9:L20" si="4">+G9-H9</f>
        <v>0</v>
      </c>
      <c r="M9" s="1198"/>
      <c r="N9" s="76"/>
      <c r="O9" s="1199"/>
      <c r="P9" s="1198">
        <f t="shared" ref="P9:P33" si="5">H9+O9</f>
        <v>4831.3370000000004</v>
      </c>
      <c r="R9" s="25">
        <f t="shared" ref="R9:R34" si="6">R8+1</f>
        <v>3</v>
      </c>
      <c r="S9" s="36" t="s">
        <v>58</v>
      </c>
      <c r="T9" s="64">
        <v>4831.3370000000004</v>
      </c>
      <c r="U9" s="65">
        <v>4831.3370000000004</v>
      </c>
      <c r="V9" s="65"/>
      <c r="W9" s="65"/>
      <c r="X9" s="65">
        <v>4831.3370000000004</v>
      </c>
      <c r="Y9" s="66">
        <v>4831.3370000000004</v>
      </c>
      <c r="Z9" s="80"/>
      <c r="AA9" s="80"/>
      <c r="AB9" s="67"/>
      <c r="AC9" s="68">
        <v>0</v>
      </c>
      <c r="AD9" s="68"/>
      <c r="AE9" s="1036"/>
      <c r="AF9" s="64"/>
      <c r="AG9" s="68">
        <v>4831.3370000000004</v>
      </c>
    </row>
    <row r="10" spans="1:33">
      <c r="A10" s="25">
        <f t="shared" si="2"/>
        <v>4</v>
      </c>
      <c r="B10" s="36" t="s">
        <v>36</v>
      </c>
      <c r="C10" s="1193"/>
      <c r="D10" s="1193"/>
      <c r="E10" s="1193"/>
      <c r="F10" s="1193"/>
      <c r="G10" s="1193">
        <f t="shared" si="3"/>
        <v>0</v>
      </c>
      <c r="H10" s="1194">
        <f t="shared" si="3"/>
        <v>0</v>
      </c>
      <c r="I10" s="1195"/>
      <c r="J10" s="1196"/>
      <c r="K10" s="1197"/>
      <c r="L10" s="1198">
        <f t="shared" si="4"/>
        <v>0</v>
      </c>
      <c r="M10" s="1198"/>
      <c r="N10" s="76"/>
      <c r="O10" s="1199"/>
      <c r="P10" s="1198">
        <f t="shared" si="5"/>
        <v>0</v>
      </c>
      <c r="R10" s="25">
        <f t="shared" si="6"/>
        <v>4</v>
      </c>
      <c r="S10" s="36" t="s">
        <v>36</v>
      </c>
      <c r="T10" s="64"/>
      <c r="U10" s="65"/>
      <c r="V10" s="65"/>
      <c r="W10" s="65"/>
      <c r="X10" s="65">
        <v>0</v>
      </c>
      <c r="Y10" s="249">
        <v>0</v>
      </c>
      <c r="Z10" s="80"/>
      <c r="AA10" s="80"/>
      <c r="AB10" s="67"/>
      <c r="AC10" s="68">
        <v>0</v>
      </c>
      <c r="AD10" s="68"/>
      <c r="AE10" s="1036"/>
      <c r="AF10" s="64"/>
      <c r="AG10" s="68">
        <v>0</v>
      </c>
    </row>
    <row r="11" spans="1:33">
      <c r="A11" s="25">
        <f t="shared" si="2"/>
        <v>5</v>
      </c>
      <c r="B11" s="37" t="s">
        <v>30</v>
      </c>
      <c r="C11" s="1193"/>
      <c r="D11" s="1193"/>
      <c r="E11" s="1193"/>
      <c r="F11" s="1193"/>
      <c r="G11" s="1193">
        <f t="shared" si="3"/>
        <v>0</v>
      </c>
      <c r="H11" s="1194">
        <f t="shared" si="3"/>
        <v>0</v>
      </c>
      <c r="I11" s="1195"/>
      <c r="J11" s="1196"/>
      <c r="K11" s="1197"/>
      <c r="L11" s="1198">
        <f t="shared" si="4"/>
        <v>0</v>
      </c>
      <c r="M11" s="1198"/>
      <c r="N11" s="76"/>
      <c r="O11" s="1199"/>
      <c r="P11" s="1198">
        <f t="shared" si="5"/>
        <v>0</v>
      </c>
      <c r="R11" s="25">
        <f t="shared" si="6"/>
        <v>5</v>
      </c>
      <c r="S11" s="37" t="s">
        <v>30</v>
      </c>
      <c r="T11" s="64"/>
      <c r="U11" s="65"/>
      <c r="V11" s="65"/>
      <c r="W11" s="65"/>
      <c r="X11" s="65">
        <v>0</v>
      </c>
      <c r="Y11" s="66">
        <v>0</v>
      </c>
      <c r="Z11" s="79"/>
      <c r="AA11" s="80"/>
      <c r="AB11" s="67"/>
      <c r="AC11" s="68">
        <v>0</v>
      </c>
      <c r="AD11" s="68"/>
      <c r="AE11" s="1036"/>
      <c r="AF11" s="64"/>
      <c r="AG11" s="68">
        <v>0</v>
      </c>
    </row>
    <row r="12" spans="1:33">
      <c r="A12" s="48">
        <f t="shared" si="2"/>
        <v>6</v>
      </c>
      <c r="B12" s="35" t="s">
        <v>42</v>
      </c>
      <c r="C12" s="1186">
        <f>+C13+C16+C18+C19</f>
        <v>1631.519</v>
      </c>
      <c r="D12" s="1186">
        <f>+D13+D16+D18+D19</f>
        <v>1631.519</v>
      </c>
      <c r="E12" s="1186">
        <f>+E13+E16+E18+E19</f>
        <v>0</v>
      </c>
      <c r="F12" s="1186">
        <f>+F13+F16+F18+F19</f>
        <v>0</v>
      </c>
      <c r="G12" s="1186">
        <f t="shared" si="3"/>
        <v>1631.519</v>
      </c>
      <c r="H12" s="1187">
        <f t="shared" si="3"/>
        <v>1631.519</v>
      </c>
      <c r="I12" s="1189"/>
      <c r="J12" s="1189">
        <f>+J13+J16+J18+J19</f>
        <v>0</v>
      </c>
      <c r="K12" s="1190">
        <f>+K13+K16+K18+K19</f>
        <v>0</v>
      </c>
      <c r="L12" s="1191">
        <f t="shared" si="4"/>
        <v>0</v>
      </c>
      <c r="M12" s="1191">
        <f>+M13+M16+M18+M19</f>
        <v>0</v>
      </c>
      <c r="N12" s="76"/>
      <c r="O12" s="1192">
        <f>+O13+O16+O18+O19</f>
        <v>0</v>
      </c>
      <c r="P12" s="1191">
        <f t="shared" si="5"/>
        <v>1631.519</v>
      </c>
      <c r="R12" s="48">
        <f t="shared" si="6"/>
        <v>6</v>
      </c>
      <c r="S12" s="35" t="s">
        <v>42</v>
      </c>
      <c r="T12" s="59">
        <v>1631.519</v>
      </c>
      <c r="U12" s="60">
        <v>1631.519</v>
      </c>
      <c r="V12" s="60">
        <v>0</v>
      </c>
      <c r="W12" s="60">
        <v>0</v>
      </c>
      <c r="X12" s="60">
        <v>1631.519</v>
      </c>
      <c r="Y12" s="61">
        <v>1631.519</v>
      </c>
      <c r="Z12" s="78"/>
      <c r="AA12" s="78">
        <v>0</v>
      </c>
      <c r="AB12" s="62">
        <v>0</v>
      </c>
      <c r="AC12" s="63">
        <v>0</v>
      </c>
      <c r="AD12" s="63">
        <v>0</v>
      </c>
      <c r="AE12" s="1036"/>
      <c r="AF12" s="59">
        <v>0</v>
      </c>
      <c r="AG12" s="63">
        <v>1631.519</v>
      </c>
    </row>
    <row r="13" spans="1:33">
      <c r="A13" s="29">
        <f t="shared" si="2"/>
        <v>7</v>
      </c>
      <c r="B13" s="36" t="s">
        <v>51</v>
      </c>
      <c r="C13" s="1200"/>
      <c r="D13" s="1201"/>
      <c r="E13" s="1201"/>
      <c r="F13" s="1201"/>
      <c r="G13" s="1193">
        <f t="shared" si="3"/>
        <v>0</v>
      </c>
      <c r="H13" s="1194">
        <f t="shared" si="3"/>
        <v>0</v>
      </c>
      <c r="I13" s="1195"/>
      <c r="J13" s="1202"/>
      <c r="K13" s="1200"/>
      <c r="L13" s="1198">
        <f t="shared" si="4"/>
        <v>0</v>
      </c>
      <c r="M13" s="1198"/>
      <c r="N13" s="84"/>
      <c r="O13" s="1203"/>
      <c r="P13" s="1198">
        <f t="shared" si="5"/>
        <v>0</v>
      </c>
      <c r="R13" s="29">
        <f t="shared" si="6"/>
        <v>7</v>
      </c>
      <c r="S13" s="36" t="s">
        <v>51</v>
      </c>
      <c r="T13" s="85"/>
      <c r="U13" s="82"/>
      <c r="V13" s="82"/>
      <c r="W13" s="82"/>
      <c r="X13" s="65">
        <v>0</v>
      </c>
      <c r="Y13" s="66">
        <v>0</v>
      </c>
      <c r="Z13" s="79"/>
      <c r="AA13" s="83"/>
      <c r="AB13" s="81"/>
      <c r="AC13" s="68">
        <v>0</v>
      </c>
      <c r="AD13" s="68"/>
      <c r="AE13" s="706"/>
      <c r="AF13" s="85"/>
      <c r="AG13" s="68">
        <v>0</v>
      </c>
    </row>
    <row r="14" spans="1:33">
      <c r="A14" s="29"/>
      <c r="B14" s="36" t="s">
        <v>61</v>
      </c>
      <c r="C14" s="1200"/>
      <c r="D14" s="1201"/>
      <c r="E14" s="1201"/>
      <c r="F14" s="1201"/>
      <c r="G14" s="1193">
        <f t="shared" si="3"/>
        <v>0</v>
      </c>
      <c r="H14" s="1194">
        <f t="shared" si="3"/>
        <v>0</v>
      </c>
      <c r="I14" s="1195"/>
      <c r="J14" s="1202"/>
      <c r="K14" s="1200"/>
      <c r="L14" s="1198">
        <f t="shared" si="4"/>
        <v>0</v>
      </c>
      <c r="M14" s="1198"/>
      <c r="N14" s="84"/>
      <c r="O14" s="1203"/>
      <c r="P14" s="1198">
        <f t="shared" si="5"/>
        <v>0</v>
      </c>
      <c r="R14" s="29"/>
      <c r="S14" s="36" t="s">
        <v>61</v>
      </c>
      <c r="T14" s="85"/>
      <c r="U14" s="82"/>
      <c r="V14" s="82"/>
      <c r="W14" s="82"/>
      <c r="X14" s="65">
        <v>0</v>
      </c>
      <c r="Y14" s="66">
        <v>0</v>
      </c>
      <c r="Z14" s="79"/>
      <c r="AA14" s="83"/>
      <c r="AB14" s="81"/>
      <c r="AC14" s="68">
        <v>0</v>
      </c>
      <c r="AD14" s="68"/>
      <c r="AE14" s="706"/>
      <c r="AF14" s="85"/>
      <c r="AG14" s="68">
        <v>0</v>
      </c>
    </row>
    <row r="15" spans="1:33">
      <c r="A15" s="25">
        <f>A13+1</f>
        <v>8</v>
      </c>
      <c r="B15" s="37" t="s">
        <v>66</v>
      </c>
      <c r="C15" s="1204"/>
      <c r="D15" s="1205"/>
      <c r="E15" s="1205"/>
      <c r="F15" s="1205"/>
      <c r="G15" s="1193">
        <f t="shared" si="3"/>
        <v>0</v>
      </c>
      <c r="H15" s="1194">
        <f t="shared" si="3"/>
        <v>0</v>
      </c>
      <c r="I15" s="1206"/>
      <c r="J15" s="1206"/>
      <c r="K15" s="1204"/>
      <c r="L15" s="1198">
        <f t="shared" si="4"/>
        <v>0</v>
      </c>
      <c r="M15" s="1198"/>
      <c r="N15" s="76"/>
      <c r="O15" s="1207"/>
      <c r="P15" s="1198">
        <f t="shared" si="5"/>
        <v>0</v>
      </c>
      <c r="R15" s="25">
        <f>R13+1</f>
        <v>8</v>
      </c>
      <c r="S15" s="37" t="s">
        <v>66</v>
      </c>
      <c r="T15" s="89"/>
      <c r="U15" s="87"/>
      <c r="V15" s="87"/>
      <c r="W15" s="87"/>
      <c r="X15" s="65">
        <v>0</v>
      </c>
      <c r="Y15" s="66">
        <v>0</v>
      </c>
      <c r="Z15" s="88"/>
      <c r="AA15" s="88"/>
      <c r="AB15" s="86"/>
      <c r="AC15" s="68">
        <v>0</v>
      </c>
      <c r="AD15" s="68"/>
      <c r="AE15" s="1036"/>
      <c r="AF15" s="89"/>
      <c r="AG15" s="68">
        <v>0</v>
      </c>
    </row>
    <row r="16" spans="1:33">
      <c r="A16" s="29">
        <f t="shared" si="2"/>
        <v>9</v>
      </c>
      <c r="B16" s="36" t="s">
        <v>52</v>
      </c>
      <c r="C16" s="1200"/>
      <c r="D16" s="1201"/>
      <c r="E16" s="1201"/>
      <c r="F16" s="1201"/>
      <c r="G16" s="1193">
        <f t="shared" si="3"/>
        <v>0</v>
      </c>
      <c r="H16" s="1194">
        <f t="shared" si="3"/>
        <v>0</v>
      </c>
      <c r="I16" s="1195"/>
      <c r="J16" s="1202"/>
      <c r="K16" s="1200"/>
      <c r="L16" s="1198">
        <f t="shared" si="4"/>
        <v>0</v>
      </c>
      <c r="M16" s="1198"/>
      <c r="N16" s="84"/>
      <c r="O16" s="1203"/>
      <c r="P16" s="1198">
        <f t="shared" si="5"/>
        <v>0</v>
      </c>
      <c r="R16" s="29">
        <f t="shared" si="6"/>
        <v>9</v>
      </c>
      <c r="S16" s="36" t="s">
        <v>52</v>
      </c>
      <c r="T16" s="85"/>
      <c r="U16" s="82"/>
      <c r="V16" s="82"/>
      <c r="W16" s="82"/>
      <c r="X16" s="65">
        <v>0</v>
      </c>
      <c r="Y16" s="66">
        <v>0</v>
      </c>
      <c r="Z16" s="79"/>
      <c r="AA16" s="83"/>
      <c r="AB16" s="81"/>
      <c r="AC16" s="68">
        <v>0</v>
      </c>
      <c r="AD16" s="68"/>
      <c r="AE16" s="706"/>
      <c r="AF16" s="85"/>
      <c r="AG16" s="68">
        <v>0</v>
      </c>
    </row>
    <row r="17" spans="1:33">
      <c r="A17" s="25">
        <f t="shared" si="2"/>
        <v>10</v>
      </c>
      <c r="B17" s="37" t="s">
        <v>30</v>
      </c>
      <c r="C17" s="1204"/>
      <c r="D17" s="1205"/>
      <c r="E17" s="1205"/>
      <c r="F17" s="1205"/>
      <c r="G17" s="1193">
        <f t="shared" si="3"/>
        <v>0</v>
      </c>
      <c r="H17" s="1194">
        <f t="shared" si="3"/>
        <v>0</v>
      </c>
      <c r="I17" s="1206"/>
      <c r="J17" s="1206"/>
      <c r="K17" s="1204"/>
      <c r="L17" s="1198">
        <f t="shared" si="4"/>
        <v>0</v>
      </c>
      <c r="M17" s="1198"/>
      <c r="N17" s="76"/>
      <c r="O17" s="1207"/>
      <c r="P17" s="1198">
        <f t="shared" si="5"/>
        <v>0</v>
      </c>
      <c r="R17" s="25">
        <f t="shared" si="6"/>
        <v>10</v>
      </c>
      <c r="S17" s="37" t="s">
        <v>30</v>
      </c>
      <c r="T17" s="89"/>
      <c r="U17" s="87"/>
      <c r="V17" s="87"/>
      <c r="W17" s="87"/>
      <c r="X17" s="65">
        <v>0</v>
      </c>
      <c r="Y17" s="66">
        <v>0</v>
      </c>
      <c r="Z17" s="88"/>
      <c r="AA17" s="88"/>
      <c r="AB17" s="86"/>
      <c r="AC17" s="68">
        <v>0</v>
      </c>
      <c r="AD17" s="68"/>
      <c r="AE17" s="1036"/>
      <c r="AF17" s="89"/>
      <c r="AG17" s="68">
        <v>0</v>
      </c>
    </row>
    <row r="18" spans="1:33">
      <c r="A18" s="29">
        <f t="shared" si="2"/>
        <v>11</v>
      </c>
      <c r="B18" s="36" t="s">
        <v>37</v>
      </c>
      <c r="C18" s="1204">
        <v>1631.519</v>
      </c>
      <c r="D18" s="1205">
        <v>1631.519</v>
      </c>
      <c r="E18" s="1205"/>
      <c r="F18" s="1205"/>
      <c r="G18" s="1193">
        <f t="shared" si="3"/>
        <v>1631.519</v>
      </c>
      <c r="H18" s="1194">
        <f t="shared" si="3"/>
        <v>1631.519</v>
      </c>
      <c r="I18" s="1202"/>
      <c r="J18" s="1202"/>
      <c r="K18" s="1200"/>
      <c r="L18" s="1198">
        <f t="shared" si="4"/>
        <v>0</v>
      </c>
      <c r="M18" s="1198"/>
      <c r="N18" s="84"/>
      <c r="O18" s="1203"/>
      <c r="P18" s="1198">
        <f t="shared" si="5"/>
        <v>1631.519</v>
      </c>
      <c r="R18" s="29">
        <f t="shared" si="6"/>
        <v>11</v>
      </c>
      <c r="S18" s="36" t="s">
        <v>37</v>
      </c>
      <c r="T18" s="85">
        <v>1631.519</v>
      </c>
      <c r="U18" s="82">
        <v>1631.519</v>
      </c>
      <c r="V18" s="82"/>
      <c r="W18" s="82"/>
      <c r="X18" s="65">
        <v>1631.519</v>
      </c>
      <c r="Y18" s="66">
        <v>1631.519</v>
      </c>
      <c r="Z18" s="83"/>
      <c r="AA18" s="83"/>
      <c r="AB18" s="81"/>
      <c r="AC18" s="68">
        <v>0</v>
      </c>
      <c r="AD18" s="68"/>
      <c r="AE18" s="706"/>
      <c r="AF18" s="85"/>
      <c r="AG18" s="68">
        <v>1631.519</v>
      </c>
    </row>
    <row r="19" spans="1:33">
      <c r="A19" s="29">
        <f t="shared" si="2"/>
        <v>12</v>
      </c>
      <c r="B19" s="50" t="s">
        <v>38</v>
      </c>
      <c r="C19" s="1200"/>
      <c r="D19" s="1201"/>
      <c r="E19" s="1201"/>
      <c r="F19" s="1201"/>
      <c r="G19" s="1193">
        <f t="shared" si="3"/>
        <v>0</v>
      </c>
      <c r="H19" s="1194">
        <f t="shared" si="3"/>
        <v>0</v>
      </c>
      <c r="I19" s="1202"/>
      <c r="J19" s="1202"/>
      <c r="K19" s="1200"/>
      <c r="L19" s="1198">
        <f t="shared" si="4"/>
        <v>0</v>
      </c>
      <c r="M19" s="1198"/>
      <c r="N19" s="84"/>
      <c r="O19" s="1203"/>
      <c r="P19" s="1198">
        <f t="shared" si="5"/>
        <v>0</v>
      </c>
      <c r="R19" s="29">
        <f t="shared" si="6"/>
        <v>12</v>
      </c>
      <c r="S19" s="50" t="s">
        <v>38</v>
      </c>
      <c r="T19" s="85"/>
      <c r="U19" s="82"/>
      <c r="V19" s="82"/>
      <c r="W19" s="82"/>
      <c r="X19" s="65">
        <v>0</v>
      </c>
      <c r="Y19" s="66">
        <v>0</v>
      </c>
      <c r="Z19" s="83"/>
      <c r="AA19" s="83"/>
      <c r="AB19" s="81"/>
      <c r="AC19" s="68">
        <v>0</v>
      </c>
      <c r="AD19" s="68"/>
      <c r="AE19" s="706"/>
      <c r="AF19" s="85"/>
      <c r="AG19" s="68">
        <v>0</v>
      </c>
    </row>
    <row r="20" spans="1:33">
      <c r="A20" s="25">
        <f t="shared" si="2"/>
        <v>13</v>
      </c>
      <c r="B20" s="37" t="s">
        <v>30</v>
      </c>
      <c r="C20" s="1204"/>
      <c r="D20" s="1205"/>
      <c r="E20" s="1205"/>
      <c r="F20" s="1205"/>
      <c r="G20" s="1193">
        <f t="shared" si="3"/>
        <v>0</v>
      </c>
      <c r="H20" s="1194">
        <f t="shared" si="3"/>
        <v>0</v>
      </c>
      <c r="I20" s="1206"/>
      <c r="J20" s="1206"/>
      <c r="K20" s="1204"/>
      <c r="L20" s="1198">
        <f t="shared" si="4"/>
        <v>0</v>
      </c>
      <c r="M20" s="1198"/>
      <c r="N20" s="76"/>
      <c r="O20" s="1207"/>
      <c r="P20" s="1198">
        <f t="shared" si="5"/>
        <v>0</v>
      </c>
      <c r="R20" s="25">
        <f t="shared" si="6"/>
        <v>13</v>
      </c>
      <c r="S20" s="37" t="s">
        <v>30</v>
      </c>
      <c r="T20" s="89"/>
      <c r="U20" s="87"/>
      <c r="V20" s="87"/>
      <c r="W20" s="87"/>
      <c r="X20" s="65">
        <v>0</v>
      </c>
      <c r="Y20" s="66">
        <v>0</v>
      </c>
      <c r="Z20" s="88"/>
      <c r="AA20" s="88"/>
      <c r="AB20" s="86"/>
      <c r="AC20" s="68">
        <v>0</v>
      </c>
      <c r="AD20" s="68"/>
      <c r="AE20" s="1036"/>
      <c r="AF20" s="89"/>
      <c r="AG20" s="68">
        <v>0</v>
      </c>
    </row>
    <row r="21" spans="1:33">
      <c r="A21" s="24">
        <f t="shared" si="2"/>
        <v>14</v>
      </c>
      <c r="B21" s="38" t="s">
        <v>29</v>
      </c>
      <c r="C21" s="1208">
        <f>+C22+C24+C26</f>
        <v>465</v>
      </c>
      <c r="D21" s="1209">
        <f>+D22+D24+D26</f>
        <v>456.88476000000003</v>
      </c>
      <c r="E21" s="1209">
        <f>+E22+E24+E26</f>
        <v>0</v>
      </c>
      <c r="F21" s="1209">
        <f>+F22+F24+F26</f>
        <v>0</v>
      </c>
      <c r="G21" s="1209">
        <f t="shared" si="3"/>
        <v>465</v>
      </c>
      <c r="H21" s="1210">
        <f t="shared" si="3"/>
        <v>456.88476000000003</v>
      </c>
      <c r="I21" s="1211"/>
      <c r="J21" s="1211">
        <f>+J22+J24+J26</f>
        <v>0</v>
      </c>
      <c r="K21" s="1212">
        <f>+K22+K24+K26</f>
        <v>0</v>
      </c>
      <c r="L21" s="1213">
        <f>L22+L24+L26</f>
        <v>8.1152399999999716</v>
      </c>
      <c r="M21" s="1213">
        <f>+M22+M24+M26</f>
        <v>0</v>
      </c>
      <c r="N21" s="76"/>
      <c r="O21" s="1208">
        <f>+O22+O24+O26</f>
        <v>0</v>
      </c>
      <c r="P21" s="1213">
        <f>H21+O21</f>
        <v>456.88476000000003</v>
      </c>
      <c r="R21" s="24">
        <f t="shared" si="6"/>
        <v>14</v>
      </c>
      <c r="S21" s="38" t="s">
        <v>29</v>
      </c>
      <c r="T21" s="70">
        <v>465</v>
      </c>
      <c r="U21" s="71">
        <v>456.88476000000003</v>
      </c>
      <c r="V21" s="71">
        <v>0</v>
      </c>
      <c r="W21" s="71">
        <v>0</v>
      </c>
      <c r="X21" s="71">
        <v>465</v>
      </c>
      <c r="Y21" s="72">
        <v>456.88476000000003</v>
      </c>
      <c r="Z21" s="90"/>
      <c r="AA21" s="1252">
        <v>0</v>
      </c>
      <c r="AB21" s="73">
        <v>0</v>
      </c>
      <c r="AC21" s="74">
        <v>8.1152399999999716</v>
      </c>
      <c r="AD21" s="74">
        <v>0</v>
      </c>
      <c r="AE21" s="1036"/>
      <c r="AF21" s="70">
        <v>0</v>
      </c>
      <c r="AG21" s="74">
        <v>456.88476000000003</v>
      </c>
    </row>
    <row r="22" spans="1:33">
      <c r="A22" s="46">
        <f t="shared" si="2"/>
        <v>15</v>
      </c>
      <c r="B22" s="43" t="s">
        <v>53</v>
      </c>
      <c r="C22" s="1186">
        <f>+C23</f>
        <v>0</v>
      </c>
      <c r="D22" s="1186">
        <f t="shared" ref="D22:O22" si="7">+D23</f>
        <v>0</v>
      </c>
      <c r="E22" s="1186">
        <f t="shared" si="7"/>
        <v>0</v>
      </c>
      <c r="F22" s="1186">
        <f t="shared" si="7"/>
        <v>0</v>
      </c>
      <c r="G22" s="1186">
        <f t="shared" si="7"/>
        <v>0</v>
      </c>
      <c r="H22" s="1187">
        <f t="shared" si="7"/>
        <v>0</v>
      </c>
      <c r="I22" s="1189"/>
      <c r="J22" s="1189">
        <f t="shared" si="7"/>
        <v>0</v>
      </c>
      <c r="K22" s="1190">
        <f t="shared" si="7"/>
        <v>0</v>
      </c>
      <c r="L22" s="1191">
        <f t="shared" si="7"/>
        <v>0</v>
      </c>
      <c r="M22" s="1191">
        <f t="shared" si="7"/>
        <v>0</v>
      </c>
      <c r="N22" s="76"/>
      <c r="O22" s="1192">
        <f t="shared" si="7"/>
        <v>0</v>
      </c>
      <c r="P22" s="1191">
        <f t="shared" si="5"/>
        <v>0</v>
      </c>
      <c r="R22" s="46">
        <f t="shared" si="6"/>
        <v>15</v>
      </c>
      <c r="S22" s="43" t="s">
        <v>53</v>
      </c>
      <c r="T22" s="59">
        <v>0</v>
      </c>
      <c r="U22" s="60">
        <v>0</v>
      </c>
      <c r="V22" s="60">
        <v>0</v>
      </c>
      <c r="W22" s="60">
        <v>0</v>
      </c>
      <c r="X22" s="60">
        <v>0</v>
      </c>
      <c r="Y22" s="61">
        <v>0</v>
      </c>
      <c r="Z22" s="78"/>
      <c r="AA22" s="78">
        <v>0</v>
      </c>
      <c r="AB22" s="62">
        <v>0</v>
      </c>
      <c r="AC22" s="63">
        <v>0</v>
      </c>
      <c r="AD22" s="63">
        <v>0</v>
      </c>
      <c r="AE22" s="1036"/>
      <c r="AF22" s="59">
        <v>0</v>
      </c>
      <c r="AG22" s="63">
        <v>0</v>
      </c>
    </row>
    <row r="23" spans="1:33">
      <c r="A23" s="25">
        <f t="shared" si="2"/>
        <v>16</v>
      </c>
      <c r="B23" s="37" t="s">
        <v>60</v>
      </c>
      <c r="C23" s="1204"/>
      <c r="D23" s="1205"/>
      <c r="E23" s="1205"/>
      <c r="F23" s="1205"/>
      <c r="G23" s="1193">
        <f>+C23+E23</f>
        <v>0</v>
      </c>
      <c r="H23" s="1194">
        <f>+D23+F23</f>
        <v>0</v>
      </c>
      <c r="I23" s="1206"/>
      <c r="J23" s="1206"/>
      <c r="K23" s="1204"/>
      <c r="L23" s="1198">
        <f>+G23-H23</f>
        <v>0</v>
      </c>
      <c r="M23" s="1198"/>
      <c r="N23" s="76"/>
      <c r="O23" s="1207"/>
      <c r="P23" s="1198">
        <f t="shared" si="5"/>
        <v>0</v>
      </c>
      <c r="R23" s="25">
        <f t="shared" si="6"/>
        <v>16</v>
      </c>
      <c r="S23" s="37" t="s">
        <v>60</v>
      </c>
      <c r="T23" s="89"/>
      <c r="U23" s="87"/>
      <c r="V23" s="87"/>
      <c r="W23" s="87"/>
      <c r="X23" s="65">
        <v>0</v>
      </c>
      <c r="Y23" s="66">
        <v>0</v>
      </c>
      <c r="Z23" s="88"/>
      <c r="AA23" s="88"/>
      <c r="AB23" s="86"/>
      <c r="AC23" s="68">
        <v>0</v>
      </c>
      <c r="AD23" s="68"/>
      <c r="AE23" s="1036"/>
      <c r="AF23" s="89"/>
      <c r="AG23" s="68">
        <v>0</v>
      </c>
    </row>
    <row r="24" spans="1:33">
      <c r="A24" s="46">
        <f t="shared" si="2"/>
        <v>17</v>
      </c>
      <c r="B24" s="47" t="s">
        <v>59</v>
      </c>
      <c r="C24" s="1186">
        <f>+C25</f>
        <v>465</v>
      </c>
      <c r="D24" s="1186">
        <f t="shared" ref="D24:O24" si="8">+D25</f>
        <v>456.88476000000003</v>
      </c>
      <c r="E24" s="1186">
        <f t="shared" si="8"/>
        <v>0</v>
      </c>
      <c r="F24" s="1186">
        <f t="shared" si="8"/>
        <v>0</v>
      </c>
      <c r="G24" s="1186">
        <f t="shared" si="8"/>
        <v>465</v>
      </c>
      <c r="H24" s="1187">
        <f t="shared" si="8"/>
        <v>456.88476000000003</v>
      </c>
      <c r="I24" s="1189"/>
      <c r="J24" s="1189">
        <f t="shared" si="8"/>
        <v>0</v>
      </c>
      <c r="K24" s="1190">
        <f t="shared" si="8"/>
        <v>0</v>
      </c>
      <c r="L24" s="1191">
        <f t="shared" si="8"/>
        <v>8.1152399999999716</v>
      </c>
      <c r="M24" s="1191">
        <f t="shared" si="8"/>
        <v>0</v>
      </c>
      <c r="N24" s="76"/>
      <c r="O24" s="1192">
        <f t="shared" si="8"/>
        <v>0</v>
      </c>
      <c r="P24" s="1191">
        <f t="shared" si="5"/>
        <v>456.88476000000003</v>
      </c>
      <c r="R24" s="46">
        <f t="shared" si="6"/>
        <v>17</v>
      </c>
      <c r="S24" s="47" t="s">
        <v>59</v>
      </c>
      <c r="T24" s="59">
        <v>465</v>
      </c>
      <c r="U24" s="60">
        <v>456.88476000000003</v>
      </c>
      <c r="V24" s="60">
        <v>0</v>
      </c>
      <c r="W24" s="60">
        <v>0</v>
      </c>
      <c r="X24" s="60">
        <v>465</v>
      </c>
      <c r="Y24" s="61">
        <v>456.88476000000003</v>
      </c>
      <c r="Z24" s="78"/>
      <c r="AA24" s="78">
        <v>0</v>
      </c>
      <c r="AB24" s="62">
        <v>0</v>
      </c>
      <c r="AC24" s="63">
        <v>8.1152399999999716</v>
      </c>
      <c r="AD24" s="63">
        <v>0</v>
      </c>
      <c r="AE24" s="1036"/>
      <c r="AF24" s="59">
        <v>0</v>
      </c>
      <c r="AG24" s="63">
        <v>456.88476000000003</v>
      </c>
    </row>
    <row r="25" spans="1:33">
      <c r="A25" s="25">
        <f t="shared" si="2"/>
        <v>18</v>
      </c>
      <c r="B25" s="36" t="s">
        <v>260</v>
      </c>
      <c r="C25" s="1204">
        <v>465</v>
      </c>
      <c r="D25" s="1205">
        <f>465-8.11524</f>
        <v>456.88476000000003</v>
      </c>
      <c r="E25" s="1205"/>
      <c r="F25" s="1205"/>
      <c r="G25" s="1193">
        <f>+C25+E25</f>
        <v>465</v>
      </c>
      <c r="H25" s="1194">
        <f>+D25+F25</f>
        <v>456.88476000000003</v>
      </c>
      <c r="I25" s="1206"/>
      <c r="J25" s="1206"/>
      <c r="K25" s="1204"/>
      <c r="L25" s="1198">
        <f>+G25-H25</f>
        <v>8.1152399999999716</v>
      </c>
      <c r="M25" s="1198"/>
      <c r="N25" s="76"/>
      <c r="O25" s="1207"/>
      <c r="P25" s="1198">
        <f t="shared" si="5"/>
        <v>456.88476000000003</v>
      </c>
      <c r="R25" s="25">
        <f t="shared" si="6"/>
        <v>18</v>
      </c>
      <c r="S25" s="37" t="s">
        <v>60</v>
      </c>
      <c r="T25" s="89">
        <v>465</v>
      </c>
      <c r="U25" s="87">
        <v>456.88476000000003</v>
      </c>
      <c r="V25" s="87"/>
      <c r="W25" s="87"/>
      <c r="X25" s="65">
        <v>465</v>
      </c>
      <c r="Y25" s="66">
        <v>456.88476000000003</v>
      </c>
      <c r="Z25" s="88"/>
      <c r="AA25" s="88"/>
      <c r="AB25" s="86"/>
      <c r="AC25" s="68">
        <v>8.1152399999999716</v>
      </c>
      <c r="AD25" s="68"/>
      <c r="AE25" s="1036"/>
      <c r="AF25" s="89"/>
      <c r="AG25" s="68">
        <v>456.88476000000003</v>
      </c>
    </row>
    <row r="26" spans="1:33">
      <c r="A26" s="46">
        <f t="shared" si="2"/>
        <v>19</v>
      </c>
      <c r="B26" s="47" t="s">
        <v>54</v>
      </c>
      <c r="C26" s="1186">
        <f>+C27</f>
        <v>0</v>
      </c>
      <c r="D26" s="1186">
        <f t="shared" ref="D26:O26" si="9">+D27</f>
        <v>0</v>
      </c>
      <c r="E26" s="1186">
        <f t="shared" si="9"/>
        <v>0</v>
      </c>
      <c r="F26" s="1186">
        <f t="shared" si="9"/>
        <v>0</v>
      </c>
      <c r="G26" s="1186">
        <f t="shared" si="9"/>
        <v>0</v>
      </c>
      <c r="H26" s="1187">
        <f t="shared" si="9"/>
        <v>0</v>
      </c>
      <c r="I26" s="1189"/>
      <c r="J26" s="1189">
        <f t="shared" si="9"/>
        <v>0</v>
      </c>
      <c r="K26" s="1190">
        <f t="shared" si="9"/>
        <v>0</v>
      </c>
      <c r="L26" s="1191">
        <f t="shared" si="9"/>
        <v>0</v>
      </c>
      <c r="M26" s="1191">
        <f t="shared" si="9"/>
        <v>0</v>
      </c>
      <c r="N26" s="76"/>
      <c r="O26" s="1192">
        <f t="shared" si="9"/>
        <v>0</v>
      </c>
      <c r="P26" s="1191">
        <f t="shared" si="5"/>
        <v>0</v>
      </c>
      <c r="R26" s="46">
        <f t="shared" si="6"/>
        <v>19</v>
      </c>
      <c r="S26" s="47" t="s">
        <v>54</v>
      </c>
      <c r="T26" s="59">
        <v>0</v>
      </c>
      <c r="U26" s="60">
        <v>0</v>
      </c>
      <c r="V26" s="60">
        <v>0</v>
      </c>
      <c r="W26" s="60">
        <v>0</v>
      </c>
      <c r="X26" s="60">
        <v>0</v>
      </c>
      <c r="Y26" s="61">
        <v>0</v>
      </c>
      <c r="Z26" s="78"/>
      <c r="AA26" s="78">
        <v>0</v>
      </c>
      <c r="AB26" s="62">
        <v>0</v>
      </c>
      <c r="AC26" s="63">
        <v>0</v>
      </c>
      <c r="AD26" s="63">
        <v>0</v>
      </c>
      <c r="AE26" s="1036"/>
      <c r="AF26" s="59">
        <v>0</v>
      </c>
      <c r="AG26" s="63">
        <v>0</v>
      </c>
    </row>
    <row r="27" spans="1:33">
      <c r="A27" s="25">
        <f t="shared" si="2"/>
        <v>20</v>
      </c>
      <c r="B27" s="37" t="s">
        <v>60</v>
      </c>
      <c r="C27" s="1214"/>
      <c r="D27" s="1215"/>
      <c r="E27" s="1215"/>
      <c r="F27" s="1215"/>
      <c r="G27" s="1193">
        <f>+C27+E27</f>
        <v>0</v>
      </c>
      <c r="H27" s="1194">
        <f>+D27+F27</f>
        <v>0</v>
      </c>
      <c r="I27" s="1216"/>
      <c r="J27" s="1216"/>
      <c r="K27" s="1214"/>
      <c r="L27" s="1198">
        <f>+G27-H27</f>
        <v>0</v>
      </c>
      <c r="M27" s="1198"/>
      <c r="N27" s="76"/>
      <c r="O27" s="1217"/>
      <c r="P27" s="1198">
        <f t="shared" si="5"/>
        <v>0</v>
      </c>
      <c r="R27" s="25">
        <f t="shared" si="6"/>
        <v>20</v>
      </c>
      <c r="S27" s="37" t="s">
        <v>60</v>
      </c>
      <c r="T27" s="94"/>
      <c r="U27" s="92"/>
      <c r="V27" s="92"/>
      <c r="W27" s="92"/>
      <c r="X27" s="65">
        <v>0</v>
      </c>
      <c r="Y27" s="66">
        <v>0</v>
      </c>
      <c r="Z27" s="93"/>
      <c r="AA27" s="93"/>
      <c r="AB27" s="91"/>
      <c r="AC27" s="68">
        <v>0</v>
      </c>
      <c r="AD27" s="68"/>
      <c r="AE27" s="1036"/>
      <c r="AF27" s="94"/>
      <c r="AG27" s="68">
        <v>0</v>
      </c>
    </row>
    <row r="28" spans="1:33">
      <c r="A28" s="24">
        <f t="shared" si="2"/>
        <v>21</v>
      </c>
      <c r="B28" s="38" t="s">
        <v>27</v>
      </c>
      <c r="C28" s="1208">
        <f>+C29</f>
        <v>0</v>
      </c>
      <c r="D28" s="1209">
        <f t="shared" ref="D28:O29" si="10">+D29</f>
        <v>0</v>
      </c>
      <c r="E28" s="1209">
        <f t="shared" si="10"/>
        <v>0</v>
      </c>
      <c r="F28" s="1209">
        <f t="shared" si="10"/>
        <v>0</v>
      </c>
      <c r="G28" s="1209">
        <f>+C28+E28</f>
        <v>0</v>
      </c>
      <c r="H28" s="1210">
        <f>+D28+F28</f>
        <v>0</v>
      </c>
      <c r="I28" s="1211"/>
      <c r="J28" s="1211">
        <f>+J29</f>
        <v>0</v>
      </c>
      <c r="K28" s="1212">
        <f>+K29</f>
        <v>0</v>
      </c>
      <c r="L28" s="1213">
        <f>+G28-H28</f>
        <v>0</v>
      </c>
      <c r="M28" s="1213">
        <f>+M29</f>
        <v>0</v>
      </c>
      <c r="N28" s="76"/>
      <c r="O28" s="1208">
        <f>+O29</f>
        <v>0</v>
      </c>
      <c r="P28" s="1213">
        <f>H28+O28</f>
        <v>0</v>
      </c>
      <c r="R28" s="24">
        <f t="shared" si="6"/>
        <v>21</v>
      </c>
      <c r="S28" s="38" t="s">
        <v>27</v>
      </c>
      <c r="T28" s="70">
        <v>0</v>
      </c>
      <c r="U28" s="71">
        <v>0</v>
      </c>
      <c r="V28" s="71">
        <v>0</v>
      </c>
      <c r="W28" s="71">
        <v>0</v>
      </c>
      <c r="X28" s="71">
        <v>0</v>
      </c>
      <c r="Y28" s="72">
        <v>0</v>
      </c>
      <c r="Z28" s="90"/>
      <c r="AA28" s="90">
        <v>0</v>
      </c>
      <c r="AB28" s="73">
        <v>0</v>
      </c>
      <c r="AC28" s="74">
        <v>0</v>
      </c>
      <c r="AD28" s="74">
        <v>0</v>
      </c>
      <c r="AE28" s="1036"/>
      <c r="AF28" s="70">
        <v>0</v>
      </c>
      <c r="AG28" s="74">
        <v>0</v>
      </c>
    </row>
    <row r="29" spans="1:33">
      <c r="A29" s="29">
        <f t="shared" si="2"/>
        <v>22</v>
      </c>
      <c r="B29" s="43" t="s">
        <v>34</v>
      </c>
      <c r="C29" s="1186">
        <f>+C30</f>
        <v>0</v>
      </c>
      <c r="D29" s="1186">
        <f t="shared" si="10"/>
        <v>0</v>
      </c>
      <c r="E29" s="1186">
        <f t="shared" si="10"/>
        <v>0</v>
      </c>
      <c r="F29" s="1186">
        <f t="shared" si="10"/>
        <v>0</v>
      </c>
      <c r="G29" s="1186">
        <f t="shared" si="10"/>
        <v>0</v>
      </c>
      <c r="H29" s="1187">
        <f t="shared" si="10"/>
        <v>0</v>
      </c>
      <c r="I29" s="1189"/>
      <c r="J29" s="1189">
        <f t="shared" si="10"/>
        <v>0</v>
      </c>
      <c r="K29" s="1190">
        <f t="shared" si="10"/>
        <v>0</v>
      </c>
      <c r="L29" s="1191">
        <f t="shared" si="10"/>
        <v>0</v>
      </c>
      <c r="M29" s="1191">
        <f t="shared" si="10"/>
        <v>0</v>
      </c>
      <c r="N29" s="76"/>
      <c r="O29" s="1192">
        <f t="shared" si="10"/>
        <v>0</v>
      </c>
      <c r="P29" s="1191">
        <f t="shared" si="5"/>
        <v>0</v>
      </c>
      <c r="R29" s="29">
        <f t="shared" si="6"/>
        <v>22</v>
      </c>
      <c r="S29" s="43" t="s">
        <v>34</v>
      </c>
      <c r="T29" s="59">
        <v>0</v>
      </c>
      <c r="U29" s="60">
        <v>0</v>
      </c>
      <c r="V29" s="60">
        <v>0</v>
      </c>
      <c r="W29" s="60">
        <v>0</v>
      </c>
      <c r="X29" s="60">
        <v>0</v>
      </c>
      <c r="Y29" s="61">
        <v>0</v>
      </c>
      <c r="Z29" s="78"/>
      <c r="AA29" s="78">
        <v>0</v>
      </c>
      <c r="AB29" s="62">
        <v>0</v>
      </c>
      <c r="AC29" s="63">
        <v>0</v>
      </c>
      <c r="AD29" s="63">
        <v>0</v>
      </c>
      <c r="AE29" s="1036"/>
      <c r="AF29" s="59">
        <v>0</v>
      </c>
      <c r="AG29" s="63">
        <v>0</v>
      </c>
    </row>
    <row r="30" spans="1:33">
      <c r="A30" s="25">
        <f t="shared" si="2"/>
        <v>23</v>
      </c>
      <c r="B30" s="37" t="s">
        <v>60</v>
      </c>
      <c r="C30" s="1214"/>
      <c r="D30" s="1215"/>
      <c r="E30" s="1215"/>
      <c r="F30" s="1215"/>
      <c r="G30" s="1193">
        <f>+C30+E30</f>
        <v>0</v>
      </c>
      <c r="H30" s="1194">
        <f>+D30+F30</f>
        <v>0</v>
      </c>
      <c r="I30" s="1216"/>
      <c r="J30" s="1216"/>
      <c r="K30" s="1214"/>
      <c r="L30" s="1198">
        <f>+G30-H30</f>
        <v>0</v>
      </c>
      <c r="M30" s="1198"/>
      <c r="N30" s="76"/>
      <c r="O30" s="1217"/>
      <c r="P30" s="1198">
        <f t="shared" si="5"/>
        <v>0</v>
      </c>
      <c r="R30" s="25">
        <f t="shared" si="6"/>
        <v>23</v>
      </c>
      <c r="S30" s="37" t="s">
        <v>60</v>
      </c>
      <c r="T30" s="94"/>
      <c r="U30" s="92"/>
      <c r="V30" s="92"/>
      <c r="W30" s="92"/>
      <c r="X30" s="65">
        <v>0</v>
      </c>
      <c r="Y30" s="66">
        <v>0</v>
      </c>
      <c r="Z30" s="93"/>
      <c r="AA30" s="93"/>
      <c r="AB30" s="91"/>
      <c r="AC30" s="68">
        <v>0</v>
      </c>
      <c r="AD30" s="68"/>
      <c r="AE30" s="1036"/>
      <c r="AF30" s="94"/>
      <c r="AG30" s="68">
        <v>0</v>
      </c>
    </row>
    <row r="31" spans="1:33">
      <c r="A31" s="24">
        <f t="shared" si="2"/>
        <v>24</v>
      </c>
      <c r="B31" s="38" t="s">
        <v>32</v>
      </c>
      <c r="C31" s="1208">
        <f>+C32</f>
        <v>0</v>
      </c>
      <c r="D31" s="1209">
        <f t="shared" ref="D31:O32" si="11">+D32</f>
        <v>0</v>
      </c>
      <c r="E31" s="1209">
        <f t="shared" si="11"/>
        <v>0</v>
      </c>
      <c r="F31" s="1209">
        <f t="shared" si="11"/>
        <v>0</v>
      </c>
      <c r="G31" s="1209">
        <f>+C31+E31</f>
        <v>0</v>
      </c>
      <c r="H31" s="1210">
        <f>+D31+F31</f>
        <v>0</v>
      </c>
      <c r="I31" s="1211"/>
      <c r="J31" s="1211">
        <f>+J32</f>
        <v>0</v>
      </c>
      <c r="K31" s="1212">
        <f>+K32</f>
        <v>0</v>
      </c>
      <c r="L31" s="1213">
        <f>+G31-H31</f>
        <v>0</v>
      </c>
      <c r="M31" s="1213">
        <f>+M32</f>
        <v>0</v>
      </c>
      <c r="N31" s="76"/>
      <c r="O31" s="1208">
        <f>+O32</f>
        <v>0</v>
      </c>
      <c r="P31" s="1213">
        <f>H31+O31</f>
        <v>0</v>
      </c>
      <c r="R31" s="24">
        <f t="shared" si="6"/>
        <v>24</v>
      </c>
      <c r="S31" s="38" t="s">
        <v>32</v>
      </c>
      <c r="T31" s="70">
        <v>0</v>
      </c>
      <c r="U31" s="71">
        <v>0</v>
      </c>
      <c r="V31" s="71">
        <v>0</v>
      </c>
      <c r="W31" s="71">
        <v>0</v>
      </c>
      <c r="X31" s="71">
        <v>0</v>
      </c>
      <c r="Y31" s="72">
        <v>0</v>
      </c>
      <c r="Z31" s="90"/>
      <c r="AA31" s="90">
        <v>0</v>
      </c>
      <c r="AB31" s="73">
        <v>0</v>
      </c>
      <c r="AC31" s="74">
        <v>0</v>
      </c>
      <c r="AD31" s="74">
        <v>0</v>
      </c>
      <c r="AE31" s="1036"/>
      <c r="AF31" s="70">
        <v>0</v>
      </c>
      <c r="AG31" s="74">
        <v>0</v>
      </c>
    </row>
    <row r="32" spans="1:33">
      <c r="A32" s="46">
        <f t="shared" si="2"/>
        <v>25</v>
      </c>
      <c r="B32" s="47" t="s">
        <v>39</v>
      </c>
      <c r="C32" s="1186">
        <f>+C33</f>
        <v>0</v>
      </c>
      <c r="D32" s="1186">
        <f t="shared" si="11"/>
        <v>0</v>
      </c>
      <c r="E32" s="1186">
        <f t="shared" si="11"/>
        <v>0</v>
      </c>
      <c r="F32" s="1186">
        <f t="shared" si="11"/>
        <v>0</v>
      </c>
      <c r="G32" s="1186">
        <f t="shared" si="11"/>
        <v>0</v>
      </c>
      <c r="H32" s="1187">
        <f t="shared" si="11"/>
        <v>0</v>
      </c>
      <c r="I32" s="1189"/>
      <c r="J32" s="1189">
        <f t="shared" si="11"/>
        <v>0</v>
      </c>
      <c r="K32" s="1190">
        <f t="shared" si="11"/>
        <v>0</v>
      </c>
      <c r="L32" s="1191">
        <f t="shared" si="11"/>
        <v>0</v>
      </c>
      <c r="M32" s="1191">
        <f t="shared" si="11"/>
        <v>0</v>
      </c>
      <c r="N32" s="76"/>
      <c r="O32" s="1192">
        <f t="shared" si="11"/>
        <v>0</v>
      </c>
      <c r="P32" s="1191">
        <f t="shared" si="5"/>
        <v>0</v>
      </c>
      <c r="R32" s="46">
        <f t="shared" si="6"/>
        <v>25</v>
      </c>
      <c r="S32" s="47" t="s">
        <v>39</v>
      </c>
      <c r="T32" s="59">
        <v>0</v>
      </c>
      <c r="U32" s="60">
        <v>0</v>
      </c>
      <c r="V32" s="60">
        <v>0</v>
      </c>
      <c r="W32" s="60">
        <v>0</v>
      </c>
      <c r="X32" s="60">
        <v>0</v>
      </c>
      <c r="Y32" s="61">
        <v>0</v>
      </c>
      <c r="Z32" s="78"/>
      <c r="AA32" s="78">
        <v>0</v>
      </c>
      <c r="AB32" s="62">
        <v>0</v>
      </c>
      <c r="AC32" s="63">
        <v>0</v>
      </c>
      <c r="AD32" s="63">
        <v>0</v>
      </c>
      <c r="AE32" s="1036"/>
      <c r="AF32" s="59">
        <v>0</v>
      </c>
      <c r="AG32" s="63">
        <v>0</v>
      </c>
    </row>
    <row r="33" spans="1:33" ht="15.75" thickBot="1">
      <c r="A33" s="25">
        <f t="shared" si="2"/>
        <v>26</v>
      </c>
      <c r="B33" s="37" t="s">
        <v>60</v>
      </c>
      <c r="C33" s="1204"/>
      <c r="D33" s="1205"/>
      <c r="E33" s="1205"/>
      <c r="F33" s="1205"/>
      <c r="G33" s="1193">
        <f>+C33+E33</f>
        <v>0</v>
      </c>
      <c r="H33" s="1194">
        <f>+D33+F33</f>
        <v>0</v>
      </c>
      <c r="I33" s="1206"/>
      <c r="J33" s="1206"/>
      <c r="K33" s="1204"/>
      <c r="L33" s="1198">
        <f>+G33-H33</f>
        <v>0</v>
      </c>
      <c r="M33" s="1198"/>
      <c r="N33" s="76"/>
      <c r="O33" s="1207"/>
      <c r="P33" s="1198">
        <f t="shared" si="5"/>
        <v>0</v>
      </c>
      <c r="R33" s="25">
        <f t="shared" si="6"/>
        <v>26</v>
      </c>
      <c r="S33" s="37" t="s">
        <v>60</v>
      </c>
      <c r="T33" s="89"/>
      <c r="U33" s="87"/>
      <c r="V33" s="87"/>
      <c r="W33" s="87"/>
      <c r="X33" s="65">
        <v>0</v>
      </c>
      <c r="Y33" s="66">
        <v>0</v>
      </c>
      <c r="Z33" s="88"/>
      <c r="AA33" s="88"/>
      <c r="AB33" s="86"/>
      <c r="AC33" s="68">
        <v>0</v>
      </c>
      <c r="AD33" s="68"/>
      <c r="AE33" s="1036"/>
      <c r="AF33" s="89"/>
      <c r="AG33" s="68">
        <v>0</v>
      </c>
    </row>
    <row r="34" spans="1:33" ht="15.75" thickBot="1">
      <c r="A34" s="31">
        <f t="shared" si="2"/>
        <v>27</v>
      </c>
      <c r="B34" s="39" t="s">
        <v>23</v>
      </c>
      <c r="C34" s="1218">
        <f t="shared" ref="C34:H34" si="12">+C7+C21+C28+C31</f>
        <v>6927.8560000000007</v>
      </c>
      <c r="D34" s="1219">
        <f t="shared" si="12"/>
        <v>6919.7407600000006</v>
      </c>
      <c r="E34" s="1219">
        <f t="shared" si="12"/>
        <v>0</v>
      </c>
      <c r="F34" s="1219">
        <f t="shared" si="12"/>
        <v>0</v>
      </c>
      <c r="G34" s="1219">
        <f t="shared" si="12"/>
        <v>6927.8560000000007</v>
      </c>
      <c r="H34" s="1220">
        <f t="shared" si="12"/>
        <v>6919.7407600000006</v>
      </c>
      <c r="I34" s="1221"/>
      <c r="J34" s="1221">
        <f>+J7+J21+J28+J31</f>
        <v>0</v>
      </c>
      <c r="K34" s="1222">
        <f>+K7+K21+K28+K31</f>
        <v>0</v>
      </c>
      <c r="L34" s="1223">
        <f>+L7+L21+L28+L31</f>
        <v>8.1152399999999716</v>
      </c>
      <c r="M34" s="1223">
        <f>+M7+M21+M28+M31</f>
        <v>0</v>
      </c>
      <c r="N34" s="101"/>
      <c r="O34" s="1218">
        <f>+O7+O21+O28+O31</f>
        <v>0</v>
      </c>
      <c r="P34" s="1223">
        <f>+P7+P21+P28+P31</f>
        <v>6919.7407600000006</v>
      </c>
      <c r="R34" s="31">
        <f t="shared" si="6"/>
        <v>27</v>
      </c>
      <c r="S34" s="39" t="s">
        <v>23</v>
      </c>
      <c r="T34" s="95">
        <v>6927.8560000000007</v>
      </c>
      <c r="U34" s="96">
        <v>6919.7407600000006</v>
      </c>
      <c r="V34" s="96">
        <v>0</v>
      </c>
      <c r="W34" s="96">
        <v>0</v>
      </c>
      <c r="X34" s="96">
        <v>6927.8560000000007</v>
      </c>
      <c r="Y34" s="97">
        <v>6919.7407600000006</v>
      </c>
      <c r="Z34" s="98"/>
      <c r="AA34" s="98">
        <v>0</v>
      </c>
      <c r="AB34" s="99">
        <v>0</v>
      </c>
      <c r="AC34" s="100">
        <v>8.1152399999999716</v>
      </c>
      <c r="AD34" s="100">
        <v>0</v>
      </c>
      <c r="AE34" s="101"/>
      <c r="AF34" s="95">
        <v>0</v>
      </c>
      <c r="AG34" s="100">
        <v>6919.7407600000006</v>
      </c>
    </row>
  </sheetData>
  <mergeCells count="24">
    <mergeCell ref="A4:A6"/>
    <mergeCell ref="B4:B6"/>
    <mergeCell ref="C4:D4"/>
    <mergeCell ref="E4:F4"/>
    <mergeCell ref="G4:H4"/>
    <mergeCell ref="I4:I5"/>
    <mergeCell ref="J4:J5"/>
    <mergeCell ref="K4:K5"/>
    <mergeCell ref="L4:L5"/>
    <mergeCell ref="M4:M5"/>
    <mergeCell ref="O4:O5"/>
    <mergeCell ref="P4:P5"/>
    <mergeCell ref="R4:R6"/>
    <mergeCell ref="S4:S6"/>
    <mergeCell ref="T4:U4"/>
    <mergeCell ref="V4:W4"/>
    <mergeCell ref="X4:Y4"/>
    <mergeCell ref="Z4:Z5"/>
    <mergeCell ref="AA4:AA5"/>
    <mergeCell ref="AB4:AB5"/>
    <mergeCell ref="AC4:AC5"/>
    <mergeCell ref="AD4:AD5"/>
    <mergeCell ref="AF4:AF5"/>
    <mergeCell ref="AG4:AG5"/>
  </mergeCells>
  <pageMargins left="0.7" right="0.7" top="0.78740157499999996" bottom="0.78740157499999996"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dimension ref="A1:AG35"/>
  <sheetViews>
    <sheetView zoomScale="85" zoomScaleNormal="85" workbookViewId="0"/>
  </sheetViews>
  <sheetFormatPr defaultRowHeight="15"/>
  <cols>
    <col min="1" max="1" width="9.42578125" customWidth="1"/>
    <col min="2" max="2" width="47.140625" customWidth="1"/>
    <col min="3" max="3" width="12.7109375" customWidth="1"/>
    <col min="4" max="4" width="11.5703125" customWidth="1"/>
    <col min="5" max="5" width="11.28515625" customWidth="1"/>
    <col min="6" max="6" width="11.5703125" customWidth="1"/>
    <col min="7" max="7" width="10.85546875" customWidth="1"/>
    <col min="8" max="9" width="10.42578125" customWidth="1"/>
    <col min="10" max="10" width="12.5703125" customWidth="1"/>
    <col min="11" max="11" width="10.5703125" customWidth="1"/>
    <col min="12" max="12" width="11.42578125" customWidth="1"/>
    <col min="13" max="13" width="2.28515625" style="1" customWidth="1"/>
    <col min="14" max="14" width="1.7109375" customWidth="1"/>
    <col min="15" max="15" width="11" customWidth="1"/>
    <col min="16" max="16" width="12.5703125" customWidth="1"/>
    <col min="18" max="18" width="9.42578125" hidden="1" customWidth="1"/>
    <col min="19" max="19" width="45.85546875" hidden="1" customWidth="1"/>
    <col min="20" max="20" width="12.7109375" hidden="1" customWidth="1"/>
    <col min="21" max="21" width="11.5703125" hidden="1" customWidth="1"/>
    <col min="22" max="22" width="11.28515625" hidden="1" customWidth="1"/>
    <col min="23" max="23" width="11.5703125" hidden="1" customWidth="1"/>
    <col min="24" max="25" width="12.140625" hidden="1" customWidth="1"/>
    <col min="26" max="26" width="10.42578125" hidden="1" customWidth="1"/>
    <col min="27" max="27" width="12.5703125" hidden="1" customWidth="1"/>
    <col min="28" max="28" width="10.5703125" hidden="1" customWidth="1"/>
    <col min="29" max="29" width="14" hidden="1" customWidth="1"/>
    <col min="30" max="30" width="12.42578125" hidden="1" customWidth="1"/>
    <col min="31" max="31" width="1.7109375" hidden="1" customWidth="1"/>
    <col min="32" max="32" width="11" hidden="1" customWidth="1"/>
    <col min="33" max="33" width="10.85546875" hidden="1" customWidth="1"/>
  </cols>
  <sheetData>
    <row r="1" spans="1:33" ht="15.75">
      <c r="A1" s="3" t="s">
        <v>44</v>
      </c>
      <c r="B1" s="20"/>
      <c r="C1" s="20"/>
      <c r="D1" s="20"/>
      <c r="E1" s="20"/>
      <c r="F1" s="20"/>
      <c r="G1" s="20"/>
      <c r="H1" s="20"/>
      <c r="I1" s="20"/>
      <c r="J1" s="20"/>
      <c r="K1" s="20"/>
      <c r="L1" s="20"/>
      <c r="M1" s="20"/>
      <c r="N1" s="22"/>
      <c r="O1" s="20"/>
      <c r="P1" s="20"/>
    </row>
    <row r="2" spans="1:33" ht="15.75">
      <c r="A2" s="3"/>
      <c r="B2" s="2" t="s">
        <v>43</v>
      </c>
      <c r="C2" s="20"/>
      <c r="D2" s="20"/>
      <c r="E2" s="20"/>
      <c r="F2" s="20"/>
      <c r="G2" s="20"/>
      <c r="H2" s="20"/>
      <c r="I2" s="20"/>
      <c r="J2" s="20"/>
      <c r="K2" s="20"/>
      <c r="L2" s="20"/>
      <c r="M2" s="20"/>
      <c r="N2" s="22"/>
      <c r="O2" s="20"/>
      <c r="P2" s="20"/>
    </row>
    <row r="3" spans="1:33" ht="16.5" thickBot="1">
      <c r="A3" s="20"/>
      <c r="B3" s="19"/>
      <c r="C3" s="20"/>
      <c r="D3" s="20"/>
      <c r="E3" s="20"/>
      <c r="F3" s="20"/>
      <c r="G3" s="20"/>
      <c r="H3" s="20"/>
      <c r="I3" s="20"/>
      <c r="J3" s="20"/>
      <c r="K3" s="20"/>
      <c r="L3" s="20"/>
      <c r="M3" s="20"/>
      <c r="N3" s="22"/>
      <c r="O3" s="20"/>
      <c r="P3" s="23" t="s">
        <v>2</v>
      </c>
    </row>
    <row r="4" spans="1:33">
      <c r="A4" s="1357" t="s">
        <v>1</v>
      </c>
      <c r="B4" s="1354" t="s">
        <v>46</v>
      </c>
      <c r="C4" s="1394" t="s">
        <v>18</v>
      </c>
      <c r="D4" s="1361"/>
      <c r="E4" s="1361" t="s">
        <v>19</v>
      </c>
      <c r="F4" s="1361"/>
      <c r="G4" s="1364" t="s">
        <v>20</v>
      </c>
      <c r="H4" s="1365"/>
      <c r="I4" s="1349" t="s">
        <v>47</v>
      </c>
      <c r="J4" s="1349" t="s">
        <v>48</v>
      </c>
      <c r="K4" s="1351" t="s">
        <v>49</v>
      </c>
      <c r="L4" s="1362" t="s">
        <v>77</v>
      </c>
      <c r="M4" s="1313"/>
      <c r="N4" s="9"/>
      <c r="O4" s="1366" t="s">
        <v>330</v>
      </c>
      <c r="P4" s="1368" t="s">
        <v>21</v>
      </c>
      <c r="R4" s="1357" t="s">
        <v>1</v>
      </c>
      <c r="S4" s="1354" t="s">
        <v>46</v>
      </c>
      <c r="T4" s="1360" t="s">
        <v>18</v>
      </c>
      <c r="U4" s="1361"/>
      <c r="V4" s="1361" t="s">
        <v>19</v>
      </c>
      <c r="W4" s="1361"/>
      <c r="X4" s="1364" t="s">
        <v>20</v>
      </c>
      <c r="Y4" s="1365"/>
      <c r="Z4" s="1349" t="s">
        <v>47</v>
      </c>
      <c r="AA4" s="1349" t="s">
        <v>48</v>
      </c>
      <c r="AB4" s="1351" t="s">
        <v>49</v>
      </c>
      <c r="AC4" s="1362" t="s">
        <v>62</v>
      </c>
      <c r="AD4" s="1370" t="s">
        <v>69</v>
      </c>
      <c r="AE4" s="1037"/>
      <c r="AF4" s="1366" t="s">
        <v>65</v>
      </c>
      <c r="AG4" s="1368" t="s">
        <v>21</v>
      </c>
    </row>
    <row r="5" spans="1:33">
      <c r="A5" s="1358"/>
      <c r="B5" s="1355"/>
      <c r="C5" s="10" t="s">
        <v>26</v>
      </c>
      <c r="D5" s="11" t="s">
        <v>50</v>
      </c>
      <c r="E5" s="10" t="s">
        <v>12</v>
      </c>
      <c r="F5" s="11" t="s">
        <v>16</v>
      </c>
      <c r="G5" s="11" t="s">
        <v>12</v>
      </c>
      <c r="H5" s="33" t="s">
        <v>16</v>
      </c>
      <c r="I5" s="1350"/>
      <c r="J5" s="1350"/>
      <c r="K5" s="1352"/>
      <c r="L5" s="1363"/>
      <c r="M5" s="1313"/>
      <c r="N5" s="9"/>
      <c r="O5" s="1367"/>
      <c r="P5" s="1369"/>
      <c r="R5" s="1358"/>
      <c r="S5" s="1355"/>
      <c r="T5" s="1077" t="s">
        <v>26</v>
      </c>
      <c r="U5" s="11" t="s">
        <v>50</v>
      </c>
      <c r="V5" s="10" t="s">
        <v>12</v>
      </c>
      <c r="W5" s="11" t="s">
        <v>16</v>
      </c>
      <c r="X5" s="11" t="s">
        <v>12</v>
      </c>
      <c r="Y5" s="33" t="s">
        <v>16</v>
      </c>
      <c r="Z5" s="1350"/>
      <c r="AA5" s="1350"/>
      <c r="AB5" s="1352"/>
      <c r="AC5" s="1363"/>
      <c r="AD5" s="1371"/>
      <c r="AE5" s="1037"/>
      <c r="AF5" s="1367"/>
      <c r="AG5" s="1369"/>
    </row>
    <row r="6" spans="1:33" ht="15.75" thickBot="1">
      <c r="A6" s="1359"/>
      <c r="B6" s="1356"/>
      <c r="C6" s="1224" t="s">
        <v>4</v>
      </c>
      <c r="D6" s="1225" t="s">
        <v>5</v>
      </c>
      <c r="E6" s="1225" t="s">
        <v>6</v>
      </c>
      <c r="F6" s="1225" t="s">
        <v>7</v>
      </c>
      <c r="G6" s="1225" t="s">
        <v>13</v>
      </c>
      <c r="H6" s="1226" t="s">
        <v>14</v>
      </c>
      <c r="I6" s="1227" t="s">
        <v>28</v>
      </c>
      <c r="J6" s="1227" t="s">
        <v>31</v>
      </c>
      <c r="K6" s="1228" t="s">
        <v>9</v>
      </c>
      <c r="L6" s="1229" t="s">
        <v>22</v>
      </c>
      <c r="M6" s="9"/>
      <c r="N6" s="9"/>
      <c r="O6" s="44" t="s">
        <v>10</v>
      </c>
      <c r="P6" s="14" t="s">
        <v>64</v>
      </c>
      <c r="R6" s="1359"/>
      <c r="S6" s="1356"/>
      <c r="T6" s="1078" t="s">
        <v>4</v>
      </c>
      <c r="U6" s="13" t="s">
        <v>5</v>
      </c>
      <c r="V6" s="13" t="s">
        <v>6</v>
      </c>
      <c r="W6" s="13" t="s">
        <v>7</v>
      </c>
      <c r="X6" s="13" t="s">
        <v>13</v>
      </c>
      <c r="Y6" s="34" t="s">
        <v>14</v>
      </c>
      <c r="Z6" s="45" t="s">
        <v>28</v>
      </c>
      <c r="AA6" s="45" t="s">
        <v>31</v>
      </c>
      <c r="AB6" s="32" t="s">
        <v>9</v>
      </c>
      <c r="AC6" s="14" t="s">
        <v>22</v>
      </c>
      <c r="AD6" s="14" t="s">
        <v>63</v>
      </c>
      <c r="AE6" s="1037"/>
      <c r="AF6" s="44" t="s">
        <v>10</v>
      </c>
      <c r="AG6" s="14" t="s">
        <v>64</v>
      </c>
    </row>
    <row r="7" spans="1:33">
      <c r="A7" s="24">
        <v>1</v>
      </c>
      <c r="B7" s="1230" t="s">
        <v>15</v>
      </c>
      <c r="C7" s="1231">
        <f t="shared" ref="C7:L7" si="0">+C8+C12</f>
        <v>1430</v>
      </c>
      <c r="D7" s="1232">
        <f t="shared" si="0"/>
        <v>1430</v>
      </c>
      <c r="E7" s="1232">
        <f t="shared" si="0"/>
        <v>230</v>
      </c>
      <c r="F7" s="1232">
        <f t="shared" si="0"/>
        <v>226</v>
      </c>
      <c r="G7" s="1232">
        <f t="shared" si="0"/>
        <v>1660</v>
      </c>
      <c r="H7" s="1232">
        <f t="shared" si="0"/>
        <v>1656</v>
      </c>
      <c r="I7" s="1232"/>
      <c r="J7" s="1232">
        <f t="shared" si="0"/>
        <v>0</v>
      </c>
      <c r="K7" s="1232">
        <f t="shared" si="0"/>
        <v>12</v>
      </c>
      <c r="L7" s="1233">
        <f t="shared" si="0"/>
        <v>4</v>
      </c>
      <c r="M7" s="1344"/>
      <c r="N7" s="1036"/>
      <c r="O7" s="54">
        <f>+O8+O12</f>
        <v>0</v>
      </c>
      <c r="P7" s="58">
        <f>+P8+P12</f>
        <v>1656</v>
      </c>
      <c r="R7" s="24">
        <v>1</v>
      </c>
      <c r="S7" s="38" t="s">
        <v>15</v>
      </c>
      <c r="T7" s="54">
        <v>1430</v>
      </c>
      <c r="U7" s="55">
        <v>1430</v>
      </c>
      <c r="V7" s="55">
        <v>230</v>
      </c>
      <c r="W7" s="55">
        <v>226</v>
      </c>
      <c r="X7" s="55">
        <v>1660</v>
      </c>
      <c r="Y7" s="56">
        <v>1656</v>
      </c>
      <c r="Z7" s="75"/>
      <c r="AA7" s="75">
        <v>0</v>
      </c>
      <c r="AB7" s="57">
        <v>12</v>
      </c>
      <c r="AC7" s="58">
        <v>4</v>
      </c>
      <c r="AD7" s="58"/>
      <c r="AE7" s="1036"/>
      <c r="AF7" s="54">
        <v>0</v>
      </c>
      <c r="AG7" s="58">
        <v>1656</v>
      </c>
    </row>
    <row r="8" spans="1:33">
      <c r="A8" s="48">
        <f>A7+1</f>
        <v>2</v>
      </c>
      <c r="B8" s="680" t="s">
        <v>35</v>
      </c>
      <c r="C8" s="1234">
        <f t="shared" ref="C8:L8" si="1">SUM(C9:C11)</f>
        <v>1430</v>
      </c>
      <c r="D8" s="60">
        <f t="shared" si="1"/>
        <v>1430</v>
      </c>
      <c r="E8" s="60">
        <f t="shared" si="1"/>
        <v>230</v>
      </c>
      <c r="F8" s="60">
        <f t="shared" si="1"/>
        <v>226</v>
      </c>
      <c r="G8" s="60">
        <f t="shared" si="1"/>
        <v>1660</v>
      </c>
      <c r="H8" s="60">
        <f t="shared" si="1"/>
        <v>1656</v>
      </c>
      <c r="I8" s="60"/>
      <c r="J8" s="60"/>
      <c r="K8" s="60">
        <f>K9</f>
        <v>12</v>
      </c>
      <c r="L8" s="63">
        <f t="shared" si="1"/>
        <v>4</v>
      </c>
      <c r="M8" s="1345"/>
      <c r="N8" s="1036"/>
      <c r="O8" s="59"/>
      <c r="P8" s="63">
        <f>SUM(P9:P11)</f>
        <v>1656</v>
      </c>
      <c r="R8" s="48">
        <f>R7+1</f>
        <v>2</v>
      </c>
      <c r="S8" s="35" t="s">
        <v>35</v>
      </c>
      <c r="T8" s="59">
        <v>1430</v>
      </c>
      <c r="U8" s="60">
        <v>1430</v>
      </c>
      <c r="V8" s="60">
        <v>230</v>
      </c>
      <c r="W8" s="60">
        <v>226</v>
      </c>
      <c r="X8" s="60">
        <v>1660</v>
      </c>
      <c r="Y8" s="61">
        <v>1656</v>
      </c>
      <c r="Z8" s="77"/>
      <c r="AA8" s="78"/>
      <c r="AB8" s="62">
        <v>12</v>
      </c>
      <c r="AC8" s="63">
        <v>4</v>
      </c>
      <c r="AD8" s="63"/>
      <c r="AE8" s="1036"/>
      <c r="AF8" s="59"/>
      <c r="AG8" s="63">
        <v>1656</v>
      </c>
    </row>
    <row r="9" spans="1:33">
      <c r="A9" s="25">
        <f t="shared" ref="A9:A35" si="2">A8+1</f>
        <v>3</v>
      </c>
      <c r="B9" s="1235" t="s">
        <v>58</v>
      </c>
      <c r="C9" s="64">
        <v>1430</v>
      </c>
      <c r="D9" s="65">
        <v>1430</v>
      </c>
      <c r="E9" s="65">
        <v>230</v>
      </c>
      <c r="F9" s="65">
        <v>226</v>
      </c>
      <c r="G9" s="65">
        <f>+C9+E9</f>
        <v>1660</v>
      </c>
      <c r="H9" s="65">
        <f>+D9+F9</f>
        <v>1656</v>
      </c>
      <c r="I9" s="65"/>
      <c r="J9" s="65"/>
      <c r="K9" s="65">
        <v>12</v>
      </c>
      <c r="L9" s="68">
        <f>+G9-H9</f>
        <v>4</v>
      </c>
      <c r="M9" s="1346"/>
      <c r="N9" s="1036"/>
      <c r="O9" s="64"/>
      <c r="P9" s="68">
        <f>H9+O9</f>
        <v>1656</v>
      </c>
      <c r="R9" s="25">
        <f t="shared" ref="R9:R34" si="3">R8+1</f>
        <v>3</v>
      </c>
      <c r="S9" s="36" t="s">
        <v>58</v>
      </c>
      <c r="T9" s="64">
        <v>1430</v>
      </c>
      <c r="U9" s="65">
        <v>1430</v>
      </c>
      <c r="V9" s="65">
        <v>230</v>
      </c>
      <c r="W9" s="65">
        <v>226</v>
      </c>
      <c r="X9" s="65">
        <v>1660</v>
      </c>
      <c r="Y9" s="66">
        <v>1656</v>
      </c>
      <c r="Z9" s="80"/>
      <c r="AA9" s="80"/>
      <c r="AB9" s="67">
        <v>12</v>
      </c>
      <c r="AC9" s="68">
        <v>4</v>
      </c>
      <c r="AD9" s="68"/>
      <c r="AE9" s="1036"/>
      <c r="AF9" s="64"/>
      <c r="AG9" s="68">
        <v>1656</v>
      </c>
    </row>
    <row r="10" spans="1:33">
      <c r="A10" s="25">
        <f t="shared" si="2"/>
        <v>4</v>
      </c>
      <c r="B10" s="1235" t="s">
        <v>36</v>
      </c>
      <c r="C10" s="64"/>
      <c r="D10" s="65"/>
      <c r="E10" s="65"/>
      <c r="F10" s="65"/>
      <c r="G10" s="65"/>
      <c r="H10" s="65"/>
      <c r="I10" s="65"/>
      <c r="J10" s="65"/>
      <c r="K10" s="65"/>
      <c r="L10" s="68"/>
      <c r="M10" s="1346"/>
      <c r="N10" s="1036"/>
      <c r="O10" s="64"/>
      <c r="P10" s="68"/>
      <c r="R10" s="25">
        <f t="shared" si="3"/>
        <v>4</v>
      </c>
      <c r="S10" s="36" t="s">
        <v>36</v>
      </c>
      <c r="T10" s="64"/>
      <c r="U10" s="65"/>
      <c r="V10" s="65"/>
      <c r="W10" s="65"/>
      <c r="X10" s="65"/>
      <c r="Y10" s="249"/>
      <c r="Z10" s="80"/>
      <c r="AA10" s="80"/>
      <c r="AB10" s="67"/>
      <c r="AC10" s="68"/>
      <c r="AD10" s="68"/>
      <c r="AE10" s="1036"/>
      <c r="AF10" s="64"/>
      <c r="AG10" s="68"/>
    </row>
    <row r="11" spans="1:33">
      <c r="A11" s="25">
        <f t="shared" si="2"/>
        <v>5</v>
      </c>
      <c r="B11" s="722" t="s">
        <v>30</v>
      </c>
      <c r="C11" s="64"/>
      <c r="D11" s="65"/>
      <c r="E11" s="65"/>
      <c r="F11" s="65"/>
      <c r="G11" s="65"/>
      <c r="H11" s="65"/>
      <c r="I11" s="65"/>
      <c r="J11" s="65"/>
      <c r="K11" s="65"/>
      <c r="L11" s="68"/>
      <c r="M11" s="1346"/>
      <c r="N11" s="1036"/>
      <c r="O11" s="64"/>
      <c r="P11" s="68"/>
      <c r="R11" s="25">
        <f t="shared" si="3"/>
        <v>5</v>
      </c>
      <c r="S11" s="37" t="s">
        <v>30</v>
      </c>
      <c r="T11" s="64"/>
      <c r="U11" s="65"/>
      <c r="V11" s="65"/>
      <c r="W11" s="65"/>
      <c r="X11" s="65"/>
      <c r="Y11" s="66"/>
      <c r="Z11" s="79"/>
      <c r="AA11" s="80"/>
      <c r="AB11" s="67"/>
      <c r="AC11" s="68"/>
      <c r="AD11" s="68"/>
      <c r="AE11" s="1036"/>
      <c r="AF11" s="64"/>
      <c r="AG11" s="68"/>
    </row>
    <row r="12" spans="1:33">
      <c r="A12" s="48">
        <f t="shared" si="2"/>
        <v>6</v>
      </c>
      <c r="B12" s="680" t="s">
        <v>42</v>
      </c>
      <c r="C12" s="59"/>
      <c r="D12" s="60"/>
      <c r="E12" s="60"/>
      <c r="F12" s="60"/>
      <c r="G12" s="60"/>
      <c r="H12" s="60"/>
      <c r="I12" s="60"/>
      <c r="J12" s="60"/>
      <c r="K12" s="60"/>
      <c r="L12" s="63"/>
      <c r="M12" s="1345"/>
      <c r="N12" s="1036"/>
      <c r="O12" s="59"/>
      <c r="P12" s="63"/>
      <c r="R12" s="48">
        <f t="shared" si="3"/>
        <v>6</v>
      </c>
      <c r="S12" s="35" t="s">
        <v>42</v>
      </c>
      <c r="T12" s="59"/>
      <c r="U12" s="60"/>
      <c r="V12" s="60"/>
      <c r="W12" s="60"/>
      <c r="X12" s="60"/>
      <c r="Y12" s="61"/>
      <c r="Z12" s="78"/>
      <c r="AA12" s="78"/>
      <c r="AB12" s="62"/>
      <c r="AC12" s="63"/>
      <c r="AD12" s="63"/>
      <c r="AE12" s="1036"/>
      <c r="AF12" s="59"/>
      <c r="AG12" s="63"/>
    </row>
    <row r="13" spans="1:33">
      <c r="A13" s="29">
        <f t="shared" si="2"/>
        <v>7</v>
      </c>
      <c r="B13" s="1235" t="s">
        <v>51</v>
      </c>
      <c r="C13" s="85"/>
      <c r="D13" s="82"/>
      <c r="E13" s="82"/>
      <c r="F13" s="82"/>
      <c r="G13" s="65"/>
      <c r="H13" s="65"/>
      <c r="I13" s="65"/>
      <c r="J13" s="82"/>
      <c r="K13" s="82"/>
      <c r="L13" s="68"/>
      <c r="M13" s="1346"/>
      <c r="N13" s="706"/>
      <c r="O13" s="85"/>
      <c r="P13" s="68"/>
      <c r="R13" s="29">
        <f t="shared" si="3"/>
        <v>7</v>
      </c>
      <c r="S13" s="36" t="s">
        <v>51</v>
      </c>
      <c r="T13" s="85"/>
      <c r="U13" s="82"/>
      <c r="V13" s="82"/>
      <c r="W13" s="82"/>
      <c r="X13" s="65"/>
      <c r="Y13" s="66"/>
      <c r="Z13" s="79"/>
      <c r="AA13" s="83"/>
      <c r="AB13" s="81"/>
      <c r="AC13" s="68"/>
      <c r="AD13" s="68"/>
      <c r="AE13" s="706"/>
      <c r="AF13" s="85"/>
      <c r="AG13" s="68"/>
    </row>
    <row r="14" spans="1:33">
      <c r="A14" s="29"/>
      <c r="B14" s="1235" t="s">
        <v>61</v>
      </c>
      <c r="C14" s="85"/>
      <c r="D14" s="82"/>
      <c r="E14" s="82"/>
      <c r="F14" s="82"/>
      <c r="G14" s="65"/>
      <c r="H14" s="65"/>
      <c r="I14" s="65"/>
      <c r="J14" s="82"/>
      <c r="K14" s="82"/>
      <c r="L14" s="68"/>
      <c r="M14" s="1346"/>
      <c r="N14" s="706"/>
      <c r="O14" s="85"/>
      <c r="P14" s="68"/>
      <c r="R14" s="29"/>
      <c r="S14" s="36" t="s">
        <v>61</v>
      </c>
      <c r="T14" s="85"/>
      <c r="U14" s="82"/>
      <c r="V14" s="82"/>
      <c r="W14" s="82"/>
      <c r="X14" s="65"/>
      <c r="Y14" s="66"/>
      <c r="Z14" s="79"/>
      <c r="AA14" s="83"/>
      <c r="AB14" s="81"/>
      <c r="AC14" s="68"/>
      <c r="AD14" s="68"/>
      <c r="AE14" s="706"/>
      <c r="AF14" s="85"/>
      <c r="AG14" s="68"/>
    </row>
    <row r="15" spans="1:33">
      <c r="A15" s="25">
        <f>A13+1</f>
        <v>8</v>
      </c>
      <c r="B15" s="722" t="s">
        <v>157</v>
      </c>
      <c r="C15" s="89"/>
      <c r="D15" s="87"/>
      <c r="E15" s="87"/>
      <c r="F15" s="87"/>
      <c r="G15" s="65"/>
      <c r="H15" s="65"/>
      <c r="I15" s="87"/>
      <c r="J15" s="87"/>
      <c r="K15" s="87"/>
      <c r="L15" s="68"/>
      <c r="M15" s="1346"/>
      <c r="N15" s="1036"/>
      <c r="O15" s="89"/>
      <c r="P15" s="68"/>
      <c r="R15" s="25">
        <f>R13+1</f>
        <v>8</v>
      </c>
      <c r="S15" s="37" t="s">
        <v>66</v>
      </c>
      <c r="T15" s="89"/>
      <c r="U15" s="87"/>
      <c r="V15" s="87"/>
      <c r="W15" s="87"/>
      <c r="X15" s="65"/>
      <c r="Y15" s="66"/>
      <c r="Z15" s="88"/>
      <c r="AA15" s="88"/>
      <c r="AB15" s="86"/>
      <c r="AC15" s="68"/>
      <c r="AD15" s="68"/>
      <c r="AE15" s="1036"/>
      <c r="AF15" s="89"/>
      <c r="AG15" s="68"/>
    </row>
    <row r="16" spans="1:33">
      <c r="A16" s="29">
        <f t="shared" si="2"/>
        <v>9</v>
      </c>
      <c r="B16" s="1235" t="s">
        <v>52</v>
      </c>
      <c r="C16" s="85"/>
      <c r="D16" s="82"/>
      <c r="E16" s="82"/>
      <c r="F16" s="82"/>
      <c r="G16" s="65"/>
      <c r="H16" s="65"/>
      <c r="I16" s="65"/>
      <c r="J16" s="82"/>
      <c r="K16" s="82"/>
      <c r="L16" s="68"/>
      <c r="M16" s="1346"/>
      <c r="N16" s="706"/>
      <c r="O16" s="85"/>
      <c r="P16" s="68"/>
      <c r="R16" s="29">
        <f t="shared" si="3"/>
        <v>9</v>
      </c>
      <c r="S16" s="36" t="s">
        <v>52</v>
      </c>
      <c r="T16" s="85"/>
      <c r="U16" s="82"/>
      <c r="V16" s="82"/>
      <c r="W16" s="82"/>
      <c r="X16" s="65"/>
      <c r="Y16" s="66"/>
      <c r="Z16" s="79"/>
      <c r="AA16" s="83"/>
      <c r="AB16" s="81"/>
      <c r="AC16" s="68"/>
      <c r="AD16" s="68"/>
      <c r="AE16" s="706"/>
      <c r="AF16" s="85"/>
      <c r="AG16" s="68"/>
    </row>
    <row r="17" spans="1:33">
      <c r="A17" s="25">
        <f t="shared" si="2"/>
        <v>10</v>
      </c>
      <c r="B17" s="722" t="s">
        <v>30</v>
      </c>
      <c r="C17" s="89"/>
      <c r="D17" s="87"/>
      <c r="E17" s="87"/>
      <c r="F17" s="87"/>
      <c r="G17" s="65"/>
      <c r="H17" s="65"/>
      <c r="I17" s="87"/>
      <c r="J17" s="87"/>
      <c r="K17" s="87"/>
      <c r="L17" s="68"/>
      <c r="M17" s="1346"/>
      <c r="N17" s="1036"/>
      <c r="O17" s="89"/>
      <c r="P17" s="68"/>
      <c r="R17" s="25">
        <f t="shared" si="3"/>
        <v>10</v>
      </c>
      <c r="S17" s="37" t="s">
        <v>30</v>
      </c>
      <c r="T17" s="89"/>
      <c r="U17" s="87"/>
      <c r="V17" s="87"/>
      <c r="W17" s="87"/>
      <c r="X17" s="65"/>
      <c r="Y17" s="66"/>
      <c r="Z17" s="88"/>
      <c r="AA17" s="88"/>
      <c r="AB17" s="86"/>
      <c r="AC17" s="68"/>
      <c r="AD17" s="68"/>
      <c r="AE17" s="1036"/>
      <c r="AF17" s="89"/>
      <c r="AG17" s="68"/>
    </row>
    <row r="18" spans="1:33">
      <c r="A18" s="29">
        <f t="shared" si="2"/>
        <v>11</v>
      </c>
      <c r="B18" s="1235" t="s">
        <v>37</v>
      </c>
      <c r="C18" s="85"/>
      <c r="D18" s="82"/>
      <c r="E18" s="82"/>
      <c r="F18" s="82"/>
      <c r="G18" s="65"/>
      <c r="H18" s="65"/>
      <c r="I18" s="82"/>
      <c r="J18" s="82"/>
      <c r="K18" s="82"/>
      <c r="L18" s="68"/>
      <c r="M18" s="1346"/>
      <c r="N18" s="706"/>
      <c r="O18" s="85"/>
      <c r="P18" s="68"/>
      <c r="R18" s="29">
        <f t="shared" si="3"/>
        <v>11</v>
      </c>
      <c r="S18" s="36" t="s">
        <v>37</v>
      </c>
      <c r="T18" s="85"/>
      <c r="U18" s="82"/>
      <c r="V18" s="82"/>
      <c r="W18" s="82"/>
      <c r="X18" s="65"/>
      <c r="Y18" s="66"/>
      <c r="Z18" s="83"/>
      <c r="AA18" s="83"/>
      <c r="AB18" s="81"/>
      <c r="AC18" s="68"/>
      <c r="AD18" s="68"/>
      <c r="AE18" s="706"/>
      <c r="AF18" s="85"/>
      <c r="AG18" s="68"/>
    </row>
    <row r="19" spans="1:33">
      <c r="A19" s="29">
        <f t="shared" si="2"/>
        <v>12</v>
      </c>
      <c r="B19" s="1236" t="s">
        <v>38</v>
      </c>
      <c r="C19" s="85"/>
      <c r="D19" s="82"/>
      <c r="E19" s="82"/>
      <c r="F19" s="82"/>
      <c r="G19" s="65"/>
      <c r="H19" s="65"/>
      <c r="I19" s="82"/>
      <c r="J19" s="82"/>
      <c r="K19" s="82"/>
      <c r="L19" s="68"/>
      <c r="M19" s="1346"/>
      <c r="N19" s="706"/>
      <c r="O19" s="85"/>
      <c r="P19" s="68"/>
      <c r="R19" s="29">
        <f t="shared" si="3"/>
        <v>12</v>
      </c>
      <c r="S19" s="50" t="s">
        <v>38</v>
      </c>
      <c r="T19" s="85"/>
      <c r="U19" s="82"/>
      <c r="V19" s="82"/>
      <c r="W19" s="82"/>
      <c r="X19" s="65"/>
      <c r="Y19" s="66"/>
      <c r="Z19" s="83"/>
      <c r="AA19" s="83"/>
      <c r="AB19" s="81"/>
      <c r="AC19" s="68"/>
      <c r="AD19" s="68"/>
      <c r="AE19" s="706"/>
      <c r="AF19" s="85"/>
      <c r="AG19" s="68"/>
    </row>
    <row r="20" spans="1:33">
      <c r="A20" s="25">
        <f t="shared" si="2"/>
        <v>13</v>
      </c>
      <c r="B20" s="722" t="s">
        <v>30</v>
      </c>
      <c r="C20" s="89"/>
      <c r="D20" s="87"/>
      <c r="E20" s="87"/>
      <c r="F20" s="87"/>
      <c r="G20" s="65"/>
      <c r="H20" s="65"/>
      <c r="I20" s="87"/>
      <c r="J20" s="87"/>
      <c r="K20" s="87"/>
      <c r="L20" s="68"/>
      <c r="M20" s="1346"/>
      <c r="N20" s="1036"/>
      <c r="O20" s="89"/>
      <c r="P20" s="68"/>
      <c r="R20" s="25">
        <f t="shared" si="3"/>
        <v>13</v>
      </c>
      <c r="S20" s="37" t="s">
        <v>30</v>
      </c>
      <c r="T20" s="89"/>
      <c r="U20" s="87"/>
      <c r="V20" s="87"/>
      <c r="W20" s="87"/>
      <c r="X20" s="65"/>
      <c r="Y20" s="66"/>
      <c r="Z20" s="88"/>
      <c r="AA20" s="88"/>
      <c r="AB20" s="86"/>
      <c r="AC20" s="68"/>
      <c r="AD20" s="68"/>
      <c r="AE20" s="1036"/>
      <c r="AF20" s="89"/>
      <c r="AG20" s="68"/>
    </row>
    <row r="21" spans="1:33">
      <c r="A21" s="24">
        <f t="shared" si="2"/>
        <v>14</v>
      </c>
      <c r="B21" s="1230" t="s">
        <v>29</v>
      </c>
      <c r="C21" s="70">
        <f>+C22+C25+C27</f>
        <v>3310</v>
      </c>
      <c r="D21" s="71">
        <f>+D22+D25+D27</f>
        <v>3242</v>
      </c>
      <c r="E21" s="71"/>
      <c r="F21" s="71"/>
      <c r="G21" s="71">
        <f>+C21+E21</f>
        <v>3310</v>
      </c>
      <c r="H21" s="71">
        <f>+D21+F21</f>
        <v>3242</v>
      </c>
      <c r="I21" s="71"/>
      <c r="J21" s="71"/>
      <c r="K21" s="71">
        <f>K22</f>
        <v>71</v>
      </c>
      <c r="L21" s="74">
        <f>G21-H21</f>
        <v>68</v>
      </c>
      <c r="M21" s="1344"/>
      <c r="N21" s="1036"/>
      <c r="O21" s="70">
        <f>+O22+O25+O27</f>
        <v>0</v>
      </c>
      <c r="P21" s="74">
        <f>H21+O21</f>
        <v>3242</v>
      </c>
      <c r="R21" s="24">
        <f t="shared" si="3"/>
        <v>14</v>
      </c>
      <c r="S21" s="38" t="s">
        <v>29</v>
      </c>
      <c r="T21" s="70">
        <v>3310</v>
      </c>
      <c r="U21" s="71">
        <v>3242</v>
      </c>
      <c r="V21" s="71"/>
      <c r="W21" s="71"/>
      <c r="X21" s="71">
        <v>3310</v>
      </c>
      <c r="Y21" s="72">
        <v>3242</v>
      </c>
      <c r="Z21" s="90"/>
      <c r="AA21" s="1252"/>
      <c r="AB21" s="73">
        <v>71</v>
      </c>
      <c r="AC21" s="74">
        <v>68</v>
      </c>
      <c r="AD21" s="74"/>
      <c r="AE21" s="1036"/>
      <c r="AF21" s="70">
        <v>0</v>
      </c>
      <c r="AG21" s="74">
        <v>3242</v>
      </c>
    </row>
    <row r="22" spans="1:33">
      <c r="A22" s="46">
        <f t="shared" si="2"/>
        <v>15</v>
      </c>
      <c r="B22" s="1237" t="s">
        <v>547</v>
      </c>
      <c r="C22" s="1234">
        <f>C23+C24</f>
        <v>1435</v>
      </c>
      <c r="D22" s="60">
        <f t="shared" ref="D22:L22" si="4">D23+D24</f>
        <v>1412</v>
      </c>
      <c r="E22" s="60"/>
      <c r="F22" s="60"/>
      <c r="G22" s="60">
        <f>C22+E22</f>
        <v>1435</v>
      </c>
      <c r="H22" s="60">
        <f t="shared" si="4"/>
        <v>1412</v>
      </c>
      <c r="I22" s="60"/>
      <c r="J22" s="60"/>
      <c r="K22" s="60">
        <f t="shared" si="4"/>
        <v>71</v>
      </c>
      <c r="L22" s="63">
        <f t="shared" si="4"/>
        <v>23</v>
      </c>
      <c r="M22" s="1345"/>
      <c r="N22" s="1036"/>
      <c r="O22" s="1234"/>
      <c r="P22" s="63">
        <f>P23+P24</f>
        <v>1412</v>
      </c>
      <c r="R22" s="46">
        <f t="shared" si="3"/>
        <v>15</v>
      </c>
      <c r="S22" s="43" t="s">
        <v>53</v>
      </c>
      <c r="T22" s="59"/>
      <c r="U22" s="60"/>
      <c r="V22" s="60"/>
      <c r="W22" s="60"/>
      <c r="X22" s="60"/>
      <c r="Y22" s="61"/>
      <c r="Z22" s="78"/>
      <c r="AA22" s="78"/>
      <c r="AB22" s="62"/>
      <c r="AC22" s="63"/>
      <c r="AD22" s="63"/>
      <c r="AE22" s="1036"/>
      <c r="AF22" s="59"/>
      <c r="AG22" s="63"/>
    </row>
    <row r="23" spans="1:33">
      <c r="A23" s="1238">
        <f t="shared" si="2"/>
        <v>16</v>
      </c>
      <c r="B23" s="1239" t="s">
        <v>548</v>
      </c>
      <c r="C23" s="64">
        <v>865</v>
      </c>
      <c r="D23" s="65">
        <v>861</v>
      </c>
      <c r="E23" s="65"/>
      <c r="F23" s="65"/>
      <c r="G23" s="65">
        <f>C23+E23</f>
        <v>865</v>
      </c>
      <c r="H23" s="65">
        <f>D23+F23</f>
        <v>861</v>
      </c>
      <c r="I23" s="65"/>
      <c r="J23" s="65"/>
      <c r="K23" s="65">
        <v>43</v>
      </c>
      <c r="L23" s="68">
        <f>G23-H23</f>
        <v>4</v>
      </c>
      <c r="M23" s="1346"/>
      <c r="N23" s="1036"/>
      <c r="O23" s="64"/>
      <c r="P23" s="68">
        <f t="shared" ref="P23:P28" si="5">H23+O23</f>
        <v>861</v>
      </c>
      <c r="R23" s="25">
        <f t="shared" si="3"/>
        <v>16</v>
      </c>
      <c r="S23" s="37" t="s">
        <v>60</v>
      </c>
      <c r="T23" s="89"/>
      <c r="U23" s="87"/>
      <c r="V23" s="87"/>
      <c r="W23" s="87"/>
      <c r="X23" s="65"/>
      <c r="Y23" s="66"/>
      <c r="Z23" s="88"/>
      <c r="AA23" s="88"/>
      <c r="AB23" s="86"/>
      <c r="AC23" s="68"/>
      <c r="AD23" s="68"/>
      <c r="AE23" s="1036"/>
      <c r="AF23" s="89"/>
      <c r="AG23" s="68"/>
    </row>
    <row r="24" spans="1:33">
      <c r="A24" s="21">
        <f t="shared" si="2"/>
        <v>17</v>
      </c>
      <c r="B24" s="1240" t="s">
        <v>549</v>
      </c>
      <c r="C24" s="89">
        <v>570</v>
      </c>
      <c r="D24" s="87">
        <v>551</v>
      </c>
      <c r="E24" s="87"/>
      <c r="F24" s="87"/>
      <c r="G24" s="65">
        <f>C24+E24</f>
        <v>570</v>
      </c>
      <c r="H24" s="65">
        <f>D24+F24</f>
        <v>551</v>
      </c>
      <c r="I24" s="87"/>
      <c r="J24" s="87"/>
      <c r="K24" s="87">
        <v>28</v>
      </c>
      <c r="L24" s="68">
        <f>G24-H24</f>
        <v>19</v>
      </c>
      <c r="M24" s="1346"/>
      <c r="N24" s="1036"/>
      <c r="O24" s="89"/>
      <c r="P24" s="68">
        <f t="shared" si="5"/>
        <v>551</v>
      </c>
      <c r="R24" s="46">
        <f t="shared" si="3"/>
        <v>17</v>
      </c>
      <c r="S24" s="47" t="s">
        <v>59</v>
      </c>
      <c r="T24" s="59">
        <v>1165</v>
      </c>
      <c r="U24" s="60">
        <v>1120</v>
      </c>
      <c r="V24" s="60"/>
      <c r="W24" s="60"/>
      <c r="X24" s="60">
        <v>1165</v>
      </c>
      <c r="Y24" s="61">
        <v>1120</v>
      </c>
      <c r="Z24" s="78"/>
      <c r="AA24" s="78">
        <v>700</v>
      </c>
      <c r="AB24" s="62">
        <v>49</v>
      </c>
      <c r="AC24" s="63">
        <v>45</v>
      </c>
      <c r="AD24" s="63"/>
      <c r="AE24" s="1036"/>
      <c r="AF24" s="59"/>
      <c r="AG24" s="63">
        <v>1120</v>
      </c>
    </row>
    <row r="25" spans="1:33">
      <c r="A25" s="24">
        <f t="shared" si="2"/>
        <v>18</v>
      </c>
      <c r="B25" s="1241" t="s">
        <v>59</v>
      </c>
      <c r="C25" s="59">
        <f>+C26</f>
        <v>1165</v>
      </c>
      <c r="D25" s="60">
        <f t="shared" ref="D25:L25" si="6">+D26</f>
        <v>1120</v>
      </c>
      <c r="E25" s="60"/>
      <c r="F25" s="60"/>
      <c r="G25" s="60">
        <f t="shared" si="6"/>
        <v>1165</v>
      </c>
      <c r="H25" s="60">
        <f t="shared" si="6"/>
        <v>1120</v>
      </c>
      <c r="I25" s="60"/>
      <c r="J25" s="60">
        <f t="shared" si="6"/>
        <v>700</v>
      </c>
      <c r="K25" s="60">
        <f t="shared" si="6"/>
        <v>49</v>
      </c>
      <c r="L25" s="63">
        <f t="shared" si="6"/>
        <v>45</v>
      </c>
      <c r="M25" s="1345"/>
      <c r="N25" s="1036"/>
      <c r="O25" s="59"/>
      <c r="P25" s="63">
        <f t="shared" si="5"/>
        <v>1120</v>
      </c>
      <c r="R25" s="25">
        <f t="shared" si="3"/>
        <v>18</v>
      </c>
      <c r="S25" s="37" t="s">
        <v>60</v>
      </c>
      <c r="T25" s="89">
        <v>1165</v>
      </c>
      <c r="U25" s="87">
        <v>1120</v>
      </c>
      <c r="V25" s="87"/>
      <c r="W25" s="87"/>
      <c r="X25" s="65">
        <v>1165</v>
      </c>
      <c r="Y25" s="66">
        <v>1120</v>
      </c>
      <c r="Z25" s="88"/>
      <c r="AA25" s="88">
        <v>700</v>
      </c>
      <c r="AB25" s="86">
        <v>49</v>
      </c>
      <c r="AC25" s="68">
        <v>45</v>
      </c>
      <c r="AD25" s="68"/>
      <c r="AE25" s="1036"/>
      <c r="AF25" s="89"/>
      <c r="AG25" s="68">
        <v>1120</v>
      </c>
    </row>
    <row r="26" spans="1:33">
      <c r="A26" s="21">
        <f t="shared" si="2"/>
        <v>19</v>
      </c>
      <c r="B26" s="1240" t="s">
        <v>550</v>
      </c>
      <c r="C26" s="89">
        <v>1165</v>
      </c>
      <c r="D26" s="87">
        <v>1120</v>
      </c>
      <c r="E26" s="87"/>
      <c r="F26" s="87"/>
      <c r="G26" s="65">
        <f>+C26+E26</f>
        <v>1165</v>
      </c>
      <c r="H26" s="65">
        <f>+D26+F26</f>
        <v>1120</v>
      </c>
      <c r="I26" s="87"/>
      <c r="J26" s="87">
        <v>700</v>
      </c>
      <c r="K26" s="87">
        <v>49</v>
      </c>
      <c r="L26" s="68">
        <f>+G26-H26</f>
        <v>45</v>
      </c>
      <c r="M26" s="1346"/>
      <c r="N26" s="1036"/>
      <c r="O26" s="89"/>
      <c r="P26" s="68">
        <f t="shared" si="5"/>
        <v>1120</v>
      </c>
      <c r="R26" s="46">
        <f t="shared" si="3"/>
        <v>19</v>
      </c>
      <c r="S26" s="47" t="s">
        <v>54</v>
      </c>
      <c r="T26" s="59">
        <v>710</v>
      </c>
      <c r="U26" s="60">
        <v>710</v>
      </c>
      <c r="V26" s="60"/>
      <c r="W26" s="60"/>
      <c r="X26" s="60">
        <v>710</v>
      </c>
      <c r="Y26" s="61">
        <v>710</v>
      </c>
      <c r="Z26" s="78"/>
      <c r="AA26" s="78">
        <v>0</v>
      </c>
      <c r="AB26" s="62">
        <v>20</v>
      </c>
      <c r="AC26" s="63">
        <v>0</v>
      </c>
      <c r="AD26" s="63"/>
      <c r="AE26" s="1036"/>
      <c r="AF26" s="59"/>
      <c r="AG26" s="63">
        <v>710</v>
      </c>
    </row>
    <row r="27" spans="1:33">
      <c r="A27" s="24">
        <f t="shared" si="2"/>
        <v>20</v>
      </c>
      <c r="B27" s="1241" t="s">
        <v>54</v>
      </c>
      <c r="C27" s="59">
        <f>+C28</f>
        <v>710</v>
      </c>
      <c r="D27" s="60">
        <f t="shared" ref="D27:L27" si="7">+D28</f>
        <v>710</v>
      </c>
      <c r="E27" s="60"/>
      <c r="F27" s="60"/>
      <c r="G27" s="60">
        <f t="shared" si="7"/>
        <v>710</v>
      </c>
      <c r="H27" s="60">
        <f t="shared" si="7"/>
        <v>710</v>
      </c>
      <c r="I27" s="60"/>
      <c r="J27" s="60">
        <f t="shared" si="7"/>
        <v>0</v>
      </c>
      <c r="K27" s="60">
        <f t="shared" si="7"/>
        <v>20</v>
      </c>
      <c r="L27" s="63">
        <f t="shared" si="7"/>
        <v>0</v>
      </c>
      <c r="M27" s="1345"/>
      <c r="N27" s="1036"/>
      <c r="O27" s="59"/>
      <c r="P27" s="63">
        <f t="shared" si="5"/>
        <v>710</v>
      </c>
      <c r="R27" s="25">
        <f t="shared" si="3"/>
        <v>20</v>
      </c>
      <c r="S27" s="37" t="s">
        <v>60</v>
      </c>
      <c r="T27" s="94">
        <v>710</v>
      </c>
      <c r="U27" s="92">
        <v>710</v>
      </c>
      <c r="V27" s="92"/>
      <c r="W27" s="92"/>
      <c r="X27" s="65">
        <v>710</v>
      </c>
      <c r="Y27" s="66">
        <v>710</v>
      </c>
      <c r="Z27" s="93"/>
      <c r="AA27" s="93"/>
      <c r="AB27" s="91">
        <v>20</v>
      </c>
      <c r="AC27" s="68"/>
      <c r="AD27" s="68"/>
      <c r="AE27" s="1036"/>
      <c r="AF27" s="94"/>
      <c r="AG27" s="68">
        <v>710</v>
      </c>
    </row>
    <row r="28" spans="1:33">
      <c r="A28" s="21">
        <f t="shared" si="2"/>
        <v>21</v>
      </c>
      <c r="B28" s="1240" t="s">
        <v>551</v>
      </c>
      <c r="C28" s="89">
        <v>710</v>
      </c>
      <c r="D28" s="87">
        <v>710</v>
      </c>
      <c r="E28" s="87"/>
      <c r="F28" s="87"/>
      <c r="G28" s="65">
        <f>+C28+E28</f>
        <v>710</v>
      </c>
      <c r="H28" s="65">
        <f>+D28+F28</f>
        <v>710</v>
      </c>
      <c r="I28" s="87"/>
      <c r="J28" s="87"/>
      <c r="K28" s="87">
        <v>20</v>
      </c>
      <c r="L28" s="68"/>
      <c r="M28" s="1346"/>
      <c r="N28" s="1036"/>
      <c r="O28" s="94"/>
      <c r="P28" s="63">
        <f t="shared" si="5"/>
        <v>710</v>
      </c>
      <c r="R28" s="24">
        <f t="shared" si="3"/>
        <v>21</v>
      </c>
      <c r="S28" s="38" t="s">
        <v>27</v>
      </c>
      <c r="T28" s="70"/>
      <c r="U28" s="71"/>
      <c r="V28" s="71"/>
      <c r="W28" s="71"/>
      <c r="X28" s="71"/>
      <c r="Y28" s="72"/>
      <c r="Z28" s="90"/>
      <c r="AA28" s="90"/>
      <c r="AB28" s="73"/>
      <c r="AC28" s="74"/>
      <c r="AD28" s="74"/>
      <c r="AE28" s="1036"/>
      <c r="AF28" s="70">
        <v>0</v>
      </c>
      <c r="AG28" s="74"/>
    </row>
    <row r="29" spans="1:33">
      <c r="A29" s="24">
        <f t="shared" si="2"/>
        <v>22</v>
      </c>
      <c r="B29" s="1230" t="s">
        <v>27</v>
      </c>
      <c r="C29" s="70"/>
      <c r="D29" s="71"/>
      <c r="E29" s="71"/>
      <c r="F29" s="71"/>
      <c r="G29" s="71"/>
      <c r="H29" s="71"/>
      <c r="I29" s="71"/>
      <c r="J29" s="71"/>
      <c r="K29" s="71"/>
      <c r="L29" s="74"/>
      <c r="M29" s="1344"/>
      <c r="N29" s="1036"/>
      <c r="O29" s="70">
        <v>0</v>
      </c>
      <c r="P29" s="74"/>
      <c r="R29" s="29">
        <f t="shared" si="3"/>
        <v>22</v>
      </c>
      <c r="S29" s="43" t="s">
        <v>34</v>
      </c>
      <c r="T29" s="59"/>
      <c r="U29" s="60"/>
      <c r="V29" s="60"/>
      <c r="W29" s="60"/>
      <c r="X29" s="60"/>
      <c r="Y29" s="61"/>
      <c r="Z29" s="78"/>
      <c r="AA29" s="78"/>
      <c r="AB29" s="62"/>
      <c r="AC29" s="63"/>
      <c r="AD29" s="63"/>
      <c r="AE29" s="1036"/>
      <c r="AF29" s="59"/>
      <c r="AG29" s="63"/>
    </row>
    <row r="30" spans="1:33">
      <c r="A30" s="21">
        <f t="shared" si="2"/>
        <v>23</v>
      </c>
      <c r="B30" s="1242" t="s">
        <v>34</v>
      </c>
      <c r="C30" s="59"/>
      <c r="D30" s="60"/>
      <c r="E30" s="60"/>
      <c r="F30" s="60"/>
      <c r="G30" s="60"/>
      <c r="H30" s="60"/>
      <c r="I30" s="60"/>
      <c r="J30" s="60"/>
      <c r="K30" s="60"/>
      <c r="L30" s="63"/>
      <c r="M30" s="1345"/>
      <c r="N30" s="1036"/>
      <c r="O30" s="59"/>
      <c r="P30" s="63"/>
      <c r="R30" s="25">
        <f t="shared" si="3"/>
        <v>23</v>
      </c>
      <c r="S30" s="37" t="s">
        <v>60</v>
      </c>
      <c r="T30" s="94"/>
      <c r="U30" s="92"/>
      <c r="V30" s="92"/>
      <c r="W30" s="92"/>
      <c r="X30" s="65"/>
      <c r="Y30" s="66"/>
      <c r="Z30" s="93"/>
      <c r="AA30" s="93"/>
      <c r="AB30" s="91"/>
      <c r="AC30" s="68"/>
      <c r="AD30" s="68"/>
      <c r="AE30" s="1036"/>
      <c r="AF30" s="94"/>
      <c r="AG30" s="68"/>
    </row>
    <row r="31" spans="1:33">
      <c r="A31" s="1238">
        <f t="shared" si="2"/>
        <v>24</v>
      </c>
      <c r="B31" s="722" t="s">
        <v>60</v>
      </c>
      <c r="C31" s="89"/>
      <c r="D31" s="87"/>
      <c r="E31" s="87"/>
      <c r="F31" s="87"/>
      <c r="G31" s="65"/>
      <c r="H31" s="65"/>
      <c r="I31" s="87"/>
      <c r="J31" s="87"/>
      <c r="K31" s="87"/>
      <c r="L31" s="68"/>
      <c r="M31" s="1346"/>
      <c r="N31" s="1036"/>
      <c r="O31" s="94"/>
      <c r="P31" s="68"/>
      <c r="R31" s="24">
        <f t="shared" si="3"/>
        <v>24</v>
      </c>
      <c r="S31" s="38" t="s">
        <v>32</v>
      </c>
      <c r="T31" s="70"/>
      <c r="U31" s="71"/>
      <c r="V31" s="71"/>
      <c r="W31" s="71"/>
      <c r="X31" s="71"/>
      <c r="Y31" s="72"/>
      <c r="Z31" s="90"/>
      <c r="AA31" s="90"/>
      <c r="AB31" s="73"/>
      <c r="AC31" s="74"/>
      <c r="AD31" s="74"/>
      <c r="AE31" s="1036"/>
      <c r="AF31" s="70"/>
      <c r="AG31" s="74"/>
    </row>
    <row r="32" spans="1:33">
      <c r="A32" s="46">
        <f t="shared" si="2"/>
        <v>25</v>
      </c>
      <c r="B32" s="1230" t="s">
        <v>32</v>
      </c>
      <c r="C32" s="70"/>
      <c r="D32" s="71"/>
      <c r="E32" s="71"/>
      <c r="F32" s="71"/>
      <c r="G32" s="71"/>
      <c r="H32" s="71"/>
      <c r="I32" s="71"/>
      <c r="J32" s="71"/>
      <c r="K32" s="71"/>
      <c r="L32" s="74"/>
      <c r="M32" s="1344"/>
      <c r="N32" s="1036"/>
      <c r="O32" s="70"/>
      <c r="P32" s="74"/>
      <c r="R32" s="46">
        <f t="shared" si="3"/>
        <v>25</v>
      </c>
      <c r="S32" s="47" t="s">
        <v>39</v>
      </c>
      <c r="T32" s="59"/>
      <c r="U32" s="60"/>
      <c r="V32" s="60"/>
      <c r="W32" s="60"/>
      <c r="X32" s="60"/>
      <c r="Y32" s="61"/>
      <c r="Z32" s="78"/>
      <c r="AA32" s="78"/>
      <c r="AB32" s="62"/>
      <c r="AC32" s="63"/>
      <c r="AD32" s="63"/>
      <c r="AE32" s="1036"/>
      <c r="AF32" s="59"/>
      <c r="AG32" s="63"/>
    </row>
    <row r="33" spans="1:33" ht="15.75" thickBot="1">
      <c r="A33" s="24">
        <f t="shared" si="2"/>
        <v>26</v>
      </c>
      <c r="B33" s="1241" t="s">
        <v>39</v>
      </c>
      <c r="C33" s="59"/>
      <c r="D33" s="60"/>
      <c r="E33" s="60"/>
      <c r="F33" s="60"/>
      <c r="G33" s="60"/>
      <c r="H33" s="60"/>
      <c r="I33" s="60"/>
      <c r="J33" s="60"/>
      <c r="K33" s="60"/>
      <c r="L33" s="63"/>
      <c r="M33" s="1345"/>
      <c r="N33" s="1036"/>
      <c r="O33" s="59"/>
      <c r="P33" s="63"/>
      <c r="R33" s="25">
        <f t="shared" si="3"/>
        <v>26</v>
      </c>
      <c r="S33" s="37" t="s">
        <v>60</v>
      </c>
      <c r="T33" s="89"/>
      <c r="U33" s="87"/>
      <c r="V33" s="87"/>
      <c r="W33" s="87"/>
      <c r="X33" s="65"/>
      <c r="Y33" s="66"/>
      <c r="Z33" s="88"/>
      <c r="AA33" s="88"/>
      <c r="AB33" s="86"/>
      <c r="AC33" s="68"/>
      <c r="AD33" s="68"/>
      <c r="AE33" s="1036"/>
      <c r="AF33" s="89"/>
      <c r="AG33" s="68"/>
    </row>
    <row r="34" spans="1:33" ht="15.75" thickBot="1">
      <c r="A34" s="21">
        <f t="shared" si="2"/>
        <v>27</v>
      </c>
      <c r="B34" s="722" t="s">
        <v>60</v>
      </c>
      <c r="C34" s="723"/>
      <c r="D34" s="1243"/>
      <c r="E34" s="1243"/>
      <c r="F34" s="1243"/>
      <c r="G34" s="1244"/>
      <c r="H34" s="1244"/>
      <c r="I34" s="1243"/>
      <c r="J34" s="1243"/>
      <c r="K34" s="1243"/>
      <c r="L34" s="1245"/>
      <c r="M34" s="1346"/>
      <c r="N34" s="1036"/>
      <c r="O34" s="723"/>
      <c r="P34" s="1245"/>
      <c r="R34" s="31">
        <f t="shared" si="3"/>
        <v>27</v>
      </c>
      <c r="S34" s="39" t="s">
        <v>23</v>
      </c>
      <c r="T34" s="95">
        <v>4740</v>
      </c>
      <c r="U34" s="96">
        <v>4672</v>
      </c>
      <c r="V34" s="96">
        <v>0</v>
      </c>
      <c r="W34" s="96">
        <v>0</v>
      </c>
      <c r="X34" s="96">
        <v>4970</v>
      </c>
      <c r="Y34" s="97">
        <v>4898</v>
      </c>
      <c r="Z34" s="98"/>
      <c r="AA34" s="98">
        <v>0</v>
      </c>
      <c r="AB34" s="99">
        <v>83</v>
      </c>
      <c r="AC34" s="100">
        <v>72</v>
      </c>
      <c r="AD34" s="100"/>
      <c r="AE34" s="101"/>
      <c r="AF34" s="95">
        <v>0</v>
      </c>
      <c r="AG34" s="100">
        <v>4898</v>
      </c>
    </row>
    <row r="35" spans="1:33" ht="15.75" thickBot="1">
      <c r="A35" s="24">
        <f t="shared" si="2"/>
        <v>28</v>
      </c>
      <c r="B35" s="39" t="s">
        <v>23</v>
      </c>
      <c r="C35" s="1246">
        <f t="shared" ref="C35:H35" si="8">+C7+C21+C29+C32</f>
        <v>4740</v>
      </c>
      <c r="D35" s="1247">
        <f t="shared" si="8"/>
        <v>4672</v>
      </c>
      <c r="E35" s="1247">
        <f t="shared" si="8"/>
        <v>230</v>
      </c>
      <c r="F35" s="1247">
        <f t="shared" si="8"/>
        <v>226</v>
      </c>
      <c r="G35" s="1247">
        <f t="shared" si="8"/>
        <v>4970</v>
      </c>
      <c r="H35" s="1248">
        <f t="shared" si="8"/>
        <v>4898</v>
      </c>
      <c r="I35" s="1249"/>
      <c r="J35" s="1249">
        <f>+J7+J21+J29+J32</f>
        <v>0</v>
      </c>
      <c r="K35" s="1250">
        <f>+K7+K21+K29+K32</f>
        <v>83</v>
      </c>
      <c r="L35" s="1251">
        <f>+L7+L21+L29+L32</f>
        <v>72</v>
      </c>
      <c r="M35" s="1322"/>
      <c r="N35" s="101"/>
      <c r="O35" s="95">
        <f>+O7+O21+O29+O32</f>
        <v>0</v>
      </c>
      <c r="P35" s="100">
        <f>+P7+P21+P29+P32</f>
        <v>4898</v>
      </c>
    </row>
  </sheetData>
  <mergeCells count="23">
    <mergeCell ref="A4:A6"/>
    <mergeCell ref="B4:B6"/>
    <mergeCell ref="C4:D4"/>
    <mergeCell ref="E4:F4"/>
    <mergeCell ref="G4:H4"/>
    <mergeCell ref="I4:I5"/>
    <mergeCell ref="AA4:AA5"/>
    <mergeCell ref="J4:J5"/>
    <mergeCell ref="K4:K5"/>
    <mergeCell ref="L4:L5"/>
    <mergeCell ref="O4:O5"/>
    <mergeCell ref="P4:P5"/>
    <mergeCell ref="R4:R6"/>
    <mergeCell ref="AB4:AB5"/>
    <mergeCell ref="AC4:AC5"/>
    <mergeCell ref="AD4:AD5"/>
    <mergeCell ref="AF4:AF5"/>
    <mergeCell ref="AG4:AG5"/>
    <mergeCell ref="S4:S6"/>
    <mergeCell ref="T4:U4"/>
    <mergeCell ref="V4:W4"/>
    <mergeCell ref="X4:Y4"/>
    <mergeCell ref="Z4:Z5"/>
  </mergeCells>
  <pageMargins left="0.7" right="0.7" top="0.78740157499999996" bottom="0.78740157499999996"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7"/>
  <dimension ref="A1:AG34"/>
  <sheetViews>
    <sheetView zoomScale="85" zoomScaleNormal="85" workbookViewId="0"/>
  </sheetViews>
  <sheetFormatPr defaultRowHeight="15"/>
  <cols>
    <col min="1" max="1" width="9.42578125" customWidth="1"/>
    <col min="2" max="2" width="45.85546875" customWidth="1"/>
    <col min="3" max="3" width="12.7109375" customWidth="1"/>
    <col min="4" max="4" width="11.5703125" customWidth="1"/>
    <col min="5" max="5" width="11.28515625" customWidth="1"/>
    <col min="6" max="6" width="11.5703125" customWidth="1"/>
    <col min="7" max="7" width="10.85546875" customWidth="1"/>
    <col min="8" max="9" width="10.42578125" customWidth="1"/>
    <col min="10" max="10" width="12.5703125" customWidth="1"/>
    <col min="11" max="11" width="10.5703125" customWidth="1"/>
    <col min="12" max="12" width="14" customWidth="1"/>
    <col min="13" max="13" width="12.42578125" customWidth="1"/>
    <col min="14" max="14" width="1.7109375" customWidth="1"/>
    <col min="15" max="15" width="11" customWidth="1"/>
    <col min="16" max="16" width="10.85546875" customWidth="1"/>
    <col min="18" max="18" width="9.42578125" hidden="1" customWidth="1"/>
    <col min="19" max="19" width="45.85546875" hidden="1" customWidth="1"/>
    <col min="20" max="20" width="12.7109375" hidden="1" customWidth="1"/>
    <col min="21" max="21" width="11.5703125" hidden="1" customWidth="1"/>
    <col min="22" max="22" width="11.28515625" hidden="1" customWidth="1"/>
    <col min="23" max="23" width="11.5703125" hidden="1" customWidth="1"/>
    <col min="24" max="25" width="12.140625" hidden="1" customWidth="1"/>
    <col min="26" max="26" width="10.42578125" hidden="1" customWidth="1"/>
    <col min="27" max="27" width="12.5703125" hidden="1" customWidth="1"/>
    <col min="28" max="28" width="10.5703125" hidden="1" customWidth="1"/>
    <col min="29" max="29" width="14" hidden="1" customWidth="1"/>
    <col min="30" max="30" width="12.42578125" hidden="1" customWidth="1"/>
    <col min="31" max="31" width="1.7109375" hidden="1" customWidth="1"/>
    <col min="32" max="32" width="11" hidden="1" customWidth="1"/>
    <col min="33" max="33" width="10.85546875" hidden="1" customWidth="1"/>
  </cols>
  <sheetData>
    <row r="1" spans="1:33" ht="15.75">
      <c r="A1" s="102" t="s">
        <v>44</v>
      </c>
      <c r="B1" s="28"/>
      <c r="C1" s="20"/>
      <c r="D1" s="20"/>
      <c r="E1" s="20"/>
      <c r="F1" s="20"/>
      <c r="G1" s="20"/>
      <c r="H1" s="20"/>
      <c r="I1" s="20"/>
      <c r="J1" s="20"/>
      <c r="K1" s="20"/>
      <c r="L1" s="20"/>
      <c r="M1" s="20"/>
      <c r="N1" s="22"/>
      <c r="O1" s="20"/>
      <c r="P1" s="20"/>
    </row>
    <row r="2" spans="1:33" ht="15.75">
      <c r="A2" s="3"/>
      <c r="B2" s="2" t="s">
        <v>43</v>
      </c>
      <c r="C2" s="20"/>
      <c r="D2" s="20"/>
      <c r="E2" s="20"/>
      <c r="F2" s="20"/>
      <c r="G2" s="20"/>
      <c r="H2" s="20"/>
      <c r="I2" s="20"/>
      <c r="J2" s="20"/>
      <c r="K2" s="20"/>
      <c r="L2" s="20"/>
      <c r="M2" s="20"/>
      <c r="N2" s="22"/>
      <c r="O2" s="20"/>
      <c r="P2" s="20"/>
    </row>
    <row r="3" spans="1:33" ht="16.5" thickBot="1">
      <c r="A3" s="20"/>
      <c r="B3" s="19"/>
      <c r="C3" s="20"/>
      <c r="D3" s="20"/>
      <c r="E3" s="20"/>
      <c r="F3" s="20"/>
      <c r="G3" s="20"/>
      <c r="H3" s="20"/>
      <c r="I3" s="20"/>
      <c r="J3" s="20"/>
      <c r="K3" s="20"/>
      <c r="L3" s="20"/>
      <c r="M3" s="20"/>
      <c r="N3" s="22"/>
      <c r="O3" s="20"/>
      <c r="P3" s="23" t="s">
        <v>2</v>
      </c>
    </row>
    <row r="4" spans="1:33">
      <c r="A4" s="1357" t="s">
        <v>1</v>
      </c>
      <c r="B4" s="1354" t="s">
        <v>46</v>
      </c>
      <c r="C4" s="1394" t="s">
        <v>18</v>
      </c>
      <c r="D4" s="1361"/>
      <c r="E4" s="1361" t="s">
        <v>19</v>
      </c>
      <c r="F4" s="1361"/>
      <c r="G4" s="1364" t="s">
        <v>20</v>
      </c>
      <c r="H4" s="1365"/>
      <c r="I4" s="1349" t="s">
        <v>47</v>
      </c>
      <c r="J4" s="1349" t="s">
        <v>48</v>
      </c>
      <c r="K4" s="1351" t="s">
        <v>49</v>
      </c>
      <c r="L4" s="1362" t="s">
        <v>117</v>
      </c>
      <c r="M4" s="1370" t="s">
        <v>118</v>
      </c>
      <c r="N4" s="9"/>
      <c r="O4" s="1366" t="s">
        <v>65</v>
      </c>
      <c r="P4" s="1368" t="s">
        <v>21</v>
      </c>
      <c r="R4" s="1357" t="s">
        <v>1</v>
      </c>
      <c r="S4" s="1354" t="s">
        <v>46</v>
      </c>
      <c r="T4" s="1360" t="s">
        <v>18</v>
      </c>
      <c r="U4" s="1361"/>
      <c r="V4" s="1361" t="s">
        <v>19</v>
      </c>
      <c r="W4" s="1361"/>
      <c r="X4" s="1364" t="s">
        <v>20</v>
      </c>
      <c r="Y4" s="1365"/>
      <c r="Z4" s="1349" t="s">
        <v>47</v>
      </c>
      <c r="AA4" s="1349" t="s">
        <v>48</v>
      </c>
      <c r="AB4" s="1351" t="s">
        <v>49</v>
      </c>
      <c r="AC4" s="1362" t="s">
        <v>62</v>
      </c>
      <c r="AD4" s="1370" t="s">
        <v>69</v>
      </c>
      <c r="AE4" s="1037"/>
      <c r="AF4" s="1366" t="s">
        <v>65</v>
      </c>
      <c r="AG4" s="1368" t="s">
        <v>21</v>
      </c>
    </row>
    <row r="5" spans="1:33">
      <c r="A5" s="1358"/>
      <c r="B5" s="1355"/>
      <c r="C5" s="10" t="s">
        <v>26</v>
      </c>
      <c r="D5" s="11" t="s">
        <v>50</v>
      </c>
      <c r="E5" s="10" t="s">
        <v>12</v>
      </c>
      <c r="F5" s="11" t="s">
        <v>16</v>
      </c>
      <c r="G5" s="11" t="s">
        <v>12</v>
      </c>
      <c r="H5" s="33" t="s">
        <v>16</v>
      </c>
      <c r="I5" s="1350"/>
      <c r="J5" s="1350"/>
      <c r="K5" s="1352"/>
      <c r="L5" s="1363"/>
      <c r="M5" s="1371"/>
      <c r="N5" s="9"/>
      <c r="O5" s="1367"/>
      <c r="P5" s="1369"/>
      <c r="R5" s="1358"/>
      <c r="S5" s="1355"/>
      <c r="T5" s="1077" t="s">
        <v>26</v>
      </c>
      <c r="U5" s="11" t="s">
        <v>50</v>
      </c>
      <c r="V5" s="10" t="s">
        <v>12</v>
      </c>
      <c r="W5" s="11" t="s">
        <v>16</v>
      </c>
      <c r="X5" s="11" t="s">
        <v>12</v>
      </c>
      <c r="Y5" s="33" t="s">
        <v>16</v>
      </c>
      <c r="Z5" s="1350"/>
      <c r="AA5" s="1350"/>
      <c r="AB5" s="1352"/>
      <c r="AC5" s="1363"/>
      <c r="AD5" s="1371"/>
      <c r="AE5" s="1037"/>
      <c r="AF5" s="1367"/>
      <c r="AG5" s="1369"/>
    </row>
    <row r="6" spans="1:33" ht="15.75" thickBot="1">
      <c r="A6" s="1359"/>
      <c r="B6" s="1356"/>
      <c r="C6" s="12" t="s">
        <v>4</v>
      </c>
      <c r="D6" s="13" t="s">
        <v>5</v>
      </c>
      <c r="E6" s="13" t="s">
        <v>6</v>
      </c>
      <c r="F6" s="13" t="s">
        <v>7</v>
      </c>
      <c r="G6" s="13" t="s">
        <v>13</v>
      </c>
      <c r="H6" s="34" t="s">
        <v>14</v>
      </c>
      <c r="I6" s="45" t="s">
        <v>28</v>
      </c>
      <c r="J6" s="45" t="s">
        <v>31</v>
      </c>
      <c r="K6" s="32" t="s">
        <v>9</v>
      </c>
      <c r="L6" s="14" t="s">
        <v>22</v>
      </c>
      <c r="M6" s="14" t="s">
        <v>63</v>
      </c>
      <c r="N6" s="9"/>
      <c r="O6" s="44" t="s">
        <v>10</v>
      </c>
      <c r="P6" s="14" t="s">
        <v>64</v>
      </c>
      <c r="R6" s="1359"/>
      <c r="S6" s="1356"/>
      <c r="T6" s="1078" t="s">
        <v>4</v>
      </c>
      <c r="U6" s="13" t="s">
        <v>5</v>
      </c>
      <c r="V6" s="13" t="s">
        <v>6</v>
      </c>
      <c r="W6" s="13" t="s">
        <v>7</v>
      </c>
      <c r="X6" s="13" t="s">
        <v>13</v>
      </c>
      <c r="Y6" s="34" t="s">
        <v>14</v>
      </c>
      <c r="Z6" s="45" t="s">
        <v>28</v>
      </c>
      <c r="AA6" s="45" t="s">
        <v>31</v>
      </c>
      <c r="AB6" s="32" t="s">
        <v>9</v>
      </c>
      <c r="AC6" s="14" t="s">
        <v>22</v>
      </c>
      <c r="AD6" s="14" t="s">
        <v>63</v>
      </c>
      <c r="AE6" s="1037"/>
      <c r="AF6" s="44" t="s">
        <v>10</v>
      </c>
      <c r="AG6" s="14" t="s">
        <v>64</v>
      </c>
    </row>
    <row r="7" spans="1:33">
      <c r="A7" s="24">
        <v>1</v>
      </c>
      <c r="B7" s="38" t="s">
        <v>15</v>
      </c>
      <c r="C7" s="55">
        <f t="shared" ref="C7:L7" si="0">+C8+C12</f>
        <v>0</v>
      </c>
      <c r="D7" s="55">
        <f t="shared" si="0"/>
        <v>0</v>
      </c>
      <c r="E7" s="55">
        <f t="shared" si="0"/>
        <v>3212.4</v>
      </c>
      <c r="F7" s="55">
        <f t="shared" si="0"/>
        <v>3212</v>
      </c>
      <c r="G7" s="55">
        <f t="shared" si="0"/>
        <v>3212.4</v>
      </c>
      <c r="H7" s="56">
        <f t="shared" si="0"/>
        <v>3212</v>
      </c>
      <c r="I7" s="75"/>
      <c r="J7" s="75">
        <f t="shared" si="0"/>
        <v>0</v>
      </c>
      <c r="K7" s="57">
        <f t="shared" si="0"/>
        <v>0</v>
      </c>
      <c r="L7" s="58">
        <f t="shared" si="0"/>
        <v>0.40000000000009095</v>
      </c>
      <c r="M7" s="58">
        <f>+M8+M12</f>
        <v>0</v>
      </c>
      <c r="N7" s="76"/>
      <c r="O7" s="54">
        <f>+O8+O12</f>
        <v>0</v>
      </c>
      <c r="P7" s="55">
        <f>+P8+P12</f>
        <v>3212</v>
      </c>
      <c r="R7" s="24">
        <v>1</v>
      </c>
      <c r="S7" s="38" t="s">
        <v>15</v>
      </c>
      <c r="T7" s="54">
        <v>0</v>
      </c>
      <c r="U7" s="55">
        <v>0</v>
      </c>
      <c r="V7" s="55">
        <v>3212.4</v>
      </c>
      <c r="W7" s="55">
        <v>3212</v>
      </c>
      <c r="X7" s="55">
        <v>3212.4</v>
      </c>
      <c r="Y7" s="55">
        <v>3212.4</v>
      </c>
      <c r="Z7" s="75"/>
      <c r="AA7" s="75">
        <v>0</v>
      </c>
      <c r="AB7" s="57">
        <v>0</v>
      </c>
      <c r="AC7" s="58">
        <v>0</v>
      </c>
      <c r="AD7" s="58">
        <v>0</v>
      </c>
      <c r="AE7" s="1036"/>
      <c r="AF7" s="54">
        <v>0</v>
      </c>
      <c r="AG7" s="58">
        <v>0</v>
      </c>
    </row>
    <row r="8" spans="1:33">
      <c r="A8" s="48">
        <f>A7+1</f>
        <v>2</v>
      </c>
      <c r="B8" s="35" t="s">
        <v>35</v>
      </c>
      <c r="C8" s="60">
        <f t="shared" ref="C8:L8" si="1">SUM(C9:C11)</f>
        <v>0</v>
      </c>
      <c r="D8" s="60">
        <f t="shared" si="1"/>
        <v>0</v>
      </c>
      <c r="E8" s="60">
        <f t="shared" si="1"/>
        <v>3212.4</v>
      </c>
      <c r="F8" s="60">
        <f t="shared" si="1"/>
        <v>3212</v>
      </c>
      <c r="G8" s="60">
        <f t="shared" si="1"/>
        <v>3212.4</v>
      </c>
      <c r="H8" s="61">
        <f t="shared" si="1"/>
        <v>3212</v>
      </c>
      <c r="I8" s="77"/>
      <c r="J8" s="78">
        <f t="shared" si="1"/>
        <v>0</v>
      </c>
      <c r="K8" s="62">
        <f t="shared" si="1"/>
        <v>0</v>
      </c>
      <c r="L8" s="63">
        <f t="shared" si="1"/>
        <v>0.40000000000009095</v>
      </c>
      <c r="M8" s="63">
        <f>SUM(M9:M11)</f>
        <v>0</v>
      </c>
      <c r="N8" s="76"/>
      <c r="O8" s="59">
        <f>SUM(O9:O11)</f>
        <v>0</v>
      </c>
      <c r="P8" s="63">
        <f>SUM(P9:P11)</f>
        <v>3212</v>
      </c>
      <c r="R8" s="48">
        <f>R7+1</f>
        <v>2</v>
      </c>
      <c r="S8" s="35" t="s">
        <v>35</v>
      </c>
      <c r="T8" s="59">
        <v>0</v>
      </c>
      <c r="U8" s="60">
        <v>0</v>
      </c>
      <c r="V8" s="60">
        <v>3212.4</v>
      </c>
      <c r="W8" s="60">
        <v>3212</v>
      </c>
      <c r="X8" s="60">
        <v>3212.4</v>
      </c>
      <c r="Y8" s="60">
        <v>3212.4</v>
      </c>
      <c r="Z8" s="77"/>
      <c r="AA8" s="78">
        <v>0</v>
      </c>
      <c r="AB8" s="62">
        <v>0</v>
      </c>
      <c r="AC8" s="63">
        <v>0</v>
      </c>
      <c r="AD8" s="63">
        <v>0</v>
      </c>
      <c r="AE8" s="1036"/>
      <c r="AF8" s="59">
        <v>0</v>
      </c>
      <c r="AG8" s="63">
        <v>0</v>
      </c>
    </row>
    <row r="9" spans="1:33">
      <c r="A9" s="25">
        <f t="shared" ref="A9:A34" si="2">A8+1</f>
        <v>3</v>
      </c>
      <c r="B9" s="36" t="s">
        <v>58</v>
      </c>
      <c r="C9" s="65"/>
      <c r="D9" s="65"/>
      <c r="E9" s="65">
        <v>3212.4</v>
      </c>
      <c r="F9" s="65">
        <v>3212</v>
      </c>
      <c r="G9" s="65">
        <f t="shared" ref="G9:H21" si="3">+C9+E9</f>
        <v>3212.4</v>
      </c>
      <c r="H9" s="66">
        <f t="shared" si="3"/>
        <v>3212</v>
      </c>
      <c r="I9" s="79"/>
      <c r="J9" s="80"/>
      <c r="K9" s="67"/>
      <c r="L9" s="68">
        <f t="shared" ref="L9:L20" si="4">+G9-H9</f>
        <v>0.40000000000009095</v>
      </c>
      <c r="M9" s="68"/>
      <c r="N9" s="76"/>
      <c r="O9" s="64"/>
      <c r="P9" s="68">
        <f t="shared" ref="P9:P33" si="5">H9+O9</f>
        <v>3212</v>
      </c>
      <c r="R9" s="25">
        <f t="shared" ref="R9:R34" si="6">R8+1</f>
        <v>3</v>
      </c>
      <c r="S9" s="36" t="s">
        <v>58</v>
      </c>
      <c r="T9" s="64"/>
      <c r="U9" s="65"/>
      <c r="V9" s="65">
        <v>3212.4</v>
      </c>
      <c r="W9" s="65">
        <v>3212</v>
      </c>
      <c r="X9" s="65">
        <v>3212.4</v>
      </c>
      <c r="Y9" s="65">
        <v>3212.4</v>
      </c>
      <c r="Z9" s="80"/>
      <c r="AA9" s="80"/>
      <c r="AB9" s="67"/>
      <c r="AC9" s="68">
        <v>0</v>
      </c>
      <c r="AD9" s="68"/>
      <c r="AE9" s="1036"/>
      <c r="AF9" s="64"/>
      <c r="AG9" s="68">
        <v>0</v>
      </c>
    </row>
    <row r="10" spans="1:33">
      <c r="A10" s="25">
        <f t="shared" si="2"/>
        <v>4</v>
      </c>
      <c r="B10" s="36" t="s">
        <v>36</v>
      </c>
      <c r="C10" s="65"/>
      <c r="D10" s="65"/>
      <c r="E10" s="65"/>
      <c r="F10" s="65"/>
      <c r="G10" s="65">
        <f t="shared" si="3"/>
        <v>0</v>
      </c>
      <c r="H10" s="66">
        <f t="shared" si="3"/>
        <v>0</v>
      </c>
      <c r="I10" s="79"/>
      <c r="J10" s="80"/>
      <c r="K10" s="67"/>
      <c r="L10" s="68">
        <f t="shared" si="4"/>
        <v>0</v>
      </c>
      <c r="M10" s="68"/>
      <c r="N10" s="76"/>
      <c r="O10" s="64"/>
      <c r="P10" s="68">
        <f t="shared" si="5"/>
        <v>0</v>
      </c>
      <c r="R10" s="25">
        <f t="shared" si="6"/>
        <v>4</v>
      </c>
      <c r="S10" s="36" t="s">
        <v>36</v>
      </c>
      <c r="T10" s="64"/>
      <c r="U10" s="65"/>
      <c r="V10" s="65"/>
      <c r="W10" s="65"/>
      <c r="X10" s="65">
        <v>0</v>
      </c>
      <c r="Y10" s="249">
        <v>0</v>
      </c>
      <c r="Z10" s="80"/>
      <c r="AA10" s="80"/>
      <c r="AB10" s="67"/>
      <c r="AC10" s="68">
        <v>0</v>
      </c>
      <c r="AD10" s="68"/>
      <c r="AE10" s="1036"/>
      <c r="AF10" s="64"/>
      <c r="AG10" s="68">
        <v>0</v>
      </c>
    </row>
    <row r="11" spans="1:33">
      <c r="A11" s="25">
        <f t="shared" si="2"/>
        <v>5</v>
      </c>
      <c r="B11" s="37" t="s">
        <v>30</v>
      </c>
      <c r="C11" s="65"/>
      <c r="D11" s="65"/>
      <c r="E11" s="65"/>
      <c r="F11" s="65"/>
      <c r="G11" s="65">
        <f t="shared" si="3"/>
        <v>0</v>
      </c>
      <c r="H11" s="66">
        <f t="shared" si="3"/>
        <v>0</v>
      </c>
      <c r="I11" s="79"/>
      <c r="J11" s="80"/>
      <c r="K11" s="67"/>
      <c r="L11" s="68">
        <f t="shared" si="4"/>
        <v>0</v>
      </c>
      <c r="M11" s="68"/>
      <c r="N11" s="76"/>
      <c r="O11" s="64"/>
      <c r="P11" s="68">
        <f t="shared" si="5"/>
        <v>0</v>
      </c>
      <c r="R11" s="25">
        <f t="shared" si="6"/>
        <v>5</v>
      </c>
      <c r="S11" s="37" t="s">
        <v>30</v>
      </c>
      <c r="T11" s="64"/>
      <c r="U11" s="65"/>
      <c r="V11" s="65"/>
      <c r="W11" s="65"/>
      <c r="X11" s="65">
        <v>0</v>
      </c>
      <c r="Y11" s="66">
        <v>0</v>
      </c>
      <c r="Z11" s="79"/>
      <c r="AA11" s="80"/>
      <c r="AB11" s="67"/>
      <c r="AC11" s="68">
        <v>0</v>
      </c>
      <c r="AD11" s="68"/>
      <c r="AE11" s="1036"/>
      <c r="AF11" s="64"/>
      <c r="AG11" s="68">
        <v>0</v>
      </c>
    </row>
    <row r="12" spans="1:33">
      <c r="A12" s="48">
        <f t="shared" si="2"/>
        <v>6</v>
      </c>
      <c r="B12" s="35" t="s">
        <v>42</v>
      </c>
      <c r="C12" s="60">
        <f>+C13+C16+C18+C19</f>
        <v>0</v>
      </c>
      <c r="D12" s="60">
        <f>+D13+D16+D18+D19</f>
        <v>0</v>
      </c>
      <c r="E12" s="60"/>
      <c r="F12" s="60">
        <f>+F13+F16+F18+F19</f>
        <v>0</v>
      </c>
      <c r="G12" s="60">
        <f t="shared" si="3"/>
        <v>0</v>
      </c>
      <c r="H12" s="61">
        <f t="shared" si="3"/>
        <v>0</v>
      </c>
      <c r="I12" s="78"/>
      <c r="J12" s="78">
        <f>+J13+J16+J18+J19</f>
        <v>0</v>
      </c>
      <c r="K12" s="62">
        <f>+K13+K16+K18+K19</f>
        <v>0</v>
      </c>
      <c r="L12" s="63">
        <f t="shared" si="4"/>
        <v>0</v>
      </c>
      <c r="M12" s="63">
        <f>+M13+M16+M18+M19</f>
        <v>0</v>
      </c>
      <c r="N12" s="76"/>
      <c r="O12" s="59">
        <f>+O13+O16+O18+O19</f>
        <v>0</v>
      </c>
      <c r="P12" s="63">
        <f t="shared" si="5"/>
        <v>0</v>
      </c>
      <c r="R12" s="48">
        <f t="shared" si="6"/>
        <v>6</v>
      </c>
      <c r="S12" s="35" t="s">
        <v>42</v>
      </c>
      <c r="T12" s="59">
        <v>0</v>
      </c>
      <c r="U12" s="60">
        <v>0</v>
      </c>
      <c r="V12" s="60"/>
      <c r="W12" s="60">
        <v>0</v>
      </c>
      <c r="X12" s="60">
        <v>0</v>
      </c>
      <c r="Y12" s="61">
        <v>0</v>
      </c>
      <c r="Z12" s="78"/>
      <c r="AA12" s="78">
        <v>0</v>
      </c>
      <c r="AB12" s="62">
        <v>0</v>
      </c>
      <c r="AC12" s="63">
        <v>0</v>
      </c>
      <c r="AD12" s="63">
        <v>0</v>
      </c>
      <c r="AE12" s="1036"/>
      <c r="AF12" s="59">
        <v>0</v>
      </c>
      <c r="AG12" s="63">
        <v>0</v>
      </c>
    </row>
    <row r="13" spans="1:33">
      <c r="A13" s="29">
        <f t="shared" si="2"/>
        <v>7</v>
      </c>
      <c r="B13" s="36" t="s">
        <v>51</v>
      </c>
      <c r="C13" s="81"/>
      <c r="D13" s="82"/>
      <c r="E13" s="82"/>
      <c r="F13" s="82"/>
      <c r="G13" s="65">
        <f t="shared" si="3"/>
        <v>0</v>
      </c>
      <c r="H13" s="66">
        <f t="shared" si="3"/>
        <v>0</v>
      </c>
      <c r="I13" s="79"/>
      <c r="J13" s="83"/>
      <c r="K13" s="81"/>
      <c r="L13" s="68">
        <f t="shared" si="4"/>
        <v>0</v>
      </c>
      <c r="M13" s="68"/>
      <c r="N13" s="84"/>
      <c r="O13" s="85"/>
      <c r="P13" s="68">
        <f t="shared" si="5"/>
        <v>0</v>
      </c>
      <c r="R13" s="29">
        <f t="shared" si="6"/>
        <v>7</v>
      </c>
      <c r="S13" s="36" t="s">
        <v>51</v>
      </c>
      <c r="T13" s="85"/>
      <c r="U13" s="82"/>
      <c r="V13" s="82"/>
      <c r="W13" s="82"/>
      <c r="X13" s="65">
        <v>0</v>
      </c>
      <c r="Y13" s="66">
        <v>0</v>
      </c>
      <c r="Z13" s="79"/>
      <c r="AA13" s="83"/>
      <c r="AB13" s="81"/>
      <c r="AC13" s="68">
        <v>0</v>
      </c>
      <c r="AD13" s="68"/>
      <c r="AE13" s="706"/>
      <c r="AF13" s="85"/>
      <c r="AG13" s="68">
        <v>0</v>
      </c>
    </row>
    <row r="14" spans="1:33">
      <c r="A14" s="29"/>
      <c r="B14" s="36" t="s">
        <v>61</v>
      </c>
      <c r="C14" s="81"/>
      <c r="D14" s="82"/>
      <c r="E14" s="82"/>
      <c r="F14" s="82"/>
      <c r="G14" s="65">
        <f t="shared" si="3"/>
        <v>0</v>
      </c>
      <c r="H14" s="66">
        <f t="shared" si="3"/>
        <v>0</v>
      </c>
      <c r="I14" s="79"/>
      <c r="J14" s="83"/>
      <c r="K14" s="81"/>
      <c r="L14" s="68">
        <f t="shared" si="4"/>
        <v>0</v>
      </c>
      <c r="M14" s="68"/>
      <c r="N14" s="84"/>
      <c r="O14" s="85"/>
      <c r="P14" s="68">
        <f t="shared" si="5"/>
        <v>0</v>
      </c>
      <c r="R14" s="29"/>
      <c r="S14" s="36" t="s">
        <v>61</v>
      </c>
      <c r="T14" s="85"/>
      <c r="U14" s="82"/>
      <c r="V14" s="82"/>
      <c r="W14" s="82"/>
      <c r="X14" s="65">
        <v>0</v>
      </c>
      <c r="Y14" s="66">
        <v>0</v>
      </c>
      <c r="Z14" s="79"/>
      <c r="AA14" s="83"/>
      <c r="AB14" s="81"/>
      <c r="AC14" s="68">
        <v>0</v>
      </c>
      <c r="AD14" s="68"/>
      <c r="AE14" s="706"/>
      <c r="AF14" s="85"/>
      <c r="AG14" s="68">
        <v>0</v>
      </c>
    </row>
    <row r="15" spans="1:33">
      <c r="A15" s="25">
        <f>A13+1</f>
        <v>8</v>
      </c>
      <c r="B15" s="37" t="s">
        <v>66</v>
      </c>
      <c r="C15" s="86"/>
      <c r="D15" s="87"/>
      <c r="E15" s="87"/>
      <c r="F15" s="87"/>
      <c r="G15" s="65">
        <f t="shared" si="3"/>
        <v>0</v>
      </c>
      <c r="H15" s="66">
        <f t="shared" si="3"/>
        <v>0</v>
      </c>
      <c r="I15" s="88"/>
      <c r="J15" s="88"/>
      <c r="K15" s="86"/>
      <c r="L15" s="68">
        <f t="shared" si="4"/>
        <v>0</v>
      </c>
      <c r="M15" s="68"/>
      <c r="N15" s="76"/>
      <c r="O15" s="89"/>
      <c r="P15" s="68">
        <f t="shared" si="5"/>
        <v>0</v>
      </c>
      <c r="R15" s="25">
        <f>R13+1</f>
        <v>8</v>
      </c>
      <c r="S15" s="37" t="s">
        <v>66</v>
      </c>
      <c r="T15" s="89"/>
      <c r="U15" s="87"/>
      <c r="V15" s="87"/>
      <c r="W15" s="87"/>
      <c r="X15" s="65">
        <v>0</v>
      </c>
      <c r="Y15" s="66">
        <v>0</v>
      </c>
      <c r="Z15" s="88"/>
      <c r="AA15" s="88"/>
      <c r="AB15" s="86"/>
      <c r="AC15" s="68">
        <v>0</v>
      </c>
      <c r="AD15" s="68"/>
      <c r="AE15" s="1036"/>
      <c r="AF15" s="89"/>
      <c r="AG15" s="68">
        <v>0</v>
      </c>
    </row>
    <row r="16" spans="1:33">
      <c r="A16" s="29">
        <f t="shared" si="2"/>
        <v>9</v>
      </c>
      <c r="B16" s="36" t="s">
        <v>52</v>
      </c>
      <c r="C16" s="81"/>
      <c r="D16" s="82"/>
      <c r="E16" s="82"/>
      <c r="F16" s="82"/>
      <c r="G16" s="65">
        <f t="shared" si="3"/>
        <v>0</v>
      </c>
      <c r="H16" s="66">
        <f t="shared" si="3"/>
        <v>0</v>
      </c>
      <c r="I16" s="79"/>
      <c r="J16" s="83"/>
      <c r="K16" s="81"/>
      <c r="L16" s="68">
        <f t="shared" si="4"/>
        <v>0</v>
      </c>
      <c r="M16" s="68"/>
      <c r="N16" s="84"/>
      <c r="O16" s="85"/>
      <c r="P16" s="68">
        <f t="shared" si="5"/>
        <v>0</v>
      </c>
      <c r="R16" s="29">
        <f t="shared" si="6"/>
        <v>9</v>
      </c>
      <c r="S16" s="36" t="s">
        <v>52</v>
      </c>
      <c r="T16" s="85"/>
      <c r="U16" s="82"/>
      <c r="V16" s="82"/>
      <c r="W16" s="82"/>
      <c r="X16" s="65">
        <v>0</v>
      </c>
      <c r="Y16" s="66">
        <v>0</v>
      </c>
      <c r="Z16" s="79"/>
      <c r="AA16" s="83"/>
      <c r="AB16" s="81"/>
      <c r="AC16" s="68">
        <v>0</v>
      </c>
      <c r="AD16" s="68"/>
      <c r="AE16" s="706"/>
      <c r="AF16" s="85"/>
      <c r="AG16" s="68">
        <v>0</v>
      </c>
    </row>
    <row r="17" spans="1:33">
      <c r="A17" s="25">
        <f t="shared" si="2"/>
        <v>10</v>
      </c>
      <c r="B17" s="37" t="s">
        <v>30</v>
      </c>
      <c r="C17" s="86"/>
      <c r="D17" s="87"/>
      <c r="E17" s="87"/>
      <c r="F17" s="87"/>
      <c r="G17" s="65">
        <f t="shared" si="3"/>
        <v>0</v>
      </c>
      <c r="H17" s="66">
        <f t="shared" si="3"/>
        <v>0</v>
      </c>
      <c r="I17" s="88"/>
      <c r="J17" s="88"/>
      <c r="K17" s="86"/>
      <c r="L17" s="68">
        <f t="shared" si="4"/>
        <v>0</v>
      </c>
      <c r="M17" s="68"/>
      <c r="N17" s="76"/>
      <c r="O17" s="89"/>
      <c r="P17" s="68">
        <f t="shared" si="5"/>
        <v>0</v>
      </c>
      <c r="R17" s="25">
        <f t="shared" si="6"/>
        <v>10</v>
      </c>
      <c r="S17" s="37" t="s">
        <v>30</v>
      </c>
      <c r="T17" s="89"/>
      <c r="U17" s="87"/>
      <c r="V17" s="87"/>
      <c r="W17" s="87"/>
      <c r="X17" s="65">
        <v>0</v>
      </c>
      <c r="Y17" s="66">
        <v>0</v>
      </c>
      <c r="Z17" s="88"/>
      <c r="AA17" s="88"/>
      <c r="AB17" s="86"/>
      <c r="AC17" s="68">
        <v>0</v>
      </c>
      <c r="AD17" s="68"/>
      <c r="AE17" s="1036"/>
      <c r="AF17" s="89"/>
      <c r="AG17" s="68">
        <v>0</v>
      </c>
    </row>
    <row r="18" spans="1:33">
      <c r="A18" s="29">
        <f t="shared" si="2"/>
        <v>11</v>
      </c>
      <c r="B18" s="36" t="s">
        <v>37</v>
      </c>
      <c r="C18" s="81"/>
      <c r="D18" s="82"/>
      <c r="E18" s="82"/>
      <c r="F18" s="82"/>
      <c r="G18" s="65">
        <f t="shared" si="3"/>
        <v>0</v>
      </c>
      <c r="H18" s="66">
        <f t="shared" si="3"/>
        <v>0</v>
      </c>
      <c r="I18" s="83"/>
      <c r="J18" s="83"/>
      <c r="K18" s="81"/>
      <c r="L18" s="68">
        <f t="shared" si="4"/>
        <v>0</v>
      </c>
      <c r="M18" s="68"/>
      <c r="N18" s="84"/>
      <c r="O18" s="85"/>
      <c r="P18" s="68">
        <f t="shared" si="5"/>
        <v>0</v>
      </c>
      <c r="R18" s="29">
        <f t="shared" si="6"/>
        <v>11</v>
      </c>
      <c r="S18" s="36" t="s">
        <v>37</v>
      </c>
      <c r="T18" s="85"/>
      <c r="U18" s="82"/>
      <c r="V18" s="82"/>
      <c r="W18" s="82"/>
      <c r="X18" s="65">
        <v>0</v>
      </c>
      <c r="Y18" s="66">
        <v>0</v>
      </c>
      <c r="Z18" s="83"/>
      <c r="AA18" s="83"/>
      <c r="AB18" s="81"/>
      <c r="AC18" s="68">
        <v>0</v>
      </c>
      <c r="AD18" s="68"/>
      <c r="AE18" s="706"/>
      <c r="AF18" s="85"/>
      <c r="AG18" s="68">
        <v>0</v>
      </c>
    </row>
    <row r="19" spans="1:33">
      <c r="A19" s="29">
        <f t="shared" si="2"/>
        <v>12</v>
      </c>
      <c r="B19" s="50" t="s">
        <v>38</v>
      </c>
      <c r="C19" s="81"/>
      <c r="D19" s="82"/>
      <c r="E19" s="82"/>
      <c r="F19" s="82"/>
      <c r="G19" s="65">
        <f t="shared" si="3"/>
        <v>0</v>
      </c>
      <c r="H19" s="66">
        <f t="shared" si="3"/>
        <v>0</v>
      </c>
      <c r="I19" s="83"/>
      <c r="J19" s="83"/>
      <c r="K19" s="81"/>
      <c r="L19" s="68">
        <f t="shared" si="4"/>
        <v>0</v>
      </c>
      <c r="M19" s="68"/>
      <c r="N19" s="84"/>
      <c r="O19" s="85"/>
      <c r="P19" s="68">
        <f t="shared" si="5"/>
        <v>0</v>
      </c>
      <c r="R19" s="29">
        <f t="shared" si="6"/>
        <v>12</v>
      </c>
      <c r="S19" s="50" t="s">
        <v>38</v>
      </c>
      <c r="T19" s="85"/>
      <c r="U19" s="82"/>
      <c r="V19" s="82"/>
      <c r="W19" s="82"/>
      <c r="X19" s="65">
        <v>0</v>
      </c>
      <c r="Y19" s="66">
        <v>0</v>
      </c>
      <c r="Z19" s="83"/>
      <c r="AA19" s="83"/>
      <c r="AB19" s="81"/>
      <c r="AC19" s="68">
        <v>0</v>
      </c>
      <c r="AD19" s="68"/>
      <c r="AE19" s="706"/>
      <c r="AF19" s="85"/>
      <c r="AG19" s="68">
        <v>0</v>
      </c>
    </row>
    <row r="20" spans="1:33">
      <c r="A20" s="25">
        <f t="shared" si="2"/>
        <v>13</v>
      </c>
      <c r="B20" s="37" t="s">
        <v>30</v>
      </c>
      <c r="C20" s="86"/>
      <c r="D20" s="87"/>
      <c r="E20" s="87"/>
      <c r="F20" s="87"/>
      <c r="G20" s="65">
        <f t="shared" si="3"/>
        <v>0</v>
      </c>
      <c r="H20" s="66">
        <f t="shared" si="3"/>
        <v>0</v>
      </c>
      <c r="I20" s="88"/>
      <c r="J20" s="88"/>
      <c r="K20" s="86"/>
      <c r="L20" s="68">
        <f t="shared" si="4"/>
        <v>0</v>
      </c>
      <c r="M20" s="68"/>
      <c r="N20" s="76"/>
      <c r="O20" s="89"/>
      <c r="P20" s="68">
        <f t="shared" si="5"/>
        <v>0</v>
      </c>
      <c r="R20" s="25">
        <f t="shared" si="6"/>
        <v>13</v>
      </c>
      <c r="S20" s="37" t="s">
        <v>30</v>
      </c>
      <c r="T20" s="89"/>
      <c r="U20" s="87"/>
      <c r="V20" s="87"/>
      <c r="W20" s="87"/>
      <c r="X20" s="65">
        <v>0</v>
      </c>
      <c r="Y20" s="66">
        <v>0</v>
      </c>
      <c r="Z20" s="88"/>
      <c r="AA20" s="88"/>
      <c r="AB20" s="86"/>
      <c r="AC20" s="68">
        <v>0</v>
      </c>
      <c r="AD20" s="68"/>
      <c r="AE20" s="1036"/>
      <c r="AF20" s="89"/>
      <c r="AG20" s="68">
        <v>0</v>
      </c>
    </row>
    <row r="21" spans="1:33">
      <c r="A21" s="24">
        <f t="shared" si="2"/>
        <v>14</v>
      </c>
      <c r="B21" s="38" t="s">
        <v>29</v>
      </c>
      <c r="C21" s="70">
        <f>+C22+C24+C26</f>
        <v>0</v>
      </c>
      <c r="D21" s="71">
        <f>+D22+D24+D26</f>
        <v>0</v>
      </c>
      <c r="E21" s="71">
        <f>+E22+E24+E26</f>
        <v>0</v>
      </c>
      <c r="F21" s="71">
        <f>+F22+F24+F26</f>
        <v>0</v>
      </c>
      <c r="G21" s="71">
        <f t="shared" si="3"/>
        <v>0</v>
      </c>
      <c r="H21" s="72">
        <f t="shared" si="3"/>
        <v>0</v>
      </c>
      <c r="I21" s="90"/>
      <c r="J21" s="90">
        <f>+J22+J24+J26</f>
        <v>0</v>
      </c>
      <c r="K21" s="73">
        <f>+K22+K24+K26</f>
        <v>0</v>
      </c>
      <c r="L21" s="74"/>
      <c r="M21" s="74">
        <f>+M22+M24+M26</f>
        <v>0</v>
      </c>
      <c r="N21" s="76"/>
      <c r="O21" s="70">
        <f>+O22+O24+O26</f>
        <v>0</v>
      </c>
      <c r="P21" s="74">
        <f>H21+O21</f>
        <v>0</v>
      </c>
      <c r="R21" s="24">
        <f t="shared" si="6"/>
        <v>14</v>
      </c>
      <c r="S21" s="38" t="s">
        <v>29</v>
      </c>
      <c r="T21" s="70">
        <v>0</v>
      </c>
      <c r="U21" s="71">
        <v>0</v>
      </c>
      <c r="V21" s="71">
        <v>0</v>
      </c>
      <c r="W21" s="71">
        <v>0</v>
      </c>
      <c r="X21" s="71">
        <v>0</v>
      </c>
      <c r="Y21" s="72">
        <v>0</v>
      </c>
      <c r="Z21" s="90"/>
      <c r="AA21" s="1252">
        <v>0</v>
      </c>
      <c r="AB21" s="73">
        <v>0</v>
      </c>
      <c r="AC21" s="74"/>
      <c r="AD21" s="74">
        <v>0</v>
      </c>
      <c r="AE21" s="1036"/>
      <c r="AF21" s="70">
        <v>0</v>
      </c>
      <c r="AG21" s="74">
        <v>0</v>
      </c>
    </row>
    <row r="22" spans="1:33">
      <c r="A22" s="46">
        <f t="shared" si="2"/>
        <v>15</v>
      </c>
      <c r="B22" s="43" t="s">
        <v>53</v>
      </c>
      <c r="C22" s="60">
        <f>+C23</f>
        <v>0</v>
      </c>
      <c r="D22" s="60">
        <f t="shared" ref="D22:O22" si="7">+D23</f>
        <v>0</v>
      </c>
      <c r="E22" s="60">
        <f t="shared" si="7"/>
        <v>0</v>
      </c>
      <c r="F22" s="60">
        <f t="shared" si="7"/>
        <v>0</v>
      </c>
      <c r="G22" s="60">
        <f t="shared" si="7"/>
        <v>0</v>
      </c>
      <c r="H22" s="61">
        <f t="shared" si="7"/>
        <v>0</v>
      </c>
      <c r="I22" s="78"/>
      <c r="J22" s="78">
        <f t="shared" si="7"/>
        <v>0</v>
      </c>
      <c r="K22" s="62">
        <f t="shared" si="7"/>
        <v>0</v>
      </c>
      <c r="L22" s="63">
        <f t="shared" si="7"/>
        <v>0</v>
      </c>
      <c r="M22" s="63">
        <f t="shared" si="7"/>
        <v>0</v>
      </c>
      <c r="N22" s="76"/>
      <c r="O22" s="59">
        <f t="shared" si="7"/>
        <v>0</v>
      </c>
      <c r="P22" s="63">
        <f t="shared" si="5"/>
        <v>0</v>
      </c>
      <c r="R22" s="46">
        <f t="shared" si="6"/>
        <v>15</v>
      </c>
      <c r="S22" s="43" t="s">
        <v>53</v>
      </c>
      <c r="T22" s="59">
        <v>0</v>
      </c>
      <c r="U22" s="60">
        <v>0</v>
      </c>
      <c r="V22" s="60">
        <v>0</v>
      </c>
      <c r="W22" s="60">
        <v>0</v>
      </c>
      <c r="X22" s="60">
        <v>0</v>
      </c>
      <c r="Y22" s="61">
        <v>0</v>
      </c>
      <c r="Z22" s="78"/>
      <c r="AA22" s="78">
        <v>0</v>
      </c>
      <c r="AB22" s="62">
        <v>0</v>
      </c>
      <c r="AC22" s="63">
        <v>0</v>
      </c>
      <c r="AD22" s="63">
        <v>0</v>
      </c>
      <c r="AE22" s="1036"/>
      <c r="AF22" s="59">
        <v>0</v>
      </c>
      <c r="AG22" s="63">
        <v>0</v>
      </c>
    </row>
    <row r="23" spans="1:33">
      <c r="A23" s="25">
        <f t="shared" si="2"/>
        <v>16</v>
      </c>
      <c r="B23" s="37" t="s">
        <v>60</v>
      </c>
      <c r="C23" s="86"/>
      <c r="D23" s="87"/>
      <c r="E23" s="87"/>
      <c r="F23" s="87"/>
      <c r="G23" s="65">
        <f>+C23+E23</f>
        <v>0</v>
      </c>
      <c r="H23" s="66">
        <f>+D23+F23</f>
        <v>0</v>
      </c>
      <c r="I23" s="88"/>
      <c r="J23" s="88"/>
      <c r="K23" s="86"/>
      <c r="L23" s="68">
        <f>+G23-H23</f>
        <v>0</v>
      </c>
      <c r="M23" s="68"/>
      <c r="N23" s="76"/>
      <c r="O23" s="89"/>
      <c r="P23" s="68">
        <f t="shared" si="5"/>
        <v>0</v>
      </c>
      <c r="R23" s="25">
        <f t="shared" si="6"/>
        <v>16</v>
      </c>
      <c r="S23" s="37" t="s">
        <v>60</v>
      </c>
      <c r="T23" s="89"/>
      <c r="U23" s="87"/>
      <c r="V23" s="87"/>
      <c r="W23" s="87"/>
      <c r="X23" s="65">
        <v>0</v>
      </c>
      <c r="Y23" s="66">
        <v>0</v>
      </c>
      <c r="Z23" s="88"/>
      <c r="AA23" s="88"/>
      <c r="AB23" s="86"/>
      <c r="AC23" s="68">
        <v>0</v>
      </c>
      <c r="AD23" s="68"/>
      <c r="AE23" s="1036"/>
      <c r="AF23" s="89"/>
      <c r="AG23" s="68">
        <v>0</v>
      </c>
    </row>
    <row r="24" spans="1:33">
      <c r="A24" s="46">
        <f t="shared" si="2"/>
        <v>17</v>
      </c>
      <c r="B24" s="47" t="s">
        <v>59</v>
      </c>
      <c r="C24" s="60">
        <f>+C25</f>
        <v>0</v>
      </c>
      <c r="D24" s="60">
        <f t="shared" ref="D24:O24" si="8">+D25</f>
        <v>0</v>
      </c>
      <c r="E24" s="60">
        <f t="shared" si="8"/>
        <v>0</v>
      </c>
      <c r="F24" s="60">
        <f t="shared" si="8"/>
        <v>0</v>
      </c>
      <c r="G24" s="60">
        <f t="shared" si="8"/>
        <v>0</v>
      </c>
      <c r="H24" s="61">
        <f t="shared" si="8"/>
        <v>0</v>
      </c>
      <c r="I24" s="78"/>
      <c r="J24" s="78">
        <f t="shared" si="8"/>
        <v>0</v>
      </c>
      <c r="K24" s="62">
        <f t="shared" si="8"/>
        <v>0</v>
      </c>
      <c r="L24" s="63">
        <f t="shared" si="8"/>
        <v>0</v>
      </c>
      <c r="M24" s="63">
        <f t="shared" si="8"/>
        <v>0</v>
      </c>
      <c r="N24" s="76"/>
      <c r="O24" s="59">
        <f t="shared" si="8"/>
        <v>0</v>
      </c>
      <c r="P24" s="63">
        <f t="shared" si="5"/>
        <v>0</v>
      </c>
      <c r="R24" s="46">
        <f t="shared" si="6"/>
        <v>17</v>
      </c>
      <c r="S24" s="47" t="s">
        <v>59</v>
      </c>
      <c r="T24" s="59">
        <v>0</v>
      </c>
      <c r="U24" s="60">
        <v>0</v>
      </c>
      <c r="V24" s="60">
        <v>0</v>
      </c>
      <c r="W24" s="60">
        <v>0</v>
      </c>
      <c r="X24" s="60">
        <v>0</v>
      </c>
      <c r="Y24" s="61">
        <v>0</v>
      </c>
      <c r="Z24" s="78"/>
      <c r="AA24" s="78">
        <v>0</v>
      </c>
      <c r="AB24" s="62">
        <v>0</v>
      </c>
      <c r="AC24" s="63">
        <v>0</v>
      </c>
      <c r="AD24" s="63">
        <v>0</v>
      </c>
      <c r="AE24" s="1036"/>
      <c r="AF24" s="59">
        <v>0</v>
      </c>
      <c r="AG24" s="63">
        <v>0</v>
      </c>
    </row>
    <row r="25" spans="1:33">
      <c r="A25" s="25">
        <f t="shared" si="2"/>
        <v>18</v>
      </c>
      <c r="B25" s="37" t="s">
        <v>60</v>
      </c>
      <c r="C25" s="86"/>
      <c r="D25" s="87"/>
      <c r="E25" s="87"/>
      <c r="F25" s="87"/>
      <c r="G25" s="65">
        <f>+C25+E25</f>
        <v>0</v>
      </c>
      <c r="H25" s="66">
        <f>+D25+F25</f>
        <v>0</v>
      </c>
      <c r="I25" s="88"/>
      <c r="J25" s="88"/>
      <c r="K25" s="86"/>
      <c r="L25" s="68">
        <f>+G25-H25</f>
        <v>0</v>
      </c>
      <c r="M25" s="68"/>
      <c r="N25" s="76"/>
      <c r="O25" s="89"/>
      <c r="P25" s="68">
        <f t="shared" si="5"/>
        <v>0</v>
      </c>
      <c r="R25" s="25">
        <f t="shared" si="6"/>
        <v>18</v>
      </c>
      <c r="S25" s="37" t="s">
        <v>60</v>
      </c>
      <c r="T25" s="89"/>
      <c r="U25" s="87"/>
      <c r="V25" s="87"/>
      <c r="W25" s="87"/>
      <c r="X25" s="65">
        <v>0</v>
      </c>
      <c r="Y25" s="66">
        <v>0</v>
      </c>
      <c r="Z25" s="88"/>
      <c r="AA25" s="88"/>
      <c r="AB25" s="86"/>
      <c r="AC25" s="68">
        <v>0</v>
      </c>
      <c r="AD25" s="68"/>
      <c r="AE25" s="1036"/>
      <c r="AF25" s="89"/>
      <c r="AG25" s="68">
        <v>0</v>
      </c>
    </row>
    <row r="26" spans="1:33">
      <c r="A26" s="46">
        <f t="shared" si="2"/>
        <v>19</v>
      </c>
      <c r="B26" s="47" t="s">
        <v>54</v>
      </c>
      <c r="C26" s="60">
        <f>+C27</f>
        <v>0</v>
      </c>
      <c r="D26" s="60">
        <f t="shared" ref="D26:O26" si="9">+D27</f>
        <v>0</v>
      </c>
      <c r="E26" s="60">
        <f t="shared" si="9"/>
        <v>0</v>
      </c>
      <c r="F26" s="60">
        <f t="shared" si="9"/>
        <v>0</v>
      </c>
      <c r="G26" s="60">
        <f t="shared" si="9"/>
        <v>0</v>
      </c>
      <c r="H26" s="61">
        <f t="shared" si="9"/>
        <v>0</v>
      </c>
      <c r="I26" s="78"/>
      <c r="J26" s="78">
        <f t="shared" si="9"/>
        <v>0</v>
      </c>
      <c r="K26" s="62">
        <f t="shared" si="9"/>
        <v>0</v>
      </c>
      <c r="L26" s="63">
        <f t="shared" si="9"/>
        <v>0</v>
      </c>
      <c r="M26" s="63">
        <f t="shared" si="9"/>
        <v>0</v>
      </c>
      <c r="N26" s="76"/>
      <c r="O26" s="59">
        <f t="shared" si="9"/>
        <v>0</v>
      </c>
      <c r="P26" s="63">
        <f t="shared" si="5"/>
        <v>0</v>
      </c>
      <c r="R26" s="46">
        <f t="shared" si="6"/>
        <v>19</v>
      </c>
      <c r="S26" s="47" t="s">
        <v>54</v>
      </c>
      <c r="T26" s="59">
        <v>0</v>
      </c>
      <c r="U26" s="60">
        <v>0</v>
      </c>
      <c r="V26" s="60">
        <v>0</v>
      </c>
      <c r="W26" s="60">
        <v>0</v>
      </c>
      <c r="X26" s="60">
        <v>0</v>
      </c>
      <c r="Y26" s="61">
        <v>0</v>
      </c>
      <c r="Z26" s="78"/>
      <c r="AA26" s="78">
        <v>0</v>
      </c>
      <c r="AB26" s="62">
        <v>0</v>
      </c>
      <c r="AC26" s="63">
        <v>0</v>
      </c>
      <c r="AD26" s="63">
        <v>0</v>
      </c>
      <c r="AE26" s="1036"/>
      <c r="AF26" s="59">
        <v>0</v>
      </c>
      <c r="AG26" s="63">
        <v>0</v>
      </c>
    </row>
    <row r="27" spans="1:33">
      <c r="A27" s="25">
        <f t="shared" si="2"/>
        <v>20</v>
      </c>
      <c r="B27" s="37" t="s">
        <v>60</v>
      </c>
      <c r="C27" s="91"/>
      <c r="D27" s="92"/>
      <c r="E27" s="92"/>
      <c r="F27" s="92"/>
      <c r="G27" s="65">
        <f>+C27+E27</f>
        <v>0</v>
      </c>
      <c r="H27" s="66">
        <f>+D27+F27</f>
        <v>0</v>
      </c>
      <c r="I27" s="93"/>
      <c r="J27" s="93"/>
      <c r="K27" s="91"/>
      <c r="L27" s="68">
        <f>+G27-H27</f>
        <v>0</v>
      </c>
      <c r="M27" s="68"/>
      <c r="N27" s="76"/>
      <c r="O27" s="94"/>
      <c r="P27" s="68">
        <f t="shared" si="5"/>
        <v>0</v>
      </c>
      <c r="R27" s="25">
        <f t="shared" si="6"/>
        <v>20</v>
      </c>
      <c r="S27" s="37" t="s">
        <v>60</v>
      </c>
      <c r="T27" s="94"/>
      <c r="U27" s="92"/>
      <c r="V27" s="92"/>
      <c r="W27" s="92"/>
      <c r="X27" s="65">
        <v>0</v>
      </c>
      <c r="Y27" s="66">
        <v>0</v>
      </c>
      <c r="Z27" s="93"/>
      <c r="AA27" s="93"/>
      <c r="AB27" s="91"/>
      <c r="AC27" s="68">
        <v>0</v>
      </c>
      <c r="AD27" s="68"/>
      <c r="AE27" s="1036"/>
      <c r="AF27" s="94"/>
      <c r="AG27" s="68">
        <v>0</v>
      </c>
    </row>
    <row r="28" spans="1:33">
      <c r="A28" s="24">
        <f t="shared" si="2"/>
        <v>21</v>
      </c>
      <c r="B28" s="38" t="s">
        <v>27</v>
      </c>
      <c r="C28" s="70">
        <f>+C29</f>
        <v>0</v>
      </c>
      <c r="D28" s="71">
        <f t="shared" ref="D28:O29" si="10">+D29</f>
        <v>0</v>
      </c>
      <c r="E28" s="71">
        <f t="shared" si="10"/>
        <v>0</v>
      </c>
      <c r="F28" s="71">
        <f t="shared" si="10"/>
        <v>0</v>
      </c>
      <c r="G28" s="71">
        <f>+C28+E28</f>
        <v>0</v>
      </c>
      <c r="H28" s="72">
        <f>+D28+F28</f>
        <v>0</v>
      </c>
      <c r="I28" s="90"/>
      <c r="J28" s="90">
        <f>+J29</f>
        <v>0</v>
      </c>
      <c r="K28" s="73">
        <f>+K29</f>
        <v>0</v>
      </c>
      <c r="L28" s="74">
        <f>+G28-H28</f>
        <v>0</v>
      </c>
      <c r="M28" s="74">
        <f>+M29</f>
        <v>0</v>
      </c>
      <c r="N28" s="76"/>
      <c r="O28" s="70">
        <f>+O29</f>
        <v>0</v>
      </c>
      <c r="P28" s="74">
        <f>H28+O28</f>
        <v>0</v>
      </c>
      <c r="R28" s="24">
        <f t="shared" si="6"/>
        <v>21</v>
      </c>
      <c r="S28" s="38" t="s">
        <v>27</v>
      </c>
      <c r="T28" s="70">
        <v>0</v>
      </c>
      <c r="U28" s="71">
        <v>0</v>
      </c>
      <c r="V28" s="71">
        <v>0</v>
      </c>
      <c r="W28" s="71">
        <v>0</v>
      </c>
      <c r="X28" s="71">
        <v>0</v>
      </c>
      <c r="Y28" s="72">
        <v>0</v>
      </c>
      <c r="Z28" s="90"/>
      <c r="AA28" s="90">
        <v>0</v>
      </c>
      <c r="AB28" s="73">
        <v>0</v>
      </c>
      <c r="AC28" s="74">
        <v>0</v>
      </c>
      <c r="AD28" s="74">
        <v>0</v>
      </c>
      <c r="AE28" s="1036"/>
      <c r="AF28" s="70">
        <v>0</v>
      </c>
      <c r="AG28" s="74">
        <v>0</v>
      </c>
    </row>
    <row r="29" spans="1:33">
      <c r="A29" s="29">
        <f t="shared" si="2"/>
        <v>22</v>
      </c>
      <c r="B29" s="43" t="s">
        <v>34</v>
      </c>
      <c r="C29" s="60">
        <f>+C30</f>
        <v>0</v>
      </c>
      <c r="D29" s="60">
        <f t="shared" si="10"/>
        <v>0</v>
      </c>
      <c r="E29" s="60">
        <f t="shared" si="10"/>
        <v>0</v>
      </c>
      <c r="F29" s="60">
        <f t="shared" si="10"/>
        <v>0</v>
      </c>
      <c r="G29" s="60">
        <f t="shared" si="10"/>
        <v>0</v>
      </c>
      <c r="H29" s="61">
        <f t="shared" si="10"/>
        <v>0</v>
      </c>
      <c r="I29" s="78"/>
      <c r="J29" s="78">
        <f t="shared" si="10"/>
        <v>0</v>
      </c>
      <c r="K29" s="62">
        <f t="shared" si="10"/>
        <v>0</v>
      </c>
      <c r="L29" s="63">
        <f t="shared" si="10"/>
        <v>0</v>
      </c>
      <c r="M29" s="63">
        <f t="shared" si="10"/>
        <v>0</v>
      </c>
      <c r="N29" s="76"/>
      <c r="O29" s="59">
        <f t="shared" si="10"/>
        <v>0</v>
      </c>
      <c r="P29" s="63">
        <f t="shared" si="5"/>
        <v>0</v>
      </c>
      <c r="R29" s="29">
        <f t="shared" si="6"/>
        <v>22</v>
      </c>
      <c r="S29" s="43" t="s">
        <v>34</v>
      </c>
      <c r="T29" s="59">
        <v>0</v>
      </c>
      <c r="U29" s="60">
        <v>0</v>
      </c>
      <c r="V29" s="60">
        <v>0</v>
      </c>
      <c r="W29" s="60">
        <v>0</v>
      </c>
      <c r="X29" s="60">
        <v>0</v>
      </c>
      <c r="Y29" s="61">
        <v>0</v>
      </c>
      <c r="Z29" s="78"/>
      <c r="AA29" s="78">
        <v>0</v>
      </c>
      <c r="AB29" s="62">
        <v>0</v>
      </c>
      <c r="AC29" s="63">
        <v>0</v>
      </c>
      <c r="AD29" s="63">
        <v>0</v>
      </c>
      <c r="AE29" s="1036"/>
      <c r="AF29" s="59">
        <v>0</v>
      </c>
      <c r="AG29" s="63">
        <v>0</v>
      </c>
    </row>
    <row r="30" spans="1:33">
      <c r="A30" s="25">
        <f t="shared" si="2"/>
        <v>23</v>
      </c>
      <c r="B30" s="37" t="s">
        <v>60</v>
      </c>
      <c r="C30" s="91"/>
      <c r="D30" s="92"/>
      <c r="E30" s="92"/>
      <c r="F30" s="92"/>
      <c r="G30" s="65">
        <f>+C30+E30</f>
        <v>0</v>
      </c>
      <c r="H30" s="66">
        <f>+D30+F30</f>
        <v>0</v>
      </c>
      <c r="I30" s="93"/>
      <c r="J30" s="93"/>
      <c r="K30" s="91"/>
      <c r="L30" s="68">
        <f>+G30-H30</f>
        <v>0</v>
      </c>
      <c r="M30" s="68"/>
      <c r="N30" s="76"/>
      <c r="O30" s="94"/>
      <c r="P30" s="68">
        <f t="shared" si="5"/>
        <v>0</v>
      </c>
      <c r="R30" s="25">
        <f t="shared" si="6"/>
        <v>23</v>
      </c>
      <c r="S30" s="37" t="s">
        <v>60</v>
      </c>
      <c r="T30" s="94"/>
      <c r="U30" s="92"/>
      <c r="V30" s="92"/>
      <c r="W30" s="92"/>
      <c r="X30" s="65">
        <v>0</v>
      </c>
      <c r="Y30" s="66">
        <v>0</v>
      </c>
      <c r="Z30" s="93"/>
      <c r="AA30" s="93"/>
      <c r="AB30" s="91"/>
      <c r="AC30" s="68">
        <v>0</v>
      </c>
      <c r="AD30" s="68"/>
      <c r="AE30" s="1036"/>
      <c r="AF30" s="94"/>
      <c r="AG30" s="68">
        <v>0</v>
      </c>
    </row>
    <row r="31" spans="1:33">
      <c r="A31" s="24">
        <f t="shared" si="2"/>
        <v>24</v>
      </c>
      <c r="B31" s="38" t="s">
        <v>32</v>
      </c>
      <c r="C31" s="70">
        <f>+C32</f>
        <v>0</v>
      </c>
      <c r="D31" s="71">
        <f t="shared" ref="D31:O32" si="11">+D32</f>
        <v>0</v>
      </c>
      <c r="E31" s="71">
        <f t="shared" si="11"/>
        <v>0</v>
      </c>
      <c r="F31" s="71">
        <f t="shared" si="11"/>
        <v>0</v>
      </c>
      <c r="G31" s="71">
        <f>+C31+E31</f>
        <v>0</v>
      </c>
      <c r="H31" s="72">
        <f>+D31+F31</f>
        <v>0</v>
      </c>
      <c r="I31" s="90"/>
      <c r="J31" s="90">
        <f>+J32</f>
        <v>0</v>
      </c>
      <c r="K31" s="73">
        <f>+K32</f>
        <v>0</v>
      </c>
      <c r="L31" s="74">
        <f>+G31-H31</f>
        <v>0</v>
      </c>
      <c r="M31" s="74">
        <f>+M32</f>
        <v>0</v>
      </c>
      <c r="N31" s="76"/>
      <c r="O31" s="70">
        <f>+O32</f>
        <v>0</v>
      </c>
      <c r="P31" s="74">
        <f>H31+O31</f>
        <v>0</v>
      </c>
      <c r="R31" s="24">
        <f t="shared" si="6"/>
        <v>24</v>
      </c>
      <c r="S31" s="38" t="s">
        <v>32</v>
      </c>
      <c r="T31" s="70">
        <v>0</v>
      </c>
      <c r="U31" s="71">
        <v>0</v>
      </c>
      <c r="V31" s="71">
        <v>0</v>
      </c>
      <c r="W31" s="71">
        <v>0</v>
      </c>
      <c r="X31" s="71">
        <v>0</v>
      </c>
      <c r="Y31" s="72">
        <v>0</v>
      </c>
      <c r="Z31" s="90"/>
      <c r="AA31" s="90">
        <v>0</v>
      </c>
      <c r="AB31" s="73">
        <v>0</v>
      </c>
      <c r="AC31" s="74">
        <v>0</v>
      </c>
      <c r="AD31" s="74">
        <v>0</v>
      </c>
      <c r="AE31" s="1036"/>
      <c r="AF31" s="70">
        <v>0</v>
      </c>
      <c r="AG31" s="74">
        <v>0</v>
      </c>
    </row>
    <row r="32" spans="1:33">
      <c r="A32" s="46">
        <f t="shared" si="2"/>
        <v>25</v>
      </c>
      <c r="B32" s="47" t="s">
        <v>39</v>
      </c>
      <c r="C32" s="60">
        <f>+C33</f>
        <v>0</v>
      </c>
      <c r="D32" s="60">
        <f t="shared" si="11"/>
        <v>0</v>
      </c>
      <c r="E32" s="60">
        <f t="shared" si="11"/>
        <v>0</v>
      </c>
      <c r="F32" s="60">
        <f t="shared" si="11"/>
        <v>0</v>
      </c>
      <c r="G32" s="60">
        <f t="shared" si="11"/>
        <v>0</v>
      </c>
      <c r="H32" s="61">
        <f t="shared" si="11"/>
        <v>0</v>
      </c>
      <c r="I32" s="78"/>
      <c r="J32" s="78">
        <f t="shared" si="11"/>
        <v>0</v>
      </c>
      <c r="K32" s="62">
        <f t="shared" si="11"/>
        <v>0</v>
      </c>
      <c r="L32" s="63">
        <f t="shared" si="11"/>
        <v>0</v>
      </c>
      <c r="M32" s="63">
        <f t="shared" si="11"/>
        <v>0</v>
      </c>
      <c r="N32" s="76"/>
      <c r="O32" s="59">
        <f t="shared" si="11"/>
        <v>0</v>
      </c>
      <c r="P32" s="63">
        <f t="shared" si="5"/>
        <v>0</v>
      </c>
      <c r="R32" s="46">
        <f t="shared" si="6"/>
        <v>25</v>
      </c>
      <c r="S32" s="47" t="s">
        <v>39</v>
      </c>
      <c r="T32" s="59">
        <v>0</v>
      </c>
      <c r="U32" s="60">
        <v>0</v>
      </c>
      <c r="V32" s="60">
        <v>0</v>
      </c>
      <c r="W32" s="60">
        <v>0</v>
      </c>
      <c r="X32" s="60">
        <v>0</v>
      </c>
      <c r="Y32" s="61">
        <v>0</v>
      </c>
      <c r="Z32" s="78"/>
      <c r="AA32" s="78">
        <v>0</v>
      </c>
      <c r="AB32" s="62">
        <v>0</v>
      </c>
      <c r="AC32" s="63">
        <v>0</v>
      </c>
      <c r="AD32" s="63">
        <v>0</v>
      </c>
      <c r="AE32" s="1036"/>
      <c r="AF32" s="59">
        <v>0</v>
      </c>
      <c r="AG32" s="63">
        <v>0</v>
      </c>
    </row>
    <row r="33" spans="1:33" ht="15.75" thickBot="1">
      <c r="A33" s="25">
        <f t="shared" si="2"/>
        <v>26</v>
      </c>
      <c r="B33" s="37" t="s">
        <v>60</v>
      </c>
      <c r="C33" s="86"/>
      <c r="D33" s="87"/>
      <c r="E33" s="87"/>
      <c r="F33" s="87"/>
      <c r="G33" s="65">
        <f>+C33+E33</f>
        <v>0</v>
      </c>
      <c r="H33" s="66">
        <f>+D33+F33</f>
        <v>0</v>
      </c>
      <c r="I33" s="88"/>
      <c r="J33" s="88"/>
      <c r="K33" s="86"/>
      <c r="L33" s="68">
        <f>+G33-H33</f>
        <v>0</v>
      </c>
      <c r="M33" s="68"/>
      <c r="N33" s="76"/>
      <c r="O33" s="89"/>
      <c r="P33" s="68">
        <f t="shared" si="5"/>
        <v>0</v>
      </c>
      <c r="R33" s="25">
        <f t="shared" si="6"/>
        <v>26</v>
      </c>
      <c r="S33" s="37" t="s">
        <v>60</v>
      </c>
      <c r="T33" s="89"/>
      <c r="U33" s="87"/>
      <c r="V33" s="87"/>
      <c r="W33" s="87"/>
      <c r="X33" s="65">
        <v>0</v>
      </c>
      <c r="Y33" s="66">
        <v>0</v>
      </c>
      <c r="Z33" s="88"/>
      <c r="AA33" s="88"/>
      <c r="AB33" s="86"/>
      <c r="AC33" s="68">
        <v>0</v>
      </c>
      <c r="AD33" s="68"/>
      <c r="AE33" s="1036"/>
      <c r="AF33" s="89"/>
      <c r="AG33" s="68">
        <v>0</v>
      </c>
    </row>
    <row r="34" spans="1:33" ht="15.75" thickBot="1">
      <c r="A34" s="31">
        <f t="shared" si="2"/>
        <v>27</v>
      </c>
      <c r="B34" s="39" t="s">
        <v>23</v>
      </c>
      <c r="C34" s="95">
        <f t="shared" ref="C34:H34" si="12">+C7+C21+C28+C31</f>
        <v>0</v>
      </c>
      <c r="D34" s="96">
        <f t="shared" si="12"/>
        <v>0</v>
      </c>
      <c r="E34" s="96">
        <f t="shared" si="12"/>
        <v>3212.4</v>
      </c>
      <c r="F34" s="96">
        <f t="shared" si="12"/>
        <v>3212</v>
      </c>
      <c r="G34" s="96">
        <f t="shared" si="12"/>
        <v>3212.4</v>
      </c>
      <c r="H34" s="97">
        <f t="shared" si="12"/>
        <v>3212</v>
      </c>
      <c r="I34" s="98"/>
      <c r="J34" s="98">
        <f>+J7+J21+J28+J31</f>
        <v>0</v>
      </c>
      <c r="K34" s="99">
        <f>+K7+K21+K28+K31</f>
        <v>0</v>
      </c>
      <c r="L34" s="100">
        <f>+L7+L21+L28+L31</f>
        <v>0.40000000000009095</v>
      </c>
      <c r="M34" s="100">
        <f>+M7+M21+M28+M31</f>
        <v>0</v>
      </c>
      <c r="N34" s="101"/>
      <c r="O34" s="95">
        <f>+O7+O21+O28+O31</f>
        <v>0</v>
      </c>
      <c r="P34" s="100">
        <f>+P7+P21+P28+P31</f>
        <v>3212</v>
      </c>
      <c r="R34" s="31">
        <f t="shared" si="6"/>
        <v>27</v>
      </c>
      <c r="S34" s="39" t="s">
        <v>23</v>
      </c>
      <c r="T34" s="95">
        <v>0</v>
      </c>
      <c r="U34" s="96">
        <v>0</v>
      </c>
      <c r="V34" s="96">
        <v>3212.4</v>
      </c>
      <c r="W34" s="96">
        <v>0</v>
      </c>
      <c r="X34" s="96">
        <v>3212.4</v>
      </c>
      <c r="Y34" s="97">
        <v>0</v>
      </c>
      <c r="Z34" s="98"/>
      <c r="AA34" s="98">
        <v>0</v>
      </c>
      <c r="AB34" s="99">
        <v>0</v>
      </c>
      <c r="AC34" s="100">
        <v>3212.4</v>
      </c>
      <c r="AD34" s="100">
        <v>0</v>
      </c>
      <c r="AE34" s="101"/>
      <c r="AF34" s="95">
        <v>0</v>
      </c>
      <c r="AG34" s="100">
        <v>0</v>
      </c>
    </row>
  </sheetData>
  <mergeCells count="24">
    <mergeCell ref="A4:A6"/>
    <mergeCell ref="B4:B6"/>
    <mergeCell ref="C4:D4"/>
    <mergeCell ref="E4:F4"/>
    <mergeCell ref="G4:H4"/>
    <mergeCell ref="I4:I5"/>
    <mergeCell ref="J4:J5"/>
    <mergeCell ref="K4:K5"/>
    <mergeCell ref="L4:L5"/>
    <mergeCell ref="M4:M5"/>
    <mergeCell ref="O4:O5"/>
    <mergeCell ref="P4:P5"/>
    <mergeCell ref="R4:R6"/>
    <mergeCell ref="S4:S6"/>
    <mergeCell ref="T4:U4"/>
    <mergeCell ref="V4:W4"/>
    <mergeCell ref="X4:Y4"/>
    <mergeCell ref="Z4:Z5"/>
    <mergeCell ref="AA4:AA5"/>
    <mergeCell ref="AB4:AB5"/>
    <mergeCell ref="AC4:AC5"/>
    <mergeCell ref="AD4:AD5"/>
    <mergeCell ref="AF4:AF5"/>
    <mergeCell ref="AG4:AG5"/>
  </mergeCell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dimension ref="A1:AG34"/>
  <sheetViews>
    <sheetView zoomScale="85" zoomScaleNormal="85" workbookViewId="0">
      <selection activeCell="D22" sqref="D22"/>
    </sheetView>
  </sheetViews>
  <sheetFormatPr defaultRowHeight="15"/>
  <cols>
    <col min="1" max="1" width="9.42578125" customWidth="1"/>
    <col min="2" max="2" width="45.85546875" customWidth="1"/>
    <col min="3" max="3" width="12.7109375" customWidth="1"/>
    <col min="4" max="4" width="11.5703125" customWidth="1"/>
    <col min="5" max="5" width="11.28515625" customWidth="1"/>
    <col min="6" max="6" width="11.5703125" customWidth="1"/>
    <col min="7" max="7" width="10.85546875" customWidth="1"/>
    <col min="8" max="9" width="10.42578125" customWidth="1"/>
    <col min="10" max="10" width="12.5703125" customWidth="1"/>
    <col min="11" max="11" width="10.5703125" customWidth="1"/>
    <col min="12" max="12" width="14" customWidth="1"/>
    <col min="13" max="13" width="12.42578125" customWidth="1"/>
    <col min="14" max="14" width="1.7109375" customWidth="1"/>
    <col min="15" max="15" width="11" customWidth="1"/>
    <col min="16" max="16" width="10.85546875" customWidth="1"/>
    <col min="18" max="18" width="9.42578125" hidden="1" customWidth="1"/>
    <col min="19" max="19" width="45.85546875" hidden="1" customWidth="1"/>
    <col min="20" max="20" width="12.7109375" hidden="1" customWidth="1"/>
    <col min="21" max="21" width="11.5703125" hidden="1" customWidth="1"/>
    <col min="22" max="22" width="11.28515625" hidden="1" customWidth="1"/>
    <col min="23" max="23" width="11.5703125" hidden="1" customWidth="1"/>
    <col min="24" max="25" width="12.140625" hidden="1" customWidth="1"/>
    <col min="26" max="26" width="10.42578125" hidden="1" customWidth="1"/>
    <col min="27" max="27" width="12.5703125" hidden="1" customWidth="1"/>
    <col min="28" max="28" width="10.5703125" hidden="1" customWidth="1"/>
    <col min="29" max="29" width="14" hidden="1" customWidth="1"/>
    <col min="30" max="30" width="12.42578125" hidden="1" customWidth="1"/>
    <col min="31" max="31" width="1.7109375" hidden="1" customWidth="1"/>
    <col min="32" max="32" width="11" hidden="1" customWidth="1"/>
    <col min="33" max="33" width="10.85546875" hidden="1" customWidth="1"/>
  </cols>
  <sheetData>
    <row r="1" spans="1:33" ht="15.75">
      <c r="A1" s="102" t="s">
        <v>116</v>
      </c>
      <c r="B1" s="28"/>
      <c r="C1" s="20"/>
      <c r="D1" s="20"/>
      <c r="E1" s="20"/>
      <c r="F1" s="20"/>
      <c r="G1" s="20"/>
      <c r="H1" s="20"/>
      <c r="I1" s="20"/>
      <c r="J1" s="20"/>
      <c r="K1" s="20"/>
      <c r="L1" s="20"/>
      <c r="M1" s="20"/>
      <c r="N1" s="22"/>
      <c r="O1" s="20"/>
      <c r="P1" s="20"/>
    </row>
    <row r="2" spans="1:33" ht="15.75">
      <c r="A2" s="3"/>
      <c r="B2" s="2" t="s">
        <v>43</v>
      </c>
      <c r="C2" s="20"/>
      <c r="D2" s="20"/>
      <c r="E2" s="20"/>
      <c r="F2" s="20"/>
      <c r="G2" s="20"/>
      <c r="H2" s="20"/>
      <c r="I2" s="20"/>
      <c r="J2" s="20"/>
      <c r="K2" s="20"/>
      <c r="L2" s="20"/>
      <c r="M2" s="20"/>
      <c r="N2" s="22"/>
      <c r="O2" s="20"/>
      <c r="P2" s="20"/>
    </row>
    <row r="3" spans="1:33" ht="16.5" thickBot="1">
      <c r="A3" s="20"/>
      <c r="B3" s="19"/>
      <c r="C3" s="20"/>
      <c r="D3" s="20"/>
      <c r="E3" s="20"/>
      <c r="F3" s="20"/>
      <c r="G3" s="20"/>
      <c r="H3" s="20"/>
      <c r="I3" s="20"/>
      <c r="J3" s="20"/>
      <c r="K3" s="20"/>
      <c r="L3" s="20"/>
      <c r="M3" s="20"/>
      <c r="N3" s="22"/>
      <c r="O3" s="20"/>
      <c r="P3" s="23" t="s">
        <v>2</v>
      </c>
    </row>
    <row r="4" spans="1:33">
      <c r="A4" s="1357" t="s">
        <v>1</v>
      </c>
      <c r="B4" s="1354" t="s">
        <v>46</v>
      </c>
      <c r="C4" s="1394" t="s">
        <v>18</v>
      </c>
      <c r="D4" s="1361"/>
      <c r="E4" s="1361" t="s">
        <v>19</v>
      </c>
      <c r="F4" s="1361"/>
      <c r="G4" s="1364" t="s">
        <v>20</v>
      </c>
      <c r="H4" s="1365"/>
      <c r="I4" s="1349" t="s">
        <v>47</v>
      </c>
      <c r="J4" s="1349" t="s">
        <v>48</v>
      </c>
      <c r="K4" s="1351" t="s">
        <v>49</v>
      </c>
      <c r="L4" s="1362" t="s">
        <v>117</v>
      </c>
      <c r="M4" s="1370" t="s">
        <v>118</v>
      </c>
      <c r="N4" s="9"/>
      <c r="O4" s="1366" t="s">
        <v>65</v>
      </c>
      <c r="P4" s="1368" t="s">
        <v>21</v>
      </c>
      <c r="R4" s="1357" t="s">
        <v>1</v>
      </c>
      <c r="S4" s="1354" t="s">
        <v>46</v>
      </c>
      <c r="T4" s="1360" t="s">
        <v>18</v>
      </c>
      <c r="U4" s="1361"/>
      <c r="V4" s="1361" t="s">
        <v>19</v>
      </c>
      <c r="W4" s="1361"/>
      <c r="X4" s="1364" t="s">
        <v>20</v>
      </c>
      <c r="Y4" s="1365"/>
      <c r="Z4" s="1349" t="s">
        <v>47</v>
      </c>
      <c r="AA4" s="1349" t="s">
        <v>48</v>
      </c>
      <c r="AB4" s="1351" t="s">
        <v>49</v>
      </c>
      <c r="AC4" s="1362" t="s">
        <v>62</v>
      </c>
      <c r="AD4" s="1370" t="s">
        <v>69</v>
      </c>
      <c r="AE4" s="1037"/>
      <c r="AF4" s="1366" t="s">
        <v>65</v>
      </c>
      <c r="AG4" s="1368" t="s">
        <v>21</v>
      </c>
    </row>
    <row r="5" spans="1:33">
      <c r="A5" s="1358"/>
      <c r="B5" s="1355"/>
      <c r="C5" s="10" t="s">
        <v>26</v>
      </c>
      <c r="D5" s="11" t="s">
        <v>50</v>
      </c>
      <c r="E5" s="10" t="s">
        <v>12</v>
      </c>
      <c r="F5" s="11" t="s">
        <v>16</v>
      </c>
      <c r="G5" s="11" t="s">
        <v>12</v>
      </c>
      <c r="H5" s="33" t="s">
        <v>16</v>
      </c>
      <c r="I5" s="1350"/>
      <c r="J5" s="1350"/>
      <c r="K5" s="1352"/>
      <c r="L5" s="1363"/>
      <c r="M5" s="1371"/>
      <c r="N5" s="9"/>
      <c r="O5" s="1367"/>
      <c r="P5" s="1369"/>
      <c r="R5" s="1358"/>
      <c r="S5" s="1355"/>
      <c r="T5" s="1077" t="s">
        <v>26</v>
      </c>
      <c r="U5" s="11" t="s">
        <v>50</v>
      </c>
      <c r="V5" s="10" t="s">
        <v>12</v>
      </c>
      <c r="W5" s="11" t="s">
        <v>16</v>
      </c>
      <c r="X5" s="11" t="s">
        <v>12</v>
      </c>
      <c r="Y5" s="33" t="s">
        <v>16</v>
      </c>
      <c r="Z5" s="1350"/>
      <c r="AA5" s="1350"/>
      <c r="AB5" s="1352"/>
      <c r="AC5" s="1363"/>
      <c r="AD5" s="1371"/>
      <c r="AE5" s="1037"/>
      <c r="AF5" s="1367"/>
      <c r="AG5" s="1369"/>
    </row>
    <row r="6" spans="1:33" ht="15.75" thickBot="1">
      <c r="A6" s="1359"/>
      <c r="B6" s="1356"/>
      <c r="C6" s="12" t="s">
        <v>4</v>
      </c>
      <c r="D6" s="13" t="s">
        <v>5</v>
      </c>
      <c r="E6" s="13" t="s">
        <v>6</v>
      </c>
      <c r="F6" s="13" t="s">
        <v>7</v>
      </c>
      <c r="G6" s="13" t="s">
        <v>13</v>
      </c>
      <c r="H6" s="34" t="s">
        <v>14</v>
      </c>
      <c r="I6" s="45" t="s">
        <v>28</v>
      </c>
      <c r="J6" s="45" t="s">
        <v>31</v>
      </c>
      <c r="K6" s="32" t="s">
        <v>9</v>
      </c>
      <c r="L6" s="14" t="s">
        <v>22</v>
      </c>
      <c r="M6" s="14" t="s">
        <v>63</v>
      </c>
      <c r="N6" s="9"/>
      <c r="O6" s="44" t="s">
        <v>10</v>
      </c>
      <c r="P6" s="14" t="s">
        <v>64</v>
      </c>
      <c r="R6" s="1359"/>
      <c r="S6" s="1356"/>
      <c r="T6" s="1078" t="s">
        <v>4</v>
      </c>
      <c r="U6" s="13" t="s">
        <v>5</v>
      </c>
      <c r="V6" s="13" t="s">
        <v>6</v>
      </c>
      <c r="W6" s="13" t="s">
        <v>7</v>
      </c>
      <c r="X6" s="13" t="s">
        <v>13</v>
      </c>
      <c r="Y6" s="34" t="s">
        <v>14</v>
      </c>
      <c r="Z6" s="45" t="s">
        <v>28</v>
      </c>
      <c r="AA6" s="45" t="s">
        <v>31</v>
      </c>
      <c r="AB6" s="32" t="s">
        <v>9</v>
      </c>
      <c r="AC6" s="14" t="s">
        <v>22</v>
      </c>
      <c r="AD6" s="14" t="s">
        <v>63</v>
      </c>
      <c r="AE6" s="1037"/>
      <c r="AF6" s="44" t="s">
        <v>10</v>
      </c>
      <c r="AG6" s="14" t="s">
        <v>64</v>
      </c>
    </row>
    <row r="7" spans="1:33">
      <c r="A7" s="24">
        <v>1</v>
      </c>
      <c r="B7" s="38" t="s">
        <v>15</v>
      </c>
      <c r="C7" s="219">
        <f t="shared" ref="C7:L7" si="0">+C8+C12</f>
        <v>272061</v>
      </c>
      <c r="D7" s="219">
        <f t="shared" si="0"/>
        <v>271933</v>
      </c>
      <c r="E7" s="219">
        <f t="shared" si="0"/>
        <v>2937</v>
      </c>
      <c r="F7" s="219">
        <f t="shared" si="0"/>
        <v>2937</v>
      </c>
      <c r="G7" s="219">
        <f t="shared" si="0"/>
        <v>274998</v>
      </c>
      <c r="H7" s="220">
        <f t="shared" si="0"/>
        <v>274870</v>
      </c>
      <c r="I7" s="221">
        <v>0</v>
      </c>
      <c r="J7" s="221">
        <f t="shared" si="0"/>
        <v>79</v>
      </c>
      <c r="K7" s="222">
        <f t="shared" si="0"/>
        <v>12395</v>
      </c>
      <c r="L7" s="223">
        <f t="shared" si="0"/>
        <v>128</v>
      </c>
      <c r="M7" s="223">
        <f>+M8+M12</f>
        <v>110</v>
      </c>
      <c r="N7" s="84"/>
      <c r="O7" s="224">
        <v>0</v>
      </c>
      <c r="P7" s="223">
        <f>+P8+P12</f>
        <v>274870</v>
      </c>
      <c r="R7" s="24">
        <v>1</v>
      </c>
      <c r="S7" s="38" t="s">
        <v>15</v>
      </c>
      <c r="T7" s="54">
        <v>272061</v>
      </c>
      <c r="U7" s="55">
        <v>271933</v>
      </c>
      <c r="V7" s="55">
        <v>2937</v>
      </c>
      <c r="W7" s="55">
        <v>2937</v>
      </c>
      <c r="X7" s="55">
        <v>274998</v>
      </c>
      <c r="Y7" s="56">
        <v>274870</v>
      </c>
      <c r="Z7" s="75">
        <v>0</v>
      </c>
      <c r="AA7" s="75">
        <v>79</v>
      </c>
      <c r="AB7" s="57">
        <v>12395</v>
      </c>
      <c r="AC7" s="58">
        <v>128</v>
      </c>
      <c r="AD7" s="58">
        <v>110</v>
      </c>
      <c r="AE7" s="1036"/>
      <c r="AF7" s="54">
        <v>0</v>
      </c>
      <c r="AG7" s="58">
        <v>274870</v>
      </c>
    </row>
    <row r="8" spans="1:33">
      <c r="A8" s="48">
        <f>A7+1</f>
        <v>2</v>
      </c>
      <c r="B8" s="35" t="s">
        <v>35</v>
      </c>
      <c r="C8" s="60">
        <f t="shared" ref="C8:L8" si="1">SUM(C9:C11)</f>
        <v>201357</v>
      </c>
      <c r="D8" s="60">
        <f t="shared" si="1"/>
        <v>201229</v>
      </c>
      <c r="E8" s="60">
        <f t="shared" si="1"/>
        <v>2937</v>
      </c>
      <c r="F8" s="60">
        <f t="shared" si="1"/>
        <v>2937</v>
      </c>
      <c r="G8" s="60">
        <f t="shared" si="1"/>
        <v>204294</v>
      </c>
      <c r="H8" s="66">
        <f t="shared" si="1"/>
        <v>204166</v>
      </c>
      <c r="I8" s="77">
        <v>0</v>
      </c>
      <c r="J8" s="78">
        <f t="shared" si="1"/>
        <v>79</v>
      </c>
      <c r="K8" s="62">
        <f t="shared" si="1"/>
        <v>9749</v>
      </c>
      <c r="L8" s="63">
        <f t="shared" si="1"/>
        <v>128</v>
      </c>
      <c r="M8" s="63">
        <f>SUM(M9:M11)</f>
        <v>110</v>
      </c>
      <c r="N8" s="76"/>
      <c r="O8" s="59">
        <v>0</v>
      </c>
      <c r="P8" s="63">
        <f>SUM(P9:P11)</f>
        <v>204166</v>
      </c>
      <c r="R8" s="48">
        <f>R7+1</f>
        <v>2</v>
      </c>
      <c r="S8" s="35" t="s">
        <v>35</v>
      </c>
      <c r="T8" s="59">
        <v>201357</v>
      </c>
      <c r="U8" s="60">
        <v>201229</v>
      </c>
      <c r="V8" s="60">
        <v>2937</v>
      </c>
      <c r="W8" s="60">
        <v>2937</v>
      </c>
      <c r="X8" s="60">
        <v>204294</v>
      </c>
      <c r="Y8" s="61">
        <v>204166</v>
      </c>
      <c r="Z8" s="77">
        <v>0</v>
      </c>
      <c r="AA8" s="78">
        <v>79</v>
      </c>
      <c r="AB8" s="62">
        <v>9749</v>
      </c>
      <c r="AC8" s="63">
        <v>128</v>
      </c>
      <c r="AD8" s="63">
        <v>110</v>
      </c>
      <c r="AE8" s="1036"/>
      <c r="AF8" s="59">
        <v>0</v>
      </c>
      <c r="AG8" s="63">
        <v>204166</v>
      </c>
    </row>
    <row r="9" spans="1:33">
      <c r="A9" s="25">
        <f t="shared" ref="A9:A27" si="2">A8+1</f>
        <v>3</v>
      </c>
      <c r="B9" s="36" t="s">
        <v>58</v>
      </c>
      <c r="C9" s="65">
        <v>200911</v>
      </c>
      <c r="D9" s="65">
        <v>200911</v>
      </c>
      <c r="E9" s="65">
        <v>2937</v>
      </c>
      <c r="F9" s="65">
        <v>2937</v>
      </c>
      <c r="G9" s="65">
        <f t="shared" ref="G9:H11" si="3">+C9+E9</f>
        <v>203848</v>
      </c>
      <c r="H9" s="66">
        <f t="shared" si="3"/>
        <v>203848</v>
      </c>
      <c r="I9" s="79">
        <v>0</v>
      </c>
      <c r="J9" s="80">
        <v>0</v>
      </c>
      <c r="K9" s="67">
        <v>9745</v>
      </c>
      <c r="L9" s="68">
        <f t="shared" ref="L9:L19" si="4">+G9-H9</f>
        <v>0</v>
      </c>
      <c r="M9" s="68">
        <v>0</v>
      </c>
      <c r="N9" s="76"/>
      <c r="O9" s="64">
        <v>0</v>
      </c>
      <c r="P9" s="68">
        <f t="shared" ref="P9:P25" si="5">H9+O9</f>
        <v>203848</v>
      </c>
      <c r="R9" s="25">
        <f t="shared" ref="R9:R34" si="6">R8+1</f>
        <v>3</v>
      </c>
      <c r="S9" s="36" t="s">
        <v>58</v>
      </c>
      <c r="T9" s="64">
        <v>200911</v>
      </c>
      <c r="U9" s="65">
        <v>200911</v>
      </c>
      <c r="V9" s="65">
        <v>2937</v>
      </c>
      <c r="W9" s="65">
        <v>2937</v>
      </c>
      <c r="X9" s="65">
        <v>203848</v>
      </c>
      <c r="Y9" s="66">
        <v>203848</v>
      </c>
      <c r="Z9" s="80">
        <v>0</v>
      </c>
      <c r="AA9" s="80">
        <v>0</v>
      </c>
      <c r="AB9" s="67">
        <v>9745</v>
      </c>
      <c r="AC9" s="68">
        <v>0</v>
      </c>
      <c r="AD9" s="68">
        <v>0</v>
      </c>
      <c r="AE9" s="1036"/>
      <c r="AF9" s="64">
        <v>0</v>
      </c>
      <c r="AG9" s="68">
        <v>203848</v>
      </c>
    </row>
    <row r="10" spans="1:33">
      <c r="A10" s="25">
        <f t="shared" si="2"/>
        <v>4</v>
      </c>
      <c r="B10" s="36" t="s">
        <v>36</v>
      </c>
      <c r="C10" s="65">
        <v>334</v>
      </c>
      <c r="D10" s="65">
        <v>240</v>
      </c>
      <c r="E10" s="65">
        <v>0</v>
      </c>
      <c r="F10" s="65">
        <v>0</v>
      </c>
      <c r="G10" s="65">
        <f t="shared" si="3"/>
        <v>334</v>
      </c>
      <c r="H10" s="66">
        <f t="shared" si="3"/>
        <v>240</v>
      </c>
      <c r="I10" s="79">
        <v>0</v>
      </c>
      <c r="J10" s="80">
        <v>0</v>
      </c>
      <c r="K10" s="67">
        <v>4</v>
      </c>
      <c r="L10" s="225">
        <f t="shared" si="4"/>
        <v>94</v>
      </c>
      <c r="M10" s="225">
        <v>76</v>
      </c>
      <c r="N10" s="226"/>
      <c r="O10" s="227">
        <v>0</v>
      </c>
      <c r="P10" s="225">
        <f t="shared" si="5"/>
        <v>240</v>
      </c>
      <c r="R10" s="25">
        <f t="shared" si="6"/>
        <v>4</v>
      </c>
      <c r="S10" s="36" t="s">
        <v>36</v>
      </c>
      <c r="T10" s="64">
        <v>334</v>
      </c>
      <c r="U10" s="65">
        <v>240</v>
      </c>
      <c r="V10" s="65">
        <v>0</v>
      </c>
      <c r="W10" s="65">
        <v>0</v>
      </c>
      <c r="X10" s="65">
        <v>334</v>
      </c>
      <c r="Y10" s="249">
        <v>240</v>
      </c>
      <c r="Z10" s="80">
        <v>0</v>
      </c>
      <c r="AA10" s="80">
        <v>0</v>
      </c>
      <c r="AB10" s="67">
        <v>4</v>
      </c>
      <c r="AC10" s="68">
        <v>94</v>
      </c>
      <c r="AD10" s="68">
        <v>76</v>
      </c>
      <c r="AE10" s="1036"/>
      <c r="AF10" s="64">
        <v>0</v>
      </c>
      <c r="AG10" s="68">
        <v>240</v>
      </c>
    </row>
    <row r="11" spans="1:33">
      <c r="A11" s="25">
        <f t="shared" si="2"/>
        <v>5</v>
      </c>
      <c r="B11" s="36" t="s">
        <v>119</v>
      </c>
      <c r="C11" s="65">
        <v>112</v>
      </c>
      <c r="D11" s="65">
        <v>78</v>
      </c>
      <c r="E11" s="65">
        <v>0</v>
      </c>
      <c r="F11" s="65">
        <v>0</v>
      </c>
      <c r="G11" s="65">
        <f t="shared" si="3"/>
        <v>112</v>
      </c>
      <c r="H11" s="66">
        <f t="shared" si="3"/>
        <v>78</v>
      </c>
      <c r="I11" s="79">
        <v>0</v>
      </c>
      <c r="J11" s="80">
        <v>79</v>
      </c>
      <c r="K11" s="67">
        <v>0</v>
      </c>
      <c r="L11" s="68">
        <f t="shared" si="4"/>
        <v>34</v>
      </c>
      <c r="M11" s="68">
        <v>34</v>
      </c>
      <c r="N11" s="76"/>
      <c r="O11" s="64">
        <v>0</v>
      </c>
      <c r="P11" s="68">
        <f t="shared" si="5"/>
        <v>78</v>
      </c>
      <c r="R11" s="25">
        <f t="shared" si="6"/>
        <v>5</v>
      </c>
      <c r="S11" s="37" t="s">
        <v>30</v>
      </c>
      <c r="T11" s="64"/>
      <c r="U11" s="65"/>
      <c r="V11" s="65"/>
      <c r="W11" s="65"/>
      <c r="X11" s="65"/>
      <c r="Y11" s="66"/>
      <c r="Z11" s="79"/>
      <c r="AA11" s="80"/>
      <c r="AB11" s="67"/>
      <c r="AC11" s="68"/>
      <c r="AD11" s="68"/>
      <c r="AE11" s="1036"/>
      <c r="AF11" s="64"/>
      <c r="AG11" s="68"/>
    </row>
    <row r="12" spans="1:33">
      <c r="A12" s="48">
        <f t="shared" si="2"/>
        <v>6</v>
      </c>
      <c r="B12" s="35" t="s">
        <v>42</v>
      </c>
      <c r="C12" s="60">
        <f>+C13+C15+C17+C18+C19</f>
        <v>70704</v>
      </c>
      <c r="D12" s="60">
        <f t="shared" ref="D12:P12" si="7">+D13+D15+D17+D18+D19</f>
        <v>70704</v>
      </c>
      <c r="E12" s="60">
        <f t="shared" si="7"/>
        <v>0</v>
      </c>
      <c r="F12" s="60">
        <f t="shared" si="7"/>
        <v>0</v>
      </c>
      <c r="G12" s="60">
        <f t="shared" si="7"/>
        <v>70704</v>
      </c>
      <c r="H12" s="228">
        <f t="shared" si="7"/>
        <v>70704</v>
      </c>
      <c r="I12" s="229">
        <f t="shared" si="7"/>
        <v>0</v>
      </c>
      <c r="J12" s="78">
        <f t="shared" si="7"/>
        <v>0</v>
      </c>
      <c r="K12" s="62">
        <f t="shared" si="7"/>
        <v>2646</v>
      </c>
      <c r="L12" s="228">
        <f t="shared" si="7"/>
        <v>0</v>
      </c>
      <c r="M12" s="230">
        <f t="shared" si="7"/>
        <v>0</v>
      </c>
      <c r="N12" s="231"/>
      <c r="O12" s="59">
        <f t="shared" si="7"/>
        <v>0</v>
      </c>
      <c r="P12" s="63">
        <f t="shared" si="7"/>
        <v>70704</v>
      </c>
      <c r="R12" s="48">
        <f t="shared" si="6"/>
        <v>6</v>
      </c>
      <c r="S12" s="35" t="s">
        <v>42</v>
      </c>
      <c r="T12" s="59">
        <v>70704</v>
      </c>
      <c r="U12" s="60">
        <v>70704</v>
      </c>
      <c r="V12" s="60">
        <v>0</v>
      </c>
      <c r="W12" s="60">
        <v>0</v>
      </c>
      <c r="X12" s="60">
        <v>70704</v>
      </c>
      <c r="Y12" s="61">
        <v>70704</v>
      </c>
      <c r="Z12" s="78">
        <v>0</v>
      </c>
      <c r="AA12" s="78">
        <v>0</v>
      </c>
      <c r="AB12" s="62">
        <v>2646</v>
      </c>
      <c r="AC12" s="63">
        <v>0</v>
      </c>
      <c r="AD12" s="63">
        <v>0</v>
      </c>
      <c r="AE12" s="1036"/>
      <c r="AF12" s="59">
        <v>0</v>
      </c>
      <c r="AG12" s="63">
        <v>70704</v>
      </c>
    </row>
    <row r="13" spans="1:33">
      <c r="A13" s="25">
        <f t="shared" si="2"/>
        <v>7</v>
      </c>
      <c r="B13" s="36" t="s">
        <v>51</v>
      </c>
      <c r="C13" s="86">
        <v>29821</v>
      </c>
      <c r="D13" s="86">
        <v>29821</v>
      </c>
      <c r="E13" s="86">
        <v>0</v>
      </c>
      <c r="F13" s="86">
        <v>0</v>
      </c>
      <c r="G13" s="232">
        <v>29821</v>
      </c>
      <c r="H13" s="233">
        <v>29821</v>
      </c>
      <c r="I13" s="234">
        <v>0</v>
      </c>
      <c r="J13" s="88">
        <v>0</v>
      </c>
      <c r="K13" s="86">
        <v>1491</v>
      </c>
      <c r="L13" s="235">
        <f t="shared" si="4"/>
        <v>0</v>
      </c>
      <c r="M13" s="236">
        <v>0</v>
      </c>
      <c r="N13" s="237"/>
      <c r="O13" s="89">
        <v>0</v>
      </c>
      <c r="P13" s="238">
        <v>29821</v>
      </c>
      <c r="R13" s="29">
        <f t="shared" si="6"/>
        <v>7</v>
      </c>
      <c r="S13" s="36" t="s">
        <v>51</v>
      </c>
      <c r="T13" s="85">
        <v>29821</v>
      </c>
      <c r="U13" s="82">
        <v>29821</v>
      </c>
      <c r="V13" s="82">
        <v>0</v>
      </c>
      <c r="W13" s="82">
        <v>0</v>
      </c>
      <c r="X13" s="65">
        <v>29821</v>
      </c>
      <c r="Y13" s="66">
        <v>29821</v>
      </c>
      <c r="Z13" s="79">
        <v>0</v>
      </c>
      <c r="AA13" s="83">
        <v>0</v>
      </c>
      <c r="AB13" s="81">
        <v>1491</v>
      </c>
      <c r="AC13" s="68">
        <v>0</v>
      </c>
      <c r="AD13" s="68">
        <v>0</v>
      </c>
      <c r="AE13" s="706"/>
      <c r="AF13" s="85">
        <v>0</v>
      </c>
      <c r="AG13" s="68">
        <v>29821</v>
      </c>
    </row>
    <row r="14" spans="1:33">
      <c r="A14" s="25">
        <v>8</v>
      </c>
      <c r="B14" s="239" t="s">
        <v>120</v>
      </c>
      <c r="C14" s="240">
        <v>29821</v>
      </c>
      <c r="D14" s="241">
        <v>29821</v>
      </c>
      <c r="E14" s="242">
        <v>0</v>
      </c>
      <c r="F14" s="242">
        <v>0</v>
      </c>
      <c r="G14" s="243">
        <f>+C14+E14</f>
        <v>29821</v>
      </c>
      <c r="H14" s="244">
        <f>+D14+F14</f>
        <v>29821</v>
      </c>
      <c r="I14" s="245">
        <v>0</v>
      </c>
      <c r="J14" s="246">
        <v>0</v>
      </c>
      <c r="K14" s="240">
        <v>1491</v>
      </c>
      <c r="L14" s="235">
        <f t="shared" si="4"/>
        <v>0</v>
      </c>
      <c r="M14" s="235">
        <v>0</v>
      </c>
      <c r="N14" s="247"/>
      <c r="O14" s="248">
        <v>0</v>
      </c>
      <c r="P14" s="235">
        <f t="shared" si="5"/>
        <v>29821</v>
      </c>
      <c r="R14" s="29"/>
      <c r="S14" s="36" t="s">
        <v>61</v>
      </c>
      <c r="T14" s="85">
        <v>29821</v>
      </c>
      <c r="U14" s="82">
        <v>29821</v>
      </c>
      <c r="V14" s="82">
        <v>0</v>
      </c>
      <c r="W14" s="82">
        <v>0</v>
      </c>
      <c r="X14" s="65">
        <v>29821</v>
      </c>
      <c r="Y14" s="66">
        <v>29821</v>
      </c>
      <c r="Z14" s="79">
        <v>0</v>
      </c>
      <c r="AA14" s="83">
        <v>0</v>
      </c>
      <c r="AB14" s="81">
        <v>1491</v>
      </c>
      <c r="AC14" s="68">
        <v>0</v>
      </c>
      <c r="AD14" s="68">
        <v>0</v>
      </c>
      <c r="AE14" s="706"/>
      <c r="AF14" s="85">
        <v>0</v>
      </c>
      <c r="AG14" s="68">
        <v>29821</v>
      </c>
    </row>
    <row r="15" spans="1:33">
      <c r="A15" s="25">
        <v>9</v>
      </c>
      <c r="B15" s="36" t="s">
        <v>52</v>
      </c>
      <c r="C15" s="86">
        <v>1423</v>
      </c>
      <c r="D15" s="87">
        <v>1423</v>
      </c>
      <c r="E15" s="82">
        <v>0</v>
      </c>
      <c r="F15" s="82">
        <v>0</v>
      </c>
      <c r="G15" s="65">
        <f t="shared" ref="G15:H19" si="8">+C15+E15</f>
        <v>1423</v>
      </c>
      <c r="H15" s="249">
        <f t="shared" si="8"/>
        <v>1423</v>
      </c>
      <c r="I15" s="80">
        <v>0</v>
      </c>
      <c r="J15" s="250">
        <v>0</v>
      </c>
      <c r="K15" s="81">
        <v>0</v>
      </c>
      <c r="L15" s="68">
        <f t="shared" si="4"/>
        <v>0</v>
      </c>
      <c r="M15" s="68">
        <v>0</v>
      </c>
      <c r="N15" s="84"/>
      <c r="O15" s="85">
        <v>0</v>
      </c>
      <c r="P15" s="68">
        <f t="shared" si="5"/>
        <v>1423</v>
      </c>
      <c r="R15" s="25">
        <f>R13+1</f>
        <v>8</v>
      </c>
      <c r="S15" s="37" t="s">
        <v>66</v>
      </c>
      <c r="T15" s="89"/>
      <c r="U15" s="87"/>
      <c r="V15" s="87"/>
      <c r="W15" s="87"/>
      <c r="X15" s="65"/>
      <c r="Y15" s="66"/>
      <c r="Z15" s="88"/>
      <c r="AA15" s="88"/>
      <c r="AB15" s="86"/>
      <c r="AC15" s="68"/>
      <c r="AD15" s="68"/>
      <c r="AE15" s="1036"/>
      <c r="AF15" s="89"/>
      <c r="AG15" s="68"/>
    </row>
    <row r="16" spans="1:33">
      <c r="A16" s="25">
        <v>10</v>
      </c>
      <c r="B16" s="239" t="s">
        <v>121</v>
      </c>
      <c r="C16" s="240">
        <v>1423</v>
      </c>
      <c r="D16" s="241">
        <v>1423</v>
      </c>
      <c r="E16" s="241">
        <v>0</v>
      </c>
      <c r="F16" s="241">
        <v>0</v>
      </c>
      <c r="G16" s="243">
        <f t="shared" si="8"/>
        <v>1423</v>
      </c>
      <c r="H16" s="244">
        <f t="shared" si="8"/>
        <v>1423</v>
      </c>
      <c r="I16" s="251">
        <v>0</v>
      </c>
      <c r="J16" s="252">
        <v>0</v>
      </c>
      <c r="K16" s="240">
        <v>0</v>
      </c>
      <c r="L16" s="235">
        <f t="shared" si="4"/>
        <v>0</v>
      </c>
      <c r="M16" s="235">
        <v>0</v>
      </c>
      <c r="N16" s="253"/>
      <c r="O16" s="254">
        <v>0</v>
      </c>
      <c r="P16" s="235">
        <f t="shared" si="5"/>
        <v>1423</v>
      </c>
      <c r="R16" s="29">
        <f t="shared" si="6"/>
        <v>9</v>
      </c>
      <c r="S16" s="36" t="s">
        <v>52</v>
      </c>
      <c r="T16" s="85">
        <v>1423</v>
      </c>
      <c r="U16" s="82">
        <v>1423</v>
      </c>
      <c r="V16" s="82">
        <v>0</v>
      </c>
      <c r="W16" s="82">
        <v>0</v>
      </c>
      <c r="X16" s="65">
        <v>1423</v>
      </c>
      <c r="Y16" s="66">
        <v>1423</v>
      </c>
      <c r="Z16" s="79">
        <v>0</v>
      </c>
      <c r="AA16" s="83">
        <v>0</v>
      </c>
      <c r="AB16" s="81">
        <v>0</v>
      </c>
      <c r="AC16" s="68">
        <v>0</v>
      </c>
      <c r="AD16" s="68">
        <v>0</v>
      </c>
      <c r="AE16" s="706"/>
      <c r="AF16" s="85">
        <v>0</v>
      </c>
      <c r="AG16" s="68">
        <v>1423</v>
      </c>
    </row>
    <row r="17" spans="1:33">
      <c r="A17" s="25">
        <v>11</v>
      </c>
      <c r="B17" s="36" t="s">
        <v>122</v>
      </c>
      <c r="C17" s="86">
        <v>315</v>
      </c>
      <c r="D17" s="87">
        <v>315</v>
      </c>
      <c r="E17" s="87">
        <v>0</v>
      </c>
      <c r="F17" s="241">
        <v>0</v>
      </c>
      <c r="G17" s="65">
        <f>+C17+E17</f>
        <v>315</v>
      </c>
      <c r="H17" s="249">
        <f>+D17+F17</f>
        <v>315</v>
      </c>
      <c r="I17" s="80">
        <v>0</v>
      </c>
      <c r="J17" s="250">
        <v>0</v>
      </c>
      <c r="K17" s="81">
        <v>0</v>
      </c>
      <c r="L17" s="68">
        <f>+G17-H17</f>
        <v>0</v>
      </c>
      <c r="M17" s="68">
        <v>0</v>
      </c>
      <c r="N17" s="84"/>
      <c r="O17" s="85">
        <v>0</v>
      </c>
      <c r="P17" s="68">
        <f>H17+O17</f>
        <v>315</v>
      </c>
      <c r="R17" s="25">
        <f t="shared" si="6"/>
        <v>10</v>
      </c>
      <c r="S17" s="37" t="s">
        <v>30</v>
      </c>
      <c r="T17" s="89"/>
      <c r="U17" s="87"/>
      <c r="V17" s="87"/>
      <c r="W17" s="87"/>
      <c r="X17" s="65"/>
      <c r="Y17" s="66"/>
      <c r="Z17" s="88"/>
      <c r="AA17" s="88"/>
      <c r="AB17" s="86"/>
      <c r="AC17" s="68"/>
      <c r="AD17" s="68"/>
      <c r="AE17" s="1036"/>
      <c r="AF17" s="89"/>
      <c r="AG17" s="68"/>
    </row>
    <row r="18" spans="1:33">
      <c r="A18" s="25">
        <v>12</v>
      </c>
      <c r="B18" s="36" t="s">
        <v>123</v>
      </c>
      <c r="C18" s="86">
        <v>39145</v>
      </c>
      <c r="D18" s="87">
        <v>39145</v>
      </c>
      <c r="E18" s="82">
        <v>0</v>
      </c>
      <c r="F18" s="82">
        <v>0</v>
      </c>
      <c r="G18" s="65">
        <f t="shared" si="8"/>
        <v>39145</v>
      </c>
      <c r="H18" s="249">
        <f t="shared" si="8"/>
        <v>39145</v>
      </c>
      <c r="I18" s="83">
        <v>0</v>
      </c>
      <c r="J18" s="250">
        <v>0</v>
      </c>
      <c r="K18" s="81">
        <v>1155</v>
      </c>
      <c r="L18" s="68">
        <f t="shared" si="4"/>
        <v>0</v>
      </c>
      <c r="M18" s="68">
        <v>0</v>
      </c>
      <c r="N18" s="84"/>
      <c r="O18" s="85">
        <v>0</v>
      </c>
      <c r="P18" s="68">
        <f t="shared" si="5"/>
        <v>39145</v>
      </c>
      <c r="R18" s="29">
        <f t="shared" si="6"/>
        <v>11</v>
      </c>
      <c r="S18" s="36" t="s">
        <v>37</v>
      </c>
      <c r="T18" s="85">
        <v>39145</v>
      </c>
      <c r="U18" s="82">
        <v>39145</v>
      </c>
      <c r="V18" s="82">
        <v>0</v>
      </c>
      <c r="W18" s="82">
        <v>0</v>
      </c>
      <c r="X18" s="65">
        <v>39145</v>
      </c>
      <c r="Y18" s="66">
        <v>39145</v>
      </c>
      <c r="Z18" s="83">
        <v>0</v>
      </c>
      <c r="AA18" s="83">
        <v>0</v>
      </c>
      <c r="AB18" s="81">
        <v>1155</v>
      </c>
      <c r="AC18" s="68">
        <v>0</v>
      </c>
      <c r="AD18" s="68">
        <v>0</v>
      </c>
      <c r="AE18" s="706"/>
      <c r="AF18" s="85">
        <v>0</v>
      </c>
      <c r="AG18" s="68">
        <v>39145</v>
      </c>
    </row>
    <row r="19" spans="1:33">
      <c r="A19" s="25">
        <f t="shared" si="2"/>
        <v>13</v>
      </c>
      <c r="B19" s="50" t="s">
        <v>124</v>
      </c>
      <c r="C19" s="86">
        <v>0</v>
      </c>
      <c r="D19" s="87">
        <v>0</v>
      </c>
      <c r="E19" s="87">
        <v>0</v>
      </c>
      <c r="F19" s="87">
        <v>0</v>
      </c>
      <c r="G19" s="65">
        <f t="shared" si="8"/>
        <v>0</v>
      </c>
      <c r="H19" s="249">
        <f t="shared" si="8"/>
        <v>0</v>
      </c>
      <c r="I19" s="83">
        <v>0</v>
      </c>
      <c r="J19" s="250">
        <v>0</v>
      </c>
      <c r="K19" s="81">
        <v>0</v>
      </c>
      <c r="L19" s="68">
        <f t="shared" si="4"/>
        <v>0</v>
      </c>
      <c r="M19" s="68">
        <v>0</v>
      </c>
      <c r="N19" s="84"/>
      <c r="O19" s="85">
        <v>0</v>
      </c>
      <c r="P19" s="68">
        <f t="shared" si="5"/>
        <v>0</v>
      </c>
      <c r="R19" s="29">
        <f t="shared" si="6"/>
        <v>12</v>
      </c>
      <c r="S19" s="50" t="s">
        <v>38</v>
      </c>
      <c r="T19" s="85">
        <v>0</v>
      </c>
      <c r="U19" s="82">
        <v>0</v>
      </c>
      <c r="V19" s="82">
        <v>0</v>
      </c>
      <c r="W19" s="82">
        <v>0</v>
      </c>
      <c r="X19" s="65">
        <v>0</v>
      </c>
      <c r="Y19" s="66">
        <v>0</v>
      </c>
      <c r="Z19" s="83">
        <v>0</v>
      </c>
      <c r="AA19" s="83">
        <v>0</v>
      </c>
      <c r="AB19" s="81">
        <v>0</v>
      </c>
      <c r="AC19" s="68">
        <v>0</v>
      </c>
      <c r="AD19" s="68">
        <v>0</v>
      </c>
      <c r="AE19" s="706"/>
      <c r="AF19" s="85">
        <v>0</v>
      </c>
      <c r="AG19" s="68">
        <v>0</v>
      </c>
    </row>
    <row r="20" spans="1:33">
      <c r="A20" s="24">
        <v>14</v>
      </c>
      <c r="B20" s="38" t="s">
        <v>29</v>
      </c>
      <c r="C20" s="255">
        <f>+C21+C22+C23+C24+C25</f>
        <v>125836</v>
      </c>
      <c r="D20" s="256">
        <f t="shared" ref="D20:P20" si="9">+D21+D22+D23+D24+D25</f>
        <v>123661</v>
      </c>
      <c r="E20" s="256">
        <f t="shared" si="9"/>
        <v>0</v>
      </c>
      <c r="F20" s="256">
        <f t="shared" si="9"/>
        <v>0</v>
      </c>
      <c r="G20" s="256">
        <f t="shared" si="9"/>
        <v>125836</v>
      </c>
      <c r="H20" s="257">
        <f t="shared" si="9"/>
        <v>123661</v>
      </c>
      <c r="I20" s="258">
        <f t="shared" si="9"/>
        <v>0</v>
      </c>
      <c r="J20" s="259">
        <f t="shared" si="9"/>
        <v>36189</v>
      </c>
      <c r="K20" s="260">
        <f t="shared" si="9"/>
        <v>2050</v>
      </c>
      <c r="L20" s="260">
        <f t="shared" si="9"/>
        <v>2175</v>
      </c>
      <c r="M20" s="261">
        <f t="shared" si="9"/>
        <v>0</v>
      </c>
      <c r="N20" s="262"/>
      <c r="O20" s="261">
        <f t="shared" si="9"/>
        <v>0</v>
      </c>
      <c r="P20" s="263">
        <f t="shared" si="9"/>
        <v>123661</v>
      </c>
      <c r="R20" s="25">
        <f t="shared" si="6"/>
        <v>13</v>
      </c>
      <c r="S20" s="37" t="s">
        <v>30</v>
      </c>
      <c r="T20" s="89"/>
      <c r="U20" s="87"/>
      <c r="V20" s="87"/>
      <c r="W20" s="87"/>
      <c r="X20" s="65"/>
      <c r="Y20" s="66"/>
      <c r="Z20" s="88"/>
      <c r="AA20" s="88"/>
      <c r="AB20" s="86"/>
      <c r="AC20" s="68"/>
      <c r="AD20" s="68"/>
      <c r="AE20" s="1036"/>
      <c r="AF20" s="89"/>
      <c r="AG20" s="68"/>
    </row>
    <row r="21" spans="1:33">
      <c r="A21" s="264">
        <v>15</v>
      </c>
      <c r="B21" s="265" t="s">
        <v>125</v>
      </c>
      <c r="C21" s="60">
        <v>1282</v>
      </c>
      <c r="D21" s="60">
        <v>1282</v>
      </c>
      <c r="E21" s="60">
        <v>0</v>
      </c>
      <c r="F21" s="60">
        <v>0</v>
      </c>
      <c r="G21" s="65">
        <f t="shared" ref="G21:H27" si="10">+C21+E21</f>
        <v>1282</v>
      </c>
      <c r="H21" s="66">
        <f t="shared" si="10"/>
        <v>1282</v>
      </c>
      <c r="I21" s="266">
        <v>0</v>
      </c>
      <c r="J21" s="83">
        <v>0</v>
      </c>
      <c r="K21" s="86">
        <v>20</v>
      </c>
      <c r="L21" s="68">
        <f t="shared" ref="L21:L27" si="11">+G21-H21</f>
        <v>0</v>
      </c>
      <c r="M21" s="68">
        <v>0</v>
      </c>
      <c r="N21" s="84"/>
      <c r="O21" s="85">
        <v>0</v>
      </c>
      <c r="P21" s="68">
        <f>H21+O21</f>
        <v>1282</v>
      </c>
      <c r="R21" s="24">
        <f t="shared" si="6"/>
        <v>14</v>
      </c>
      <c r="S21" s="38" t="s">
        <v>29</v>
      </c>
      <c r="T21" s="70">
        <v>125836</v>
      </c>
      <c r="U21" s="71">
        <v>123661</v>
      </c>
      <c r="V21" s="71">
        <v>0</v>
      </c>
      <c r="W21" s="71">
        <v>0</v>
      </c>
      <c r="X21" s="71">
        <v>125836</v>
      </c>
      <c r="Y21" s="72">
        <v>123661</v>
      </c>
      <c r="Z21" s="90">
        <v>0</v>
      </c>
      <c r="AA21" s="1252">
        <v>36189</v>
      </c>
      <c r="AB21" s="73">
        <v>2050</v>
      </c>
      <c r="AC21" s="74">
        <v>2175</v>
      </c>
      <c r="AD21" s="74">
        <v>0</v>
      </c>
      <c r="AE21" s="1036"/>
      <c r="AF21" s="70">
        <v>0</v>
      </c>
      <c r="AG21" s="74">
        <v>123661</v>
      </c>
    </row>
    <row r="22" spans="1:33">
      <c r="A22" s="25">
        <v>16</v>
      </c>
      <c r="B22" s="36" t="s">
        <v>126</v>
      </c>
      <c r="C22" s="86">
        <v>20847</v>
      </c>
      <c r="D22" s="87">
        <v>20820</v>
      </c>
      <c r="E22" s="87">
        <v>0</v>
      </c>
      <c r="F22" s="87">
        <v>0</v>
      </c>
      <c r="G22" s="65">
        <f t="shared" si="10"/>
        <v>20847</v>
      </c>
      <c r="H22" s="66">
        <f t="shared" si="10"/>
        <v>20820</v>
      </c>
      <c r="I22" s="88">
        <v>0</v>
      </c>
      <c r="J22" s="267">
        <v>5619</v>
      </c>
      <c r="K22" s="86">
        <v>501</v>
      </c>
      <c r="L22" s="225">
        <f t="shared" si="11"/>
        <v>27</v>
      </c>
      <c r="M22" s="225">
        <v>0</v>
      </c>
      <c r="N22" s="76"/>
      <c r="O22" s="89">
        <v>0</v>
      </c>
      <c r="P22" s="68">
        <f t="shared" si="5"/>
        <v>20820</v>
      </c>
      <c r="R22" s="46">
        <f t="shared" si="6"/>
        <v>15</v>
      </c>
      <c r="S22" s="43" t="s">
        <v>53</v>
      </c>
      <c r="T22" s="59"/>
      <c r="U22" s="60"/>
      <c r="V22" s="60"/>
      <c r="W22" s="60"/>
      <c r="X22" s="60"/>
      <c r="Y22" s="61"/>
      <c r="Z22" s="78"/>
      <c r="AA22" s="78"/>
      <c r="AB22" s="62"/>
      <c r="AC22" s="63"/>
      <c r="AD22" s="63"/>
      <c r="AE22" s="1036"/>
      <c r="AF22" s="59"/>
      <c r="AG22" s="63"/>
    </row>
    <row r="23" spans="1:33">
      <c r="A23" s="268">
        <f t="shared" si="2"/>
        <v>17</v>
      </c>
      <c r="B23" s="269" t="s">
        <v>127</v>
      </c>
      <c r="C23" s="270">
        <v>6345</v>
      </c>
      <c r="D23" s="270">
        <v>6264</v>
      </c>
      <c r="E23" s="270">
        <v>0</v>
      </c>
      <c r="F23" s="270">
        <v>0</v>
      </c>
      <c r="G23" s="270">
        <f t="shared" si="10"/>
        <v>6345</v>
      </c>
      <c r="H23" s="66">
        <f t="shared" si="10"/>
        <v>6264</v>
      </c>
      <c r="I23" s="271">
        <v>0</v>
      </c>
      <c r="J23" s="267">
        <v>2503</v>
      </c>
      <c r="K23" s="272">
        <v>126</v>
      </c>
      <c r="L23" s="225">
        <f t="shared" si="11"/>
        <v>81</v>
      </c>
      <c r="M23" s="225">
        <v>0</v>
      </c>
      <c r="N23" s="226"/>
      <c r="O23" s="273">
        <v>0</v>
      </c>
      <c r="P23" s="225">
        <f>H23+O23</f>
        <v>6264</v>
      </c>
      <c r="R23" s="25">
        <f t="shared" si="6"/>
        <v>16</v>
      </c>
      <c r="S23" s="37" t="s">
        <v>60</v>
      </c>
      <c r="T23" s="89"/>
      <c r="U23" s="87"/>
      <c r="V23" s="87"/>
      <c r="W23" s="87"/>
      <c r="X23" s="65"/>
      <c r="Y23" s="66"/>
      <c r="Z23" s="88"/>
      <c r="AA23" s="88"/>
      <c r="AB23" s="86"/>
      <c r="AC23" s="68"/>
      <c r="AD23" s="68"/>
      <c r="AE23" s="1036"/>
      <c r="AF23" s="89"/>
      <c r="AG23" s="68"/>
    </row>
    <row r="24" spans="1:33">
      <c r="A24" s="268">
        <v>18</v>
      </c>
      <c r="B24" s="269" t="s">
        <v>128</v>
      </c>
      <c r="C24" s="270">
        <v>6678</v>
      </c>
      <c r="D24" s="270">
        <v>4712</v>
      </c>
      <c r="E24" s="270">
        <v>0</v>
      </c>
      <c r="F24" s="270">
        <v>0</v>
      </c>
      <c r="G24" s="270">
        <f t="shared" si="10"/>
        <v>6678</v>
      </c>
      <c r="H24" s="66">
        <f t="shared" si="10"/>
        <v>4712</v>
      </c>
      <c r="I24" s="271">
        <v>0</v>
      </c>
      <c r="J24" s="271">
        <v>595</v>
      </c>
      <c r="K24" s="272">
        <v>19</v>
      </c>
      <c r="L24" s="225">
        <f t="shared" si="11"/>
        <v>1966</v>
      </c>
      <c r="M24" s="225">
        <v>0</v>
      </c>
      <c r="N24" s="226"/>
      <c r="O24" s="273">
        <v>0</v>
      </c>
      <c r="P24" s="225">
        <f>H24+O24</f>
        <v>4712</v>
      </c>
      <c r="R24" s="46">
        <f t="shared" si="6"/>
        <v>17</v>
      </c>
      <c r="S24" s="47" t="s">
        <v>59</v>
      </c>
      <c r="T24" s="59">
        <v>90684</v>
      </c>
      <c r="U24" s="60">
        <v>90583</v>
      </c>
      <c r="V24" s="60">
        <v>0</v>
      </c>
      <c r="W24" s="60">
        <v>0</v>
      </c>
      <c r="X24" s="60">
        <v>90684</v>
      </c>
      <c r="Y24" s="61">
        <v>90583</v>
      </c>
      <c r="Z24" s="78">
        <v>0</v>
      </c>
      <c r="AA24" s="78">
        <v>27472</v>
      </c>
      <c r="AB24" s="62">
        <v>1384</v>
      </c>
      <c r="AC24" s="63">
        <v>101</v>
      </c>
      <c r="AD24" s="63">
        <v>0</v>
      </c>
      <c r="AE24" s="1036"/>
      <c r="AF24" s="59">
        <v>0</v>
      </c>
      <c r="AG24" s="63">
        <v>90583</v>
      </c>
    </row>
    <row r="25" spans="1:33">
      <c r="A25" s="25">
        <v>19</v>
      </c>
      <c r="B25" s="36" t="s">
        <v>129</v>
      </c>
      <c r="C25" s="91">
        <v>90684</v>
      </c>
      <c r="D25" s="92">
        <v>90583</v>
      </c>
      <c r="E25" s="92">
        <v>0</v>
      </c>
      <c r="F25" s="92">
        <v>0</v>
      </c>
      <c r="G25" s="65">
        <f t="shared" si="10"/>
        <v>90684</v>
      </c>
      <c r="H25" s="66">
        <f t="shared" si="10"/>
        <v>90583</v>
      </c>
      <c r="I25" s="93">
        <v>0</v>
      </c>
      <c r="J25" s="93">
        <v>27472</v>
      </c>
      <c r="K25" s="91">
        <v>1384</v>
      </c>
      <c r="L25" s="68">
        <f t="shared" si="11"/>
        <v>101</v>
      </c>
      <c r="M25" s="68">
        <v>0</v>
      </c>
      <c r="N25" s="76"/>
      <c r="O25" s="94">
        <v>0</v>
      </c>
      <c r="P25" s="68">
        <f t="shared" si="5"/>
        <v>90583</v>
      </c>
      <c r="R25" s="25">
        <f t="shared" si="6"/>
        <v>18</v>
      </c>
      <c r="S25" s="37" t="s">
        <v>60</v>
      </c>
      <c r="T25" s="89"/>
      <c r="U25" s="87"/>
      <c r="V25" s="87"/>
      <c r="W25" s="87"/>
      <c r="X25" s="65"/>
      <c r="Y25" s="66"/>
      <c r="Z25" s="88"/>
      <c r="AA25" s="88"/>
      <c r="AB25" s="86"/>
      <c r="AC25" s="68"/>
      <c r="AD25" s="68"/>
      <c r="AE25" s="1036"/>
      <c r="AF25" s="89"/>
      <c r="AG25" s="68"/>
    </row>
    <row r="26" spans="1:33">
      <c r="A26" s="24">
        <f t="shared" si="2"/>
        <v>20</v>
      </c>
      <c r="B26" s="38" t="s">
        <v>27</v>
      </c>
      <c r="C26" s="261">
        <f>+C27</f>
        <v>618</v>
      </c>
      <c r="D26" s="256">
        <f>+D27</f>
        <v>618</v>
      </c>
      <c r="E26" s="256">
        <v>0</v>
      </c>
      <c r="F26" s="256">
        <v>0</v>
      </c>
      <c r="G26" s="256">
        <f t="shared" si="10"/>
        <v>618</v>
      </c>
      <c r="H26" s="274">
        <f t="shared" si="10"/>
        <v>618</v>
      </c>
      <c r="I26" s="259">
        <v>0</v>
      </c>
      <c r="J26" s="259">
        <v>0</v>
      </c>
      <c r="K26" s="260">
        <v>0</v>
      </c>
      <c r="L26" s="275">
        <f t="shared" si="11"/>
        <v>0</v>
      </c>
      <c r="M26" s="275">
        <f>+M27</f>
        <v>0</v>
      </c>
      <c r="N26" s="84"/>
      <c r="O26" s="261">
        <f>+O27</f>
        <v>0</v>
      </c>
      <c r="P26" s="275">
        <f>H26+O26</f>
        <v>618</v>
      </c>
      <c r="R26" s="46">
        <f t="shared" si="6"/>
        <v>19</v>
      </c>
      <c r="S26" s="47" t="s">
        <v>54</v>
      </c>
      <c r="T26" s="59">
        <v>6678</v>
      </c>
      <c r="U26" s="60">
        <v>4712</v>
      </c>
      <c r="V26" s="60">
        <v>0</v>
      </c>
      <c r="W26" s="60">
        <v>0</v>
      </c>
      <c r="X26" s="60">
        <v>6678</v>
      </c>
      <c r="Y26" s="61">
        <v>4712</v>
      </c>
      <c r="Z26" s="78">
        <v>0</v>
      </c>
      <c r="AA26" s="78">
        <v>595</v>
      </c>
      <c r="AB26" s="62">
        <v>19</v>
      </c>
      <c r="AC26" s="63">
        <v>1966</v>
      </c>
      <c r="AD26" s="63">
        <v>0</v>
      </c>
      <c r="AE26" s="1036"/>
      <c r="AF26" s="59">
        <v>0</v>
      </c>
      <c r="AG26" s="63">
        <v>4712</v>
      </c>
    </row>
    <row r="27" spans="1:33">
      <c r="A27" s="264">
        <f t="shared" si="2"/>
        <v>21</v>
      </c>
      <c r="B27" s="265" t="s">
        <v>130</v>
      </c>
      <c r="C27" s="270">
        <v>618</v>
      </c>
      <c r="D27" s="270">
        <v>618</v>
      </c>
      <c r="E27" s="270">
        <v>0</v>
      </c>
      <c r="F27" s="270">
        <v>0</v>
      </c>
      <c r="G27" s="270">
        <f t="shared" si="10"/>
        <v>618</v>
      </c>
      <c r="H27" s="66">
        <f t="shared" si="10"/>
        <v>618</v>
      </c>
      <c r="I27" s="79">
        <v>0</v>
      </c>
      <c r="J27" s="83">
        <v>0</v>
      </c>
      <c r="K27" s="81">
        <v>0</v>
      </c>
      <c r="L27" s="68">
        <f t="shared" si="11"/>
        <v>0</v>
      </c>
      <c r="M27" s="68">
        <v>0</v>
      </c>
      <c r="N27" s="84"/>
      <c r="O27" s="85">
        <v>0</v>
      </c>
      <c r="P27" s="68">
        <f>H27+O27</f>
        <v>618</v>
      </c>
      <c r="R27" s="25">
        <f t="shared" si="6"/>
        <v>20</v>
      </c>
      <c r="S27" s="37" t="s">
        <v>60</v>
      </c>
      <c r="T27" s="94"/>
      <c r="U27" s="92"/>
      <c r="V27" s="92"/>
      <c r="W27" s="92"/>
      <c r="X27" s="65"/>
      <c r="Y27" s="66"/>
      <c r="Z27" s="93"/>
      <c r="AA27" s="93"/>
      <c r="AB27" s="91"/>
      <c r="AC27" s="68"/>
      <c r="AD27" s="68"/>
      <c r="AE27" s="1036"/>
      <c r="AF27" s="94"/>
      <c r="AG27" s="68"/>
    </row>
    <row r="28" spans="1:33">
      <c r="A28" s="24">
        <v>22</v>
      </c>
      <c r="B28" s="38" t="s">
        <v>32</v>
      </c>
      <c r="C28" s="255">
        <f>SUM(C29:C31)</f>
        <v>6776</v>
      </c>
      <c r="D28" s="256">
        <f t="shared" ref="D28:P28" si="12">SUM(D29:D31)</f>
        <v>6719</v>
      </c>
      <c r="E28" s="256">
        <f t="shared" si="12"/>
        <v>0</v>
      </c>
      <c r="F28" s="276">
        <f t="shared" si="12"/>
        <v>0</v>
      </c>
      <c r="G28" s="256">
        <f t="shared" si="12"/>
        <v>6776</v>
      </c>
      <c r="H28" s="257">
        <f t="shared" si="12"/>
        <v>6719</v>
      </c>
      <c r="I28" s="259">
        <f t="shared" si="12"/>
        <v>0</v>
      </c>
      <c r="J28" s="259">
        <f t="shared" si="12"/>
        <v>0</v>
      </c>
      <c r="K28" s="260">
        <f t="shared" si="12"/>
        <v>0</v>
      </c>
      <c r="L28" s="260">
        <f t="shared" si="12"/>
        <v>57</v>
      </c>
      <c r="M28" s="261">
        <f t="shared" si="12"/>
        <v>0</v>
      </c>
      <c r="N28" s="262"/>
      <c r="O28" s="261">
        <f t="shared" si="12"/>
        <v>0</v>
      </c>
      <c r="P28" s="263">
        <f t="shared" si="12"/>
        <v>6719</v>
      </c>
      <c r="R28" s="24">
        <f t="shared" si="6"/>
        <v>21</v>
      </c>
      <c r="S28" s="38" t="s">
        <v>27</v>
      </c>
      <c r="T28" s="70">
        <v>618</v>
      </c>
      <c r="U28" s="71">
        <v>618</v>
      </c>
      <c r="V28" s="71">
        <v>0</v>
      </c>
      <c r="W28" s="71">
        <v>0</v>
      </c>
      <c r="X28" s="71">
        <v>618</v>
      </c>
      <c r="Y28" s="72">
        <v>618</v>
      </c>
      <c r="Z28" s="90">
        <v>0</v>
      </c>
      <c r="AA28" s="90">
        <v>0</v>
      </c>
      <c r="AB28" s="73">
        <v>0</v>
      </c>
      <c r="AC28" s="74">
        <v>0</v>
      </c>
      <c r="AD28" s="74">
        <v>0</v>
      </c>
      <c r="AE28" s="1036"/>
      <c r="AF28" s="70">
        <v>0</v>
      </c>
      <c r="AG28" s="74">
        <v>618</v>
      </c>
    </row>
    <row r="29" spans="1:33">
      <c r="A29" s="277">
        <v>23</v>
      </c>
      <c r="B29" s="278" t="s">
        <v>131</v>
      </c>
      <c r="C29" s="279">
        <v>101</v>
      </c>
      <c r="D29" s="280">
        <v>101</v>
      </c>
      <c r="E29" s="280">
        <v>0</v>
      </c>
      <c r="F29" s="280">
        <v>0</v>
      </c>
      <c r="G29" s="65">
        <f t="shared" ref="G29:H31" si="13">+C29+E29</f>
        <v>101</v>
      </c>
      <c r="H29" s="66">
        <f t="shared" si="13"/>
        <v>101</v>
      </c>
      <c r="I29" s="93">
        <v>0</v>
      </c>
      <c r="J29" s="93">
        <v>0</v>
      </c>
      <c r="K29" s="91">
        <v>0</v>
      </c>
      <c r="L29" s="68">
        <f>+G29-H29</f>
        <v>0</v>
      </c>
      <c r="M29" s="68">
        <v>0</v>
      </c>
      <c r="N29" s="76"/>
      <c r="O29" s="94">
        <v>0</v>
      </c>
      <c r="P29" s="68">
        <f>H29+O29</f>
        <v>101</v>
      </c>
      <c r="R29" s="29">
        <f t="shared" si="6"/>
        <v>22</v>
      </c>
      <c r="S29" s="43" t="s">
        <v>34</v>
      </c>
      <c r="T29" s="59"/>
      <c r="U29" s="60"/>
      <c r="V29" s="60"/>
      <c r="W29" s="60"/>
      <c r="X29" s="60"/>
      <c r="Y29" s="61"/>
      <c r="Z29" s="78"/>
      <c r="AA29" s="78"/>
      <c r="AB29" s="62"/>
      <c r="AC29" s="63"/>
      <c r="AD29" s="63"/>
      <c r="AE29" s="1036"/>
      <c r="AF29" s="59"/>
      <c r="AG29" s="63"/>
    </row>
    <row r="30" spans="1:33">
      <c r="A30" s="268">
        <v>24</v>
      </c>
      <c r="B30" s="281" t="s">
        <v>132</v>
      </c>
      <c r="C30" s="227">
        <v>5572</v>
      </c>
      <c r="D30" s="270">
        <v>5572</v>
      </c>
      <c r="E30" s="270">
        <v>0</v>
      </c>
      <c r="F30" s="270">
        <v>0</v>
      </c>
      <c r="G30" s="65">
        <f t="shared" si="13"/>
        <v>5572</v>
      </c>
      <c r="H30" s="66">
        <f t="shared" si="13"/>
        <v>5572</v>
      </c>
      <c r="I30" s="88">
        <v>0</v>
      </c>
      <c r="J30" s="88">
        <v>0</v>
      </c>
      <c r="K30" s="86">
        <v>0</v>
      </c>
      <c r="L30" s="68">
        <f>+G30-H30</f>
        <v>0</v>
      </c>
      <c r="M30" s="68">
        <v>0</v>
      </c>
      <c r="N30" s="76"/>
      <c r="O30" s="89">
        <v>0</v>
      </c>
      <c r="P30" s="68">
        <f>H30+O30</f>
        <v>5572</v>
      </c>
      <c r="R30" s="25">
        <f t="shared" si="6"/>
        <v>23</v>
      </c>
      <c r="S30" s="37" t="s">
        <v>60</v>
      </c>
      <c r="T30" s="94"/>
      <c r="U30" s="92"/>
      <c r="V30" s="92"/>
      <c r="W30" s="92"/>
      <c r="X30" s="65"/>
      <c r="Y30" s="66"/>
      <c r="Z30" s="93"/>
      <c r="AA30" s="93"/>
      <c r="AB30" s="91"/>
      <c r="AC30" s="68"/>
      <c r="AD30" s="68"/>
      <c r="AE30" s="1036"/>
      <c r="AF30" s="94"/>
      <c r="AG30" s="68"/>
    </row>
    <row r="31" spans="1:33" ht="15.75" thickBot="1">
      <c r="A31" s="282">
        <v>25</v>
      </c>
      <c r="B31" s="278" t="s">
        <v>133</v>
      </c>
      <c r="C31" s="279">
        <v>1103</v>
      </c>
      <c r="D31" s="280">
        <v>1046</v>
      </c>
      <c r="E31" s="280">
        <v>0</v>
      </c>
      <c r="F31" s="280">
        <v>0</v>
      </c>
      <c r="G31" s="65">
        <f t="shared" si="13"/>
        <v>1103</v>
      </c>
      <c r="H31" s="66">
        <f t="shared" si="13"/>
        <v>1046</v>
      </c>
      <c r="I31" s="88">
        <v>0</v>
      </c>
      <c r="J31" s="88">
        <v>0</v>
      </c>
      <c r="K31" s="86">
        <v>0</v>
      </c>
      <c r="L31" s="68">
        <f>+G31-H31</f>
        <v>57</v>
      </c>
      <c r="M31" s="68">
        <v>0</v>
      </c>
      <c r="N31" s="76"/>
      <c r="O31" s="89">
        <v>0</v>
      </c>
      <c r="P31" s="68">
        <f>H31+O31</f>
        <v>1046</v>
      </c>
      <c r="R31" s="24">
        <f t="shared" si="6"/>
        <v>24</v>
      </c>
      <c r="S31" s="38" t="s">
        <v>32</v>
      </c>
      <c r="T31" s="70">
        <v>6776</v>
      </c>
      <c r="U31" s="71">
        <v>6719</v>
      </c>
      <c r="V31" s="71">
        <v>0</v>
      </c>
      <c r="W31" s="71">
        <v>0</v>
      </c>
      <c r="X31" s="71">
        <v>6776</v>
      </c>
      <c r="Y31" s="72">
        <v>6719</v>
      </c>
      <c r="Z31" s="90">
        <v>0</v>
      </c>
      <c r="AA31" s="90">
        <v>0</v>
      </c>
      <c r="AB31" s="73">
        <v>0</v>
      </c>
      <c r="AC31" s="74">
        <v>57</v>
      </c>
      <c r="AD31" s="74">
        <v>0</v>
      </c>
      <c r="AE31" s="1036"/>
      <c r="AF31" s="70">
        <v>0</v>
      </c>
      <c r="AG31" s="74">
        <v>6719</v>
      </c>
    </row>
    <row r="32" spans="1:33" ht="15.75" thickBot="1">
      <c r="A32" s="283">
        <v>26</v>
      </c>
      <c r="B32" s="39" t="s">
        <v>23</v>
      </c>
      <c r="C32" s="284">
        <f t="shared" ref="C32:H32" si="14">+C7+C20+C26+C28</f>
        <v>405291</v>
      </c>
      <c r="D32" s="285">
        <f t="shared" si="14"/>
        <v>402931</v>
      </c>
      <c r="E32" s="285">
        <f t="shared" si="14"/>
        <v>2937</v>
      </c>
      <c r="F32" s="285">
        <f t="shared" si="14"/>
        <v>2937</v>
      </c>
      <c r="G32" s="285">
        <f t="shared" si="14"/>
        <v>408228</v>
      </c>
      <c r="H32" s="286">
        <f t="shared" si="14"/>
        <v>405868</v>
      </c>
      <c r="I32" s="287">
        <v>0</v>
      </c>
      <c r="J32" s="287">
        <f>+J7+J20+J26+J28</f>
        <v>36268</v>
      </c>
      <c r="K32" s="288">
        <f>+K7+K20+K26+K28</f>
        <v>14445</v>
      </c>
      <c r="L32" s="289">
        <f>+L7+L20+L26+L28</f>
        <v>2360</v>
      </c>
      <c r="M32" s="289">
        <f>+M7+M20+M26+M28</f>
        <v>110</v>
      </c>
      <c r="N32" s="290"/>
      <c r="O32" s="284">
        <f>+O7+O20+O26+O28</f>
        <v>0</v>
      </c>
      <c r="P32" s="289">
        <f>+P7+P20+P26+P28</f>
        <v>405868</v>
      </c>
      <c r="R32" s="46">
        <f t="shared" si="6"/>
        <v>25</v>
      </c>
      <c r="S32" s="47" t="s">
        <v>39</v>
      </c>
      <c r="T32" s="59"/>
      <c r="U32" s="60"/>
      <c r="V32" s="60"/>
      <c r="W32" s="60"/>
      <c r="X32" s="60"/>
      <c r="Y32" s="61"/>
      <c r="Z32" s="78"/>
      <c r="AA32" s="78"/>
      <c r="AB32" s="62"/>
      <c r="AC32" s="63"/>
      <c r="AD32" s="63"/>
      <c r="AE32" s="1036"/>
      <c r="AF32" s="59"/>
      <c r="AG32" s="63"/>
    </row>
    <row r="33" spans="18:33" ht="15.75" thickBot="1">
      <c r="R33" s="25">
        <f t="shared" si="6"/>
        <v>26</v>
      </c>
      <c r="S33" s="37" t="s">
        <v>60</v>
      </c>
      <c r="T33" s="89"/>
      <c r="U33" s="87"/>
      <c r="V33" s="87"/>
      <c r="W33" s="87"/>
      <c r="X33" s="65"/>
      <c r="Y33" s="66"/>
      <c r="Z33" s="88"/>
      <c r="AA33" s="88"/>
      <c r="AB33" s="86"/>
      <c r="AC33" s="68"/>
      <c r="AD33" s="68"/>
      <c r="AE33" s="1036"/>
      <c r="AF33" s="89"/>
      <c r="AG33" s="68"/>
    </row>
    <row r="34" spans="18:33" ht="15.75" thickBot="1">
      <c r="R34" s="31">
        <f t="shared" si="6"/>
        <v>27</v>
      </c>
      <c r="S34" s="39" t="s">
        <v>23</v>
      </c>
      <c r="T34" s="95">
        <v>405291</v>
      </c>
      <c r="U34" s="96">
        <v>402931</v>
      </c>
      <c r="V34" s="96">
        <v>2937</v>
      </c>
      <c r="W34" s="96">
        <v>2937</v>
      </c>
      <c r="X34" s="96">
        <v>408228</v>
      </c>
      <c r="Y34" s="97">
        <v>405868</v>
      </c>
      <c r="Z34" s="98">
        <v>0</v>
      </c>
      <c r="AA34" s="98">
        <v>36268</v>
      </c>
      <c r="AB34" s="99">
        <v>14445</v>
      </c>
      <c r="AC34" s="100">
        <v>2360</v>
      </c>
      <c r="AD34" s="100">
        <v>110</v>
      </c>
      <c r="AE34" s="101"/>
      <c r="AF34" s="95">
        <v>0</v>
      </c>
      <c r="AG34" s="100">
        <v>405868</v>
      </c>
    </row>
  </sheetData>
  <mergeCells count="24">
    <mergeCell ref="A4:A6"/>
    <mergeCell ref="B4:B6"/>
    <mergeCell ref="C4:D4"/>
    <mergeCell ref="E4:F4"/>
    <mergeCell ref="G4:H4"/>
    <mergeCell ref="I4:I5"/>
    <mergeCell ref="J4:J5"/>
    <mergeCell ref="K4:K5"/>
    <mergeCell ref="L4:L5"/>
    <mergeCell ref="M4:M5"/>
    <mergeCell ref="O4:O5"/>
    <mergeCell ref="P4:P5"/>
    <mergeCell ref="R4:R6"/>
    <mergeCell ref="S4:S6"/>
    <mergeCell ref="T4:U4"/>
    <mergeCell ref="V4:W4"/>
    <mergeCell ref="X4:Y4"/>
    <mergeCell ref="Z4:Z5"/>
    <mergeCell ref="AA4:AA5"/>
    <mergeCell ref="AB4:AB5"/>
    <mergeCell ref="AC4:AC5"/>
    <mergeCell ref="AD4:AD5"/>
    <mergeCell ref="AF4:AF5"/>
    <mergeCell ref="AG4:AG5"/>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AG36"/>
  <sheetViews>
    <sheetView zoomScale="85" zoomScaleNormal="85" workbookViewId="0">
      <selection activeCell="R1" sqref="R1:AG65536"/>
    </sheetView>
  </sheetViews>
  <sheetFormatPr defaultRowHeight="15"/>
  <cols>
    <col min="1" max="1" width="4.28515625" customWidth="1"/>
    <col min="2" max="2" width="52.7109375" customWidth="1"/>
    <col min="3" max="3" width="12.7109375" customWidth="1"/>
    <col min="4" max="4" width="11.5703125" customWidth="1"/>
    <col min="5" max="5" width="11.28515625" customWidth="1"/>
    <col min="6" max="6" width="11.5703125" customWidth="1"/>
    <col min="7" max="7" width="10.85546875" customWidth="1"/>
    <col min="8" max="9" width="10.42578125" customWidth="1"/>
    <col min="10" max="10" width="12.5703125" customWidth="1"/>
    <col min="11" max="11" width="10.5703125" customWidth="1"/>
    <col min="12" max="12" width="11.42578125" customWidth="1"/>
    <col min="13" max="13" width="1.5703125" style="1" customWidth="1"/>
    <col min="14" max="14" width="1.140625" customWidth="1"/>
    <col min="15" max="15" width="10.85546875" customWidth="1"/>
    <col min="18" max="18" width="9.42578125" hidden="1" customWidth="1"/>
    <col min="19" max="19" width="45.85546875" hidden="1" customWidth="1"/>
    <col min="20" max="20" width="12.7109375" hidden="1" customWidth="1"/>
    <col min="21" max="21" width="11.5703125" hidden="1" customWidth="1"/>
    <col min="22" max="22" width="11.28515625" hidden="1" customWidth="1"/>
    <col min="23" max="23" width="11.5703125" hidden="1" customWidth="1"/>
    <col min="24" max="25" width="12.140625" hidden="1" customWidth="1"/>
    <col min="26" max="26" width="10.42578125" hidden="1" customWidth="1"/>
    <col min="27" max="27" width="12.5703125" hidden="1" customWidth="1"/>
    <col min="28" max="28" width="10.5703125" hidden="1" customWidth="1"/>
    <col min="29" max="29" width="14" hidden="1" customWidth="1"/>
    <col min="30" max="30" width="12.42578125" hidden="1" customWidth="1"/>
    <col min="31" max="31" width="1.7109375" hidden="1" customWidth="1"/>
    <col min="32" max="32" width="11" hidden="1" customWidth="1"/>
    <col min="33" max="33" width="10.85546875" hidden="1" customWidth="1"/>
  </cols>
  <sheetData>
    <row r="1" spans="1:33" ht="15.75">
      <c r="A1" s="1398" t="s">
        <v>134</v>
      </c>
      <c r="B1" s="1399"/>
      <c r="C1" s="1399"/>
      <c r="D1" s="1399"/>
      <c r="E1" s="1399"/>
      <c r="F1" s="1399"/>
      <c r="G1" s="1399"/>
      <c r="H1" s="1399"/>
      <c r="I1" s="1399"/>
      <c r="J1" s="1399"/>
      <c r="K1" s="1399"/>
      <c r="L1" s="1399"/>
      <c r="M1" s="1399"/>
      <c r="N1" s="1399"/>
      <c r="O1" s="1399"/>
    </row>
    <row r="2" spans="1:33">
      <c r="A2" s="1400" t="s">
        <v>135</v>
      </c>
      <c r="B2" s="1401"/>
      <c r="C2" s="1401"/>
      <c r="D2" s="1401"/>
      <c r="E2" s="1401"/>
      <c r="F2" s="1401"/>
      <c r="G2" s="1401"/>
      <c r="H2" s="1401"/>
      <c r="I2" s="1401"/>
      <c r="J2" s="1401"/>
      <c r="K2" s="1401"/>
      <c r="L2" s="1401"/>
      <c r="M2" s="1401"/>
      <c r="N2" s="1401"/>
      <c r="O2" s="1401"/>
    </row>
    <row r="3" spans="1:33" ht="15.75" customHeight="1" thickBot="1">
      <c r="A3" s="20"/>
      <c r="B3" s="19"/>
      <c r="C3" s="20"/>
      <c r="D3" s="20"/>
      <c r="E3" s="20"/>
      <c r="F3" s="20"/>
      <c r="G3" s="20"/>
      <c r="H3" s="20"/>
      <c r="I3" s="20"/>
      <c r="J3" s="20"/>
      <c r="K3" s="20"/>
      <c r="L3" s="20"/>
      <c r="M3" s="20"/>
      <c r="N3" s="20"/>
      <c r="O3" s="291" t="s">
        <v>45</v>
      </c>
    </row>
    <row r="4" spans="1:33" ht="15" customHeight="1">
      <c r="A4" s="1402" t="s">
        <v>136</v>
      </c>
      <c r="B4" s="1403" t="s">
        <v>137</v>
      </c>
      <c r="C4" s="1395" t="s">
        <v>138</v>
      </c>
      <c r="D4" s="1395"/>
      <c r="E4" s="1395" t="s">
        <v>139</v>
      </c>
      <c r="F4" s="1395"/>
      <c r="G4" s="1395" t="s">
        <v>140</v>
      </c>
      <c r="H4" s="1395"/>
      <c r="I4" s="1396" t="s">
        <v>141</v>
      </c>
      <c r="J4" s="1396" t="s">
        <v>142</v>
      </c>
      <c r="K4" s="1397" t="s">
        <v>143</v>
      </c>
      <c r="L4" s="1395" t="s">
        <v>77</v>
      </c>
      <c r="M4" s="1306"/>
      <c r="N4" s="1305"/>
      <c r="O4" s="1395" t="s">
        <v>144</v>
      </c>
      <c r="P4" s="1395" t="s">
        <v>21</v>
      </c>
      <c r="R4" s="1357" t="s">
        <v>1</v>
      </c>
      <c r="S4" s="1354" t="s">
        <v>46</v>
      </c>
      <c r="T4" s="1360" t="s">
        <v>18</v>
      </c>
      <c r="U4" s="1361"/>
      <c r="V4" s="1361" t="s">
        <v>19</v>
      </c>
      <c r="W4" s="1361"/>
      <c r="X4" s="1364" t="s">
        <v>20</v>
      </c>
      <c r="Y4" s="1365"/>
      <c r="Z4" s="1349" t="s">
        <v>47</v>
      </c>
      <c r="AA4" s="1349" t="s">
        <v>48</v>
      </c>
      <c r="AB4" s="1351" t="s">
        <v>49</v>
      </c>
      <c r="AC4" s="1362" t="s">
        <v>62</v>
      </c>
      <c r="AD4" s="1370" t="s">
        <v>69</v>
      </c>
      <c r="AE4" s="1037"/>
      <c r="AF4" s="1366" t="s">
        <v>65</v>
      </c>
      <c r="AG4" s="1368" t="s">
        <v>21</v>
      </c>
    </row>
    <row r="5" spans="1:33">
      <c r="A5" s="1402"/>
      <c r="B5" s="1404"/>
      <c r="C5" s="1302" t="s">
        <v>145</v>
      </c>
      <c r="D5" s="1302" t="s">
        <v>146</v>
      </c>
      <c r="E5" s="1302" t="s">
        <v>147</v>
      </c>
      <c r="F5" s="1302" t="s">
        <v>148</v>
      </c>
      <c r="G5" s="1302" t="s">
        <v>147</v>
      </c>
      <c r="H5" s="1302" t="s">
        <v>148</v>
      </c>
      <c r="I5" s="1396"/>
      <c r="J5" s="1396"/>
      <c r="K5" s="1397"/>
      <c r="L5" s="1395"/>
      <c r="M5" s="1306"/>
      <c r="N5" s="1305"/>
      <c r="O5" s="1395"/>
      <c r="P5" s="1395"/>
      <c r="R5" s="1358"/>
      <c r="S5" s="1355"/>
      <c r="T5" s="1077" t="s">
        <v>26</v>
      </c>
      <c r="U5" s="11" t="s">
        <v>50</v>
      </c>
      <c r="V5" s="10" t="s">
        <v>12</v>
      </c>
      <c r="W5" s="11" t="s">
        <v>16</v>
      </c>
      <c r="X5" s="11" t="s">
        <v>12</v>
      </c>
      <c r="Y5" s="33" t="s">
        <v>16</v>
      </c>
      <c r="Z5" s="1350"/>
      <c r="AA5" s="1350"/>
      <c r="AB5" s="1352"/>
      <c r="AC5" s="1363"/>
      <c r="AD5" s="1371"/>
      <c r="AE5" s="1037"/>
      <c r="AF5" s="1367"/>
      <c r="AG5" s="1369"/>
    </row>
    <row r="6" spans="1:33" ht="15.75" thickBot="1">
      <c r="A6" s="1402"/>
      <c r="B6" s="1405"/>
      <c r="C6" s="1301" t="s">
        <v>4</v>
      </c>
      <c r="D6" s="1301" t="s">
        <v>5</v>
      </c>
      <c r="E6" s="1301" t="s">
        <v>6</v>
      </c>
      <c r="F6" s="1301" t="s">
        <v>7</v>
      </c>
      <c r="G6" s="1301" t="s">
        <v>13</v>
      </c>
      <c r="H6" s="1301" t="s">
        <v>14</v>
      </c>
      <c r="I6" s="1303" t="s">
        <v>8</v>
      </c>
      <c r="J6" s="1303" t="s">
        <v>8</v>
      </c>
      <c r="K6" s="1303" t="s">
        <v>9</v>
      </c>
      <c r="L6" s="1303" t="s">
        <v>22</v>
      </c>
      <c r="M6" s="1307"/>
      <c r="N6" s="1305"/>
      <c r="O6" s="1303" t="s">
        <v>10</v>
      </c>
      <c r="P6" s="1303" t="s">
        <v>64</v>
      </c>
      <c r="R6" s="1359"/>
      <c r="S6" s="1356"/>
      <c r="T6" s="1078" t="s">
        <v>4</v>
      </c>
      <c r="U6" s="13" t="s">
        <v>5</v>
      </c>
      <c r="V6" s="13" t="s">
        <v>6</v>
      </c>
      <c r="W6" s="13" t="s">
        <v>7</v>
      </c>
      <c r="X6" s="13" t="s">
        <v>13</v>
      </c>
      <c r="Y6" s="34" t="s">
        <v>14</v>
      </c>
      <c r="Z6" s="45" t="s">
        <v>28</v>
      </c>
      <c r="AA6" s="45" t="s">
        <v>31</v>
      </c>
      <c r="AB6" s="32" t="s">
        <v>9</v>
      </c>
      <c r="AC6" s="14" t="s">
        <v>22</v>
      </c>
      <c r="AD6" s="14" t="s">
        <v>63</v>
      </c>
      <c r="AE6" s="1037"/>
      <c r="AF6" s="44" t="s">
        <v>10</v>
      </c>
      <c r="AG6" s="14" t="s">
        <v>64</v>
      </c>
    </row>
    <row r="7" spans="1:33">
      <c r="A7" s="292">
        <v>1</v>
      </c>
      <c r="B7" s="293" t="s">
        <v>149</v>
      </c>
      <c r="C7" s="294">
        <f t="shared" ref="C7:P7" si="0">+C8+C12</f>
        <v>66873</v>
      </c>
      <c r="D7" s="294">
        <f t="shared" si="0"/>
        <v>66823</v>
      </c>
      <c r="E7" s="294">
        <f t="shared" si="0"/>
        <v>600</v>
      </c>
      <c r="F7" s="294">
        <f t="shared" si="0"/>
        <v>600</v>
      </c>
      <c r="G7" s="294">
        <f t="shared" si="0"/>
        <v>67473</v>
      </c>
      <c r="H7" s="294">
        <f t="shared" si="0"/>
        <v>67423</v>
      </c>
      <c r="I7" s="294">
        <f t="shared" si="0"/>
        <v>0</v>
      </c>
      <c r="J7" s="294">
        <f t="shared" si="0"/>
        <v>0</v>
      </c>
      <c r="K7" s="294">
        <f t="shared" si="0"/>
        <v>43</v>
      </c>
      <c r="L7" s="294">
        <f t="shared" si="0"/>
        <v>50</v>
      </c>
      <c r="M7" s="1308"/>
      <c r="N7" s="1305"/>
      <c r="O7" s="294">
        <f t="shared" si="0"/>
        <v>0</v>
      </c>
      <c r="P7" s="294">
        <f t="shared" si="0"/>
        <v>67423</v>
      </c>
      <c r="R7" s="24">
        <v>1</v>
      </c>
      <c r="S7" s="38" t="s">
        <v>15</v>
      </c>
      <c r="T7" s="54">
        <v>66873</v>
      </c>
      <c r="U7" s="55">
        <v>66823</v>
      </c>
      <c r="V7" s="55">
        <v>600</v>
      </c>
      <c r="W7" s="55">
        <v>600</v>
      </c>
      <c r="X7" s="55">
        <v>67473</v>
      </c>
      <c r="Y7" s="56">
        <v>67423</v>
      </c>
      <c r="Z7" s="75">
        <v>0</v>
      </c>
      <c r="AA7" s="75">
        <v>0</v>
      </c>
      <c r="AB7" s="57">
        <v>43</v>
      </c>
      <c r="AC7" s="58">
        <v>50</v>
      </c>
      <c r="AD7" s="58"/>
      <c r="AE7" s="1036"/>
      <c r="AF7" s="54">
        <v>0</v>
      </c>
      <c r="AG7" s="58">
        <v>67423</v>
      </c>
    </row>
    <row r="8" spans="1:33">
      <c r="A8" s="295">
        <f t="shared" ref="A8:A13" si="1">A7+1</f>
        <v>2</v>
      </c>
      <c r="B8" s="296" t="s">
        <v>150</v>
      </c>
      <c r="C8" s="297">
        <f t="shared" ref="C8:P8" si="2">SUM(C9:C11)</f>
        <v>55309</v>
      </c>
      <c r="D8" s="297">
        <f t="shared" si="2"/>
        <v>55259</v>
      </c>
      <c r="E8" s="297">
        <f t="shared" si="2"/>
        <v>600</v>
      </c>
      <c r="F8" s="297">
        <f t="shared" si="2"/>
        <v>600</v>
      </c>
      <c r="G8" s="297">
        <f t="shared" si="2"/>
        <v>55909</v>
      </c>
      <c r="H8" s="297">
        <f t="shared" si="2"/>
        <v>55859</v>
      </c>
      <c r="I8" s="297">
        <f t="shared" si="2"/>
        <v>0</v>
      </c>
      <c r="J8" s="297">
        <f t="shared" si="2"/>
        <v>0</v>
      </c>
      <c r="K8" s="297">
        <f t="shared" si="2"/>
        <v>0</v>
      </c>
      <c r="L8" s="297">
        <f t="shared" si="2"/>
        <v>50</v>
      </c>
      <c r="M8" s="1309"/>
      <c r="N8" s="1305"/>
      <c r="O8" s="297">
        <f t="shared" si="2"/>
        <v>0</v>
      </c>
      <c r="P8" s="297">
        <f t="shared" si="2"/>
        <v>55859</v>
      </c>
      <c r="R8" s="48">
        <f>R7+1</f>
        <v>2</v>
      </c>
      <c r="S8" s="35" t="s">
        <v>35</v>
      </c>
      <c r="T8" s="59">
        <v>55309</v>
      </c>
      <c r="U8" s="60">
        <v>55259</v>
      </c>
      <c r="V8" s="60">
        <v>600</v>
      </c>
      <c r="W8" s="60">
        <v>600</v>
      </c>
      <c r="X8" s="60">
        <v>55909</v>
      </c>
      <c r="Y8" s="61">
        <v>55859</v>
      </c>
      <c r="Z8" s="77">
        <v>0</v>
      </c>
      <c r="AA8" s="78">
        <v>0</v>
      </c>
      <c r="AB8" s="62">
        <v>0</v>
      </c>
      <c r="AC8" s="63">
        <v>50</v>
      </c>
      <c r="AD8" s="63"/>
      <c r="AE8" s="1036"/>
      <c r="AF8" s="59">
        <v>0</v>
      </c>
      <c r="AG8" s="63">
        <v>55859</v>
      </c>
    </row>
    <row r="9" spans="1:33">
      <c r="A9" s="298">
        <f t="shared" si="1"/>
        <v>3</v>
      </c>
      <c r="B9" s="299" t="s">
        <v>151</v>
      </c>
      <c r="C9" s="300">
        <v>54535</v>
      </c>
      <c r="D9" s="300">
        <f>+C9</f>
        <v>54535</v>
      </c>
      <c r="E9" s="300">
        <v>600</v>
      </c>
      <c r="F9" s="300">
        <f>+E9</f>
        <v>600</v>
      </c>
      <c r="G9" s="300">
        <f t="shared" ref="G9:H11" si="3">+C9+E9</f>
        <v>55135</v>
      </c>
      <c r="H9" s="300">
        <f t="shared" si="3"/>
        <v>55135</v>
      </c>
      <c r="I9" s="300"/>
      <c r="J9" s="300"/>
      <c r="K9" s="300"/>
      <c r="L9" s="300">
        <f t="shared" ref="L9:L21" si="4">+G9-H9</f>
        <v>0</v>
      </c>
      <c r="M9" s="1310"/>
      <c r="N9" s="1305"/>
      <c r="O9" s="300"/>
      <c r="P9" s="300">
        <f>H9+O9</f>
        <v>55135</v>
      </c>
      <c r="R9" s="25">
        <f t="shared" ref="R9:R34" si="5">R8+1</f>
        <v>3</v>
      </c>
      <c r="S9" s="36" t="s">
        <v>58</v>
      </c>
      <c r="T9" s="64">
        <v>54535</v>
      </c>
      <c r="U9" s="65">
        <v>54535</v>
      </c>
      <c r="V9" s="65">
        <v>600</v>
      </c>
      <c r="W9" s="65">
        <v>600</v>
      </c>
      <c r="X9" s="65">
        <v>55135</v>
      </c>
      <c r="Y9" s="66">
        <v>55135</v>
      </c>
      <c r="Z9" s="80"/>
      <c r="AA9" s="80"/>
      <c r="AB9" s="67"/>
      <c r="AC9" s="68">
        <v>0</v>
      </c>
      <c r="AD9" s="68"/>
      <c r="AE9" s="1036"/>
      <c r="AF9" s="64"/>
      <c r="AG9" s="68">
        <v>55135</v>
      </c>
    </row>
    <row r="10" spans="1:33">
      <c r="A10" s="298">
        <f t="shared" si="1"/>
        <v>4</v>
      </c>
      <c r="B10" s="299" t="s">
        <v>152</v>
      </c>
      <c r="C10" s="300">
        <v>774</v>
      </c>
      <c r="D10" s="300">
        <v>724</v>
      </c>
      <c r="E10" s="300"/>
      <c r="F10" s="300"/>
      <c r="G10" s="300">
        <f t="shared" si="3"/>
        <v>774</v>
      </c>
      <c r="H10" s="300">
        <f t="shared" si="3"/>
        <v>724</v>
      </c>
      <c r="I10" s="300"/>
      <c r="J10" s="300"/>
      <c r="K10" s="300"/>
      <c r="L10" s="300">
        <f t="shared" si="4"/>
        <v>50</v>
      </c>
      <c r="M10" s="1310"/>
      <c r="N10" s="1305"/>
      <c r="O10" s="300"/>
      <c r="P10" s="300">
        <f>H10+O10</f>
        <v>724</v>
      </c>
      <c r="R10" s="25">
        <f t="shared" si="5"/>
        <v>4</v>
      </c>
      <c r="S10" s="36" t="s">
        <v>36</v>
      </c>
      <c r="T10" s="64">
        <v>774</v>
      </c>
      <c r="U10" s="65">
        <v>724</v>
      </c>
      <c r="V10" s="65"/>
      <c r="W10" s="65"/>
      <c r="X10" s="65">
        <v>774</v>
      </c>
      <c r="Y10" s="249">
        <v>724</v>
      </c>
      <c r="Z10" s="80"/>
      <c r="AA10" s="80"/>
      <c r="AB10" s="67"/>
      <c r="AC10" s="68">
        <v>50</v>
      </c>
      <c r="AD10" s="68"/>
      <c r="AE10" s="1036"/>
      <c r="AF10" s="64"/>
      <c r="AG10" s="68">
        <v>724</v>
      </c>
    </row>
    <row r="11" spans="1:33">
      <c r="A11" s="298">
        <f t="shared" si="1"/>
        <v>5</v>
      </c>
      <c r="B11" s="1304" t="s">
        <v>153</v>
      </c>
      <c r="C11" s="300"/>
      <c r="D11" s="300">
        <f>+C11</f>
        <v>0</v>
      </c>
      <c r="E11" s="300"/>
      <c r="F11" s="300"/>
      <c r="G11" s="300">
        <f t="shared" si="3"/>
        <v>0</v>
      </c>
      <c r="H11" s="300">
        <f t="shared" si="3"/>
        <v>0</v>
      </c>
      <c r="I11" s="300"/>
      <c r="J11" s="300"/>
      <c r="K11" s="300"/>
      <c r="L11" s="300">
        <f t="shared" si="4"/>
        <v>0</v>
      </c>
      <c r="M11" s="1310"/>
      <c r="N11" s="1305"/>
      <c r="O11" s="300"/>
      <c r="P11" s="300">
        <f>H11+O11</f>
        <v>0</v>
      </c>
      <c r="R11" s="25">
        <f t="shared" si="5"/>
        <v>5</v>
      </c>
      <c r="S11" s="37" t="s">
        <v>30</v>
      </c>
      <c r="T11" s="64"/>
      <c r="U11" s="65"/>
      <c r="V11" s="65"/>
      <c r="W11" s="65"/>
      <c r="X11" s="65"/>
      <c r="Y11" s="66"/>
      <c r="Z11" s="79"/>
      <c r="AA11" s="80"/>
      <c r="AB11" s="67"/>
      <c r="AC11" s="68"/>
      <c r="AD11" s="68"/>
      <c r="AE11" s="1036"/>
      <c r="AF11" s="64"/>
      <c r="AG11" s="68"/>
    </row>
    <row r="12" spans="1:33">
      <c r="A12" s="295">
        <f t="shared" si="1"/>
        <v>6</v>
      </c>
      <c r="B12" s="296" t="s">
        <v>154</v>
      </c>
      <c r="C12" s="297">
        <f>+C13+C16+C19+C20</f>
        <v>11564</v>
      </c>
      <c r="D12" s="297">
        <f t="shared" ref="D12:P12" si="6">+D13+D16+D19+D20</f>
        <v>11564</v>
      </c>
      <c r="E12" s="297">
        <f t="shared" si="6"/>
        <v>0</v>
      </c>
      <c r="F12" s="297">
        <f t="shared" si="6"/>
        <v>0</v>
      </c>
      <c r="G12" s="297">
        <f t="shared" si="6"/>
        <v>11564</v>
      </c>
      <c r="H12" s="297">
        <f t="shared" si="6"/>
        <v>11564</v>
      </c>
      <c r="I12" s="297">
        <f t="shared" si="6"/>
        <v>0</v>
      </c>
      <c r="J12" s="297">
        <f t="shared" si="6"/>
        <v>0</v>
      </c>
      <c r="K12" s="297">
        <f t="shared" si="6"/>
        <v>43</v>
      </c>
      <c r="L12" s="297">
        <f t="shared" si="6"/>
        <v>0</v>
      </c>
      <c r="M12" s="1309"/>
      <c r="N12" s="1305"/>
      <c r="O12" s="297">
        <f t="shared" si="6"/>
        <v>0</v>
      </c>
      <c r="P12" s="297">
        <f t="shared" si="6"/>
        <v>11564</v>
      </c>
      <c r="R12" s="48">
        <f t="shared" si="5"/>
        <v>6</v>
      </c>
      <c r="S12" s="35" t="s">
        <v>42</v>
      </c>
      <c r="T12" s="59">
        <v>11564</v>
      </c>
      <c r="U12" s="60">
        <v>11564</v>
      </c>
      <c r="V12" s="60">
        <v>0</v>
      </c>
      <c r="W12" s="60">
        <v>0</v>
      </c>
      <c r="X12" s="60">
        <v>11564</v>
      </c>
      <c r="Y12" s="61">
        <v>11564</v>
      </c>
      <c r="Z12" s="78">
        <v>0</v>
      </c>
      <c r="AA12" s="78">
        <v>0</v>
      </c>
      <c r="AB12" s="62">
        <v>43</v>
      </c>
      <c r="AC12" s="63">
        <v>0</v>
      </c>
      <c r="AD12" s="63"/>
      <c r="AE12" s="1036"/>
      <c r="AF12" s="59">
        <v>0</v>
      </c>
      <c r="AG12" s="63">
        <v>11564</v>
      </c>
    </row>
    <row r="13" spans="1:33">
      <c r="A13" s="301">
        <f t="shared" si="1"/>
        <v>7</v>
      </c>
      <c r="B13" s="299" t="s">
        <v>155</v>
      </c>
      <c r="C13" s="302"/>
      <c r="D13" s="302"/>
      <c r="E13" s="302"/>
      <c r="F13" s="302"/>
      <c r="G13" s="300">
        <f t="shared" ref="G13:H15" si="7">+C13+E13</f>
        <v>0</v>
      </c>
      <c r="H13" s="300">
        <f t="shared" si="7"/>
        <v>0</v>
      </c>
      <c r="I13" s="300"/>
      <c r="J13" s="302"/>
      <c r="K13" s="302"/>
      <c r="L13" s="300">
        <f t="shared" si="4"/>
        <v>0</v>
      </c>
      <c r="M13" s="1310"/>
      <c r="N13" s="1305"/>
      <c r="O13" s="302"/>
      <c r="P13" s="300">
        <f>H13+O13</f>
        <v>0</v>
      </c>
      <c r="R13" s="29">
        <f t="shared" si="5"/>
        <v>7</v>
      </c>
      <c r="S13" s="36" t="s">
        <v>51</v>
      </c>
      <c r="T13" s="85"/>
      <c r="U13" s="82"/>
      <c r="V13" s="82"/>
      <c r="W13" s="82"/>
      <c r="X13" s="65">
        <v>0</v>
      </c>
      <c r="Y13" s="66">
        <v>0</v>
      </c>
      <c r="Z13" s="79"/>
      <c r="AA13" s="83"/>
      <c r="AB13" s="81"/>
      <c r="AC13" s="68">
        <v>0</v>
      </c>
      <c r="AD13" s="68"/>
      <c r="AE13" s="706"/>
      <c r="AF13" s="85"/>
      <c r="AG13" s="68">
        <v>0</v>
      </c>
    </row>
    <row r="14" spans="1:33">
      <c r="A14" s="301"/>
      <c r="B14" s="299" t="s">
        <v>156</v>
      </c>
      <c r="C14" s="302"/>
      <c r="D14" s="302"/>
      <c r="E14" s="302"/>
      <c r="F14" s="302"/>
      <c r="G14" s="300">
        <f t="shared" si="7"/>
        <v>0</v>
      </c>
      <c r="H14" s="300">
        <f t="shared" si="7"/>
        <v>0</v>
      </c>
      <c r="I14" s="300"/>
      <c r="J14" s="302"/>
      <c r="K14" s="302"/>
      <c r="L14" s="300">
        <f t="shared" si="4"/>
        <v>0</v>
      </c>
      <c r="M14" s="1310"/>
      <c r="N14" s="1305"/>
      <c r="O14" s="302"/>
      <c r="P14" s="300">
        <f>H14+O14</f>
        <v>0</v>
      </c>
      <c r="R14" s="29"/>
      <c r="S14" s="36" t="s">
        <v>61</v>
      </c>
      <c r="T14" s="85"/>
      <c r="U14" s="82"/>
      <c r="V14" s="82"/>
      <c r="W14" s="82"/>
      <c r="X14" s="65">
        <v>0</v>
      </c>
      <c r="Y14" s="66">
        <v>0</v>
      </c>
      <c r="Z14" s="79"/>
      <c r="AA14" s="83"/>
      <c r="AB14" s="81"/>
      <c r="AC14" s="68">
        <v>0</v>
      </c>
      <c r="AD14" s="68"/>
      <c r="AE14" s="706"/>
      <c r="AF14" s="85"/>
      <c r="AG14" s="68">
        <v>0</v>
      </c>
    </row>
    <row r="15" spans="1:33">
      <c r="A15" s="298">
        <f>A13+1</f>
        <v>8</v>
      </c>
      <c r="B15" s="303" t="s">
        <v>157</v>
      </c>
      <c r="C15" s="304"/>
      <c r="D15" s="304"/>
      <c r="E15" s="304"/>
      <c r="F15" s="304"/>
      <c r="G15" s="300">
        <f t="shared" si="7"/>
        <v>0</v>
      </c>
      <c r="H15" s="300">
        <f t="shared" si="7"/>
        <v>0</v>
      </c>
      <c r="I15" s="304"/>
      <c r="J15" s="304"/>
      <c r="K15" s="304"/>
      <c r="L15" s="300">
        <f t="shared" si="4"/>
        <v>0</v>
      </c>
      <c r="M15" s="1310"/>
      <c r="N15" s="1305"/>
      <c r="O15" s="304"/>
      <c r="P15" s="300">
        <f>H15+O15</f>
        <v>0</v>
      </c>
      <c r="R15" s="25">
        <f>R13+1</f>
        <v>8</v>
      </c>
      <c r="S15" s="37" t="s">
        <v>66</v>
      </c>
      <c r="T15" s="89"/>
      <c r="U15" s="87"/>
      <c r="V15" s="87"/>
      <c r="W15" s="87"/>
      <c r="X15" s="65"/>
      <c r="Y15" s="66"/>
      <c r="Z15" s="88"/>
      <c r="AA15" s="88"/>
      <c r="AB15" s="86"/>
      <c r="AC15" s="68"/>
      <c r="AD15" s="68"/>
      <c r="AE15" s="1036"/>
      <c r="AF15" s="89"/>
      <c r="AG15" s="68"/>
    </row>
    <row r="16" spans="1:33">
      <c r="A16" s="301">
        <f>+A15+1</f>
        <v>9</v>
      </c>
      <c r="B16" s="299" t="s">
        <v>158</v>
      </c>
      <c r="C16" s="304">
        <f>+C17+C18</f>
        <v>0</v>
      </c>
      <c r="D16" s="304">
        <f t="shared" ref="D16:P16" si="8">+D17+D18</f>
        <v>0</v>
      </c>
      <c r="E16" s="304">
        <f t="shared" si="8"/>
        <v>0</v>
      </c>
      <c r="F16" s="304">
        <f t="shared" si="8"/>
        <v>0</v>
      </c>
      <c r="G16" s="300">
        <f t="shared" si="8"/>
        <v>0</v>
      </c>
      <c r="H16" s="300">
        <f t="shared" si="8"/>
        <v>0</v>
      </c>
      <c r="I16" s="300">
        <f t="shared" si="8"/>
        <v>0</v>
      </c>
      <c r="J16" s="304">
        <f t="shared" si="8"/>
        <v>0</v>
      </c>
      <c r="K16" s="304">
        <f t="shared" si="8"/>
        <v>0</v>
      </c>
      <c r="L16" s="300">
        <f t="shared" si="8"/>
        <v>0</v>
      </c>
      <c r="M16" s="1310"/>
      <c r="N16" s="1305"/>
      <c r="O16" s="304">
        <f t="shared" si="8"/>
        <v>0</v>
      </c>
      <c r="P16" s="300">
        <f t="shared" si="8"/>
        <v>0</v>
      </c>
      <c r="R16" s="29">
        <f t="shared" si="5"/>
        <v>9</v>
      </c>
      <c r="S16" s="36" t="s">
        <v>52</v>
      </c>
      <c r="T16" s="85"/>
      <c r="U16" s="82"/>
      <c r="V16" s="82"/>
      <c r="W16" s="82"/>
      <c r="X16" s="65"/>
      <c r="Y16" s="66"/>
      <c r="Z16" s="79"/>
      <c r="AA16" s="83"/>
      <c r="AB16" s="81"/>
      <c r="AC16" s="68"/>
      <c r="AD16" s="68"/>
      <c r="AE16" s="706"/>
      <c r="AF16" s="85"/>
      <c r="AG16" s="68"/>
    </row>
    <row r="17" spans="1:33">
      <c r="A17" s="298">
        <f>+A16+1</f>
        <v>10</v>
      </c>
      <c r="B17" s="299" t="s">
        <v>159</v>
      </c>
      <c r="C17" s="304"/>
      <c r="D17" s="304">
        <f>+C17</f>
        <v>0</v>
      </c>
      <c r="E17" s="304"/>
      <c r="F17" s="304"/>
      <c r="G17" s="300">
        <f t="shared" ref="G17:H21" si="9">+C17+E17</f>
        <v>0</v>
      </c>
      <c r="H17" s="300">
        <f t="shared" si="9"/>
        <v>0</v>
      </c>
      <c r="I17" s="304"/>
      <c r="J17" s="304"/>
      <c r="K17" s="304"/>
      <c r="L17" s="300">
        <f>+G17-H17</f>
        <v>0</v>
      </c>
      <c r="M17" s="1310"/>
      <c r="N17" s="1305"/>
      <c r="O17" s="304"/>
      <c r="P17" s="300">
        <f>H17+O17</f>
        <v>0</v>
      </c>
      <c r="R17" s="25">
        <f t="shared" si="5"/>
        <v>10</v>
      </c>
      <c r="S17" s="37" t="s">
        <v>30</v>
      </c>
      <c r="T17" s="89"/>
      <c r="U17" s="87"/>
      <c r="V17" s="87"/>
      <c r="W17" s="87"/>
      <c r="X17" s="65"/>
      <c r="Y17" s="66"/>
      <c r="Z17" s="88"/>
      <c r="AA17" s="88"/>
      <c r="AB17" s="86"/>
      <c r="AC17" s="68"/>
      <c r="AD17" s="68"/>
      <c r="AE17" s="1036"/>
      <c r="AF17" s="89"/>
      <c r="AG17" s="68"/>
    </row>
    <row r="18" spans="1:33">
      <c r="A18" s="298">
        <f t="shared" ref="A18:A36" si="10">+A17+1</f>
        <v>11</v>
      </c>
      <c r="B18" s="299" t="s">
        <v>160</v>
      </c>
      <c r="C18" s="304"/>
      <c r="D18" s="304">
        <f>+C18</f>
        <v>0</v>
      </c>
      <c r="E18" s="304"/>
      <c r="F18" s="304"/>
      <c r="G18" s="300">
        <f t="shared" si="9"/>
        <v>0</v>
      </c>
      <c r="H18" s="300">
        <f t="shared" si="9"/>
        <v>0</v>
      </c>
      <c r="I18" s="304"/>
      <c r="J18" s="304"/>
      <c r="K18" s="304"/>
      <c r="L18" s="300">
        <f t="shared" si="4"/>
        <v>0</v>
      </c>
      <c r="M18" s="1310"/>
      <c r="N18" s="1305"/>
      <c r="O18" s="304"/>
      <c r="P18" s="300">
        <f>H18+O18</f>
        <v>0</v>
      </c>
      <c r="R18" s="29">
        <f t="shared" si="5"/>
        <v>11</v>
      </c>
      <c r="S18" s="36" t="s">
        <v>37</v>
      </c>
      <c r="T18" s="85">
        <v>11509</v>
      </c>
      <c r="U18" s="82">
        <v>11509</v>
      </c>
      <c r="V18" s="82"/>
      <c r="W18" s="82"/>
      <c r="X18" s="65">
        <v>11509</v>
      </c>
      <c r="Y18" s="66">
        <v>11509</v>
      </c>
      <c r="Z18" s="83"/>
      <c r="AA18" s="83"/>
      <c r="AB18" s="81">
        <v>38</v>
      </c>
      <c r="AC18" s="68">
        <v>0</v>
      </c>
      <c r="AD18" s="68"/>
      <c r="AE18" s="706"/>
      <c r="AF18" s="85"/>
      <c r="AG18" s="68">
        <v>11509</v>
      </c>
    </row>
    <row r="19" spans="1:33">
      <c r="A19" s="301">
        <f t="shared" si="10"/>
        <v>12</v>
      </c>
      <c r="B19" s="299" t="s">
        <v>161</v>
      </c>
      <c r="C19" s="304">
        <v>11509</v>
      </c>
      <c r="D19" s="304">
        <f>+C19</f>
        <v>11509</v>
      </c>
      <c r="E19" s="304"/>
      <c r="F19" s="304"/>
      <c r="G19" s="300">
        <f t="shared" si="9"/>
        <v>11509</v>
      </c>
      <c r="H19" s="300">
        <f t="shared" si="9"/>
        <v>11509</v>
      </c>
      <c r="I19" s="304"/>
      <c r="J19" s="304"/>
      <c r="K19" s="304">
        <v>38</v>
      </c>
      <c r="L19" s="300">
        <f t="shared" si="4"/>
        <v>0</v>
      </c>
      <c r="M19" s="1310"/>
      <c r="N19" s="1305"/>
      <c r="O19" s="304"/>
      <c r="P19" s="300">
        <f>H19+O19</f>
        <v>11509</v>
      </c>
      <c r="R19" s="29">
        <f t="shared" si="5"/>
        <v>12</v>
      </c>
      <c r="S19" s="50" t="s">
        <v>38</v>
      </c>
      <c r="T19" s="85"/>
      <c r="U19" s="82"/>
      <c r="V19" s="82"/>
      <c r="W19" s="82"/>
      <c r="X19" s="65"/>
      <c r="Y19" s="66"/>
      <c r="Z19" s="83"/>
      <c r="AA19" s="83"/>
      <c r="AB19" s="81"/>
      <c r="AC19" s="68"/>
      <c r="AD19" s="68"/>
      <c r="AE19" s="706"/>
      <c r="AF19" s="85"/>
      <c r="AG19" s="68"/>
    </row>
    <row r="20" spans="1:33">
      <c r="A20" s="301">
        <f t="shared" si="10"/>
        <v>13</v>
      </c>
      <c r="B20" s="299" t="s">
        <v>162</v>
      </c>
      <c r="C20" s="304">
        <v>55</v>
      </c>
      <c r="D20" s="304">
        <v>55</v>
      </c>
      <c r="E20" s="304"/>
      <c r="F20" s="304"/>
      <c r="G20" s="300">
        <f t="shared" si="9"/>
        <v>55</v>
      </c>
      <c r="H20" s="300">
        <f t="shared" si="9"/>
        <v>55</v>
      </c>
      <c r="I20" s="304"/>
      <c r="J20" s="304"/>
      <c r="K20" s="304">
        <v>5</v>
      </c>
      <c r="L20" s="300">
        <f t="shared" si="4"/>
        <v>0</v>
      </c>
      <c r="M20" s="1310"/>
      <c r="N20" s="1305"/>
      <c r="O20" s="304"/>
      <c r="P20" s="300">
        <f>H20+O20</f>
        <v>55</v>
      </c>
      <c r="R20" s="25">
        <f t="shared" si="5"/>
        <v>13</v>
      </c>
      <c r="S20" s="37" t="s">
        <v>30</v>
      </c>
      <c r="T20" s="89"/>
      <c r="U20" s="87"/>
      <c r="V20" s="87"/>
      <c r="W20" s="87"/>
      <c r="X20" s="65"/>
      <c r="Y20" s="66"/>
      <c r="Z20" s="88"/>
      <c r="AA20" s="88"/>
      <c r="AB20" s="86"/>
      <c r="AC20" s="68"/>
      <c r="AD20" s="68"/>
      <c r="AE20" s="1036"/>
      <c r="AF20" s="89"/>
      <c r="AG20" s="68"/>
    </row>
    <row r="21" spans="1:33">
      <c r="A21" s="298">
        <f t="shared" si="10"/>
        <v>14</v>
      </c>
      <c r="B21" s="303" t="s">
        <v>30</v>
      </c>
      <c r="C21" s="304"/>
      <c r="D21" s="304"/>
      <c r="E21" s="304"/>
      <c r="F21" s="304"/>
      <c r="G21" s="300">
        <f t="shared" si="9"/>
        <v>0</v>
      </c>
      <c r="H21" s="300">
        <f t="shared" si="9"/>
        <v>0</v>
      </c>
      <c r="I21" s="304"/>
      <c r="J21" s="304"/>
      <c r="K21" s="304"/>
      <c r="L21" s="300">
        <f t="shared" si="4"/>
        <v>0</v>
      </c>
      <c r="M21" s="1310"/>
      <c r="N21" s="1305"/>
      <c r="O21" s="304"/>
      <c r="P21" s="300">
        <f>H21+O21</f>
        <v>0</v>
      </c>
      <c r="R21" s="24">
        <f t="shared" si="5"/>
        <v>14</v>
      </c>
      <c r="S21" s="38" t="s">
        <v>29</v>
      </c>
      <c r="T21" s="70">
        <v>21353</v>
      </c>
      <c r="U21" s="71">
        <v>21617</v>
      </c>
      <c r="V21" s="71">
        <v>0</v>
      </c>
      <c r="W21" s="71">
        <v>0</v>
      </c>
      <c r="X21" s="71">
        <v>21353</v>
      </c>
      <c r="Y21" s="72">
        <v>21617</v>
      </c>
      <c r="Z21" s="90">
        <v>0</v>
      </c>
      <c r="AA21" s="1252">
        <v>6807</v>
      </c>
      <c r="AB21" s="73">
        <v>82</v>
      </c>
      <c r="AC21" s="74">
        <v>-264</v>
      </c>
      <c r="AD21" s="74"/>
      <c r="AE21" s="1036"/>
      <c r="AF21" s="70">
        <v>0</v>
      </c>
      <c r="AG21" s="74">
        <v>21617</v>
      </c>
    </row>
    <row r="22" spans="1:33">
      <c r="A22" s="292">
        <f t="shared" si="10"/>
        <v>15</v>
      </c>
      <c r="B22" s="293" t="s">
        <v>163</v>
      </c>
      <c r="C22" s="294">
        <f>+C23+C25+C27</f>
        <v>21353</v>
      </c>
      <c r="D22" s="294">
        <f t="shared" ref="D22:P22" si="11">+D23+D25+D27</f>
        <v>21617</v>
      </c>
      <c r="E22" s="294">
        <f t="shared" si="11"/>
        <v>0</v>
      </c>
      <c r="F22" s="294">
        <f t="shared" si="11"/>
        <v>0</v>
      </c>
      <c r="G22" s="294">
        <f t="shared" si="11"/>
        <v>21353</v>
      </c>
      <c r="H22" s="294">
        <f t="shared" si="11"/>
        <v>21617</v>
      </c>
      <c r="I22" s="294">
        <f t="shared" si="11"/>
        <v>0</v>
      </c>
      <c r="J22" s="294">
        <f t="shared" si="11"/>
        <v>6807</v>
      </c>
      <c r="K22" s="294">
        <f t="shared" si="11"/>
        <v>82</v>
      </c>
      <c r="L22" s="294">
        <f t="shared" si="11"/>
        <v>-264</v>
      </c>
      <c r="M22" s="1308"/>
      <c r="N22" s="1305"/>
      <c r="O22" s="294">
        <f t="shared" si="11"/>
        <v>0</v>
      </c>
      <c r="P22" s="294">
        <f t="shared" si="11"/>
        <v>21617</v>
      </c>
      <c r="R22" s="46">
        <f t="shared" si="5"/>
        <v>15</v>
      </c>
      <c r="S22" s="43" t="s">
        <v>53</v>
      </c>
      <c r="T22" s="59"/>
      <c r="U22" s="60"/>
      <c r="V22" s="60"/>
      <c r="W22" s="60"/>
      <c r="X22" s="60"/>
      <c r="Y22" s="61"/>
      <c r="Z22" s="78"/>
      <c r="AA22" s="78"/>
      <c r="AB22" s="62"/>
      <c r="AC22" s="63"/>
      <c r="AD22" s="63"/>
      <c r="AE22" s="1036"/>
      <c r="AF22" s="59"/>
      <c r="AG22" s="63"/>
    </row>
    <row r="23" spans="1:33">
      <c r="A23" s="305">
        <f t="shared" si="10"/>
        <v>16</v>
      </c>
      <c r="B23" s="306" t="s">
        <v>164</v>
      </c>
      <c r="C23" s="297">
        <f>+C24</f>
        <v>3010</v>
      </c>
      <c r="D23" s="297">
        <f t="shared" ref="D23:P23" si="12">+D24</f>
        <v>3165</v>
      </c>
      <c r="E23" s="297">
        <f t="shared" si="12"/>
        <v>0</v>
      </c>
      <c r="F23" s="297">
        <f t="shared" si="12"/>
        <v>0</v>
      </c>
      <c r="G23" s="297">
        <f t="shared" si="12"/>
        <v>3010</v>
      </c>
      <c r="H23" s="297">
        <f t="shared" si="12"/>
        <v>3165</v>
      </c>
      <c r="I23" s="297">
        <f t="shared" si="12"/>
        <v>0</v>
      </c>
      <c r="J23" s="297">
        <f t="shared" si="12"/>
        <v>0</v>
      </c>
      <c r="K23" s="297">
        <f t="shared" si="12"/>
        <v>0</v>
      </c>
      <c r="L23" s="297">
        <f t="shared" si="12"/>
        <v>-155</v>
      </c>
      <c r="M23" s="1309"/>
      <c r="N23" s="1305"/>
      <c r="O23" s="297">
        <f t="shared" si="12"/>
        <v>0</v>
      </c>
      <c r="P23" s="297">
        <f t="shared" si="12"/>
        <v>3165</v>
      </c>
      <c r="R23" s="25">
        <f t="shared" si="5"/>
        <v>16</v>
      </c>
      <c r="S23" s="37" t="s">
        <v>60</v>
      </c>
      <c r="T23" s="89"/>
      <c r="U23" s="87"/>
      <c r="V23" s="87"/>
      <c r="W23" s="87"/>
      <c r="X23" s="65"/>
      <c r="Y23" s="66"/>
      <c r="Z23" s="88"/>
      <c r="AA23" s="88"/>
      <c r="AB23" s="86"/>
      <c r="AC23" s="68"/>
      <c r="AD23" s="68"/>
      <c r="AE23" s="1036"/>
      <c r="AF23" s="89"/>
      <c r="AG23" s="68"/>
    </row>
    <row r="24" spans="1:33">
      <c r="A24" s="298">
        <f t="shared" si="10"/>
        <v>17</v>
      </c>
      <c r="B24" s="299" t="s">
        <v>165</v>
      </c>
      <c r="C24" s="304">
        <v>3010</v>
      </c>
      <c r="D24" s="304">
        <v>3165</v>
      </c>
      <c r="E24" s="304"/>
      <c r="F24" s="304"/>
      <c r="G24" s="300">
        <f>+C24+E24</f>
        <v>3010</v>
      </c>
      <c r="H24" s="300">
        <f>+D24+F24</f>
        <v>3165</v>
      </c>
      <c r="I24" s="304"/>
      <c r="J24" s="304">
        <v>0</v>
      </c>
      <c r="K24" s="304"/>
      <c r="L24" s="300">
        <f>+G24-H24</f>
        <v>-155</v>
      </c>
      <c r="M24" s="1310"/>
      <c r="N24" s="1305"/>
      <c r="O24" s="304"/>
      <c r="P24" s="300">
        <f>H24+O24</f>
        <v>3165</v>
      </c>
      <c r="R24" s="46">
        <f t="shared" si="5"/>
        <v>17</v>
      </c>
      <c r="S24" s="47" t="s">
        <v>59</v>
      </c>
      <c r="T24" s="59">
        <v>11769</v>
      </c>
      <c r="U24" s="60">
        <v>11769</v>
      </c>
      <c r="V24" s="60">
        <v>0</v>
      </c>
      <c r="W24" s="60">
        <v>0</v>
      </c>
      <c r="X24" s="60">
        <v>11769</v>
      </c>
      <c r="Y24" s="61">
        <v>11769</v>
      </c>
      <c r="Z24" s="78">
        <v>0</v>
      </c>
      <c r="AA24" s="78">
        <v>4603</v>
      </c>
      <c r="AB24" s="62">
        <v>79</v>
      </c>
      <c r="AC24" s="63">
        <v>0</v>
      </c>
      <c r="AD24" s="63"/>
      <c r="AE24" s="1036"/>
      <c r="AF24" s="59">
        <v>0</v>
      </c>
      <c r="AG24" s="63">
        <v>11769</v>
      </c>
    </row>
    <row r="25" spans="1:33">
      <c r="A25" s="305">
        <f t="shared" si="10"/>
        <v>18</v>
      </c>
      <c r="B25" s="306" t="s">
        <v>166</v>
      </c>
      <c r="C25" s="297">
        <f>+C26</f>
        <v>11769</v>
      </c>
      <c r="D25" s="297">
        <f t="shared" ref="D25:P25" si="13">+D26</f>
        <v>11769</v>
      </c>
      <c r="E25" s="297">
        <f t="shared" si="13"/>
        <v>0</v>
      </c>
      <c r="F25" s="297">
        <f t="shared" si="13"/>
        <v>0</v>
      </c>
      <c r="G25" s="297">
        <f t="shared" si="13"/>
        <v>11769</v>
      </c>
      <c r="H25" s="297">
        <f t="shared" si="13"/>
        <v>11769</v>
      </c>
      <c r="I25" s="297">
        <f t="shared" si="13"/>
        <v>0</v>
      </c>
      <c r="J25" s="297">
        <f t="shared" si="13"/>
        <v>4603</v>
      </c>
      <c r="K25" s="297">
        <v>79</v>
      </c>
      <c r="L25" s="297">
        <f t="shared" si="13"/>
        <v>0</v>
      </c>
      <c r="M25" s="1309"/>
      <c r="N25" s="1305"/>
      <c r="O25" s="297">
        <f t="shared" si="13"/>
        <v>0</v>
      </c>
      <c r="P25" s="297">
        <f t="shared" si="13"/>
        <v>11769</v>
      </c>
      <c r="R25" s="25">
        <f t="shared" si="5"/>
        <v>18</v>
      </c>
      <c r="S25" s="37" t="s">
        <v>60</v>
      </c>
      <c r="T25" s="89"/>
      <c r="U25" s="87"/>
      <c r="V25" s="87"/>
      <c r="W25" s="87"/>
      <c r="X25" s="65"/>
      <c r="Y25" s="66"/>
      <c r="Z25" s="88"/>
      <c r="AA25" s="88"/>
      <c r="AB25" s="86"/>
      <c r="AC25" s="68"/>
      <c r="AD25" s="68"/>
      <c r="AE25" s="1036"/>
      <c r="AF25" s="89"/>
      <c r="AG25" s="68"/>
    </row>
    <row r="26" spans="1:33">
      <c r="A26" s="298">
        <f t="shared" si="10"/>
        <v>19</v>
      </c>
      <c r="B26" s="1304" t="s">
        <v>167</v>
      </c>
      <c r="C26" s="304">
        <v>11769</v>
      </c>
      <c r="D26" s="304">
        <f>+C26</f>
        <v>11769</v>
      </c>
      <c r="E26" s="304"/>
      <c r="F26" s="304"/>
      <c r="G26" s="300">
        <f>+C26+E26</f>
        <v>11769</v>
      </c>
      <c r="H26" s="300">
        <f>+D26+F26</f>
        <v>11769</v>
      </c>
      <c r="I26" s="304"/>
      <c r="J26" s="304">
        <v>4603</v>
      </c>
      <c r="K26" s="304">
        <v>154</v>
      </c>
      <c r="L26" s="300">
        <f>+G26-H26</f>
        <v>0</v>
      </c>
      <c r="M26" s="1310"/>
      <c r="N26" s="1305"/>
      <c r="O26" s="304"/>
      <c r="P26" s="300">
        <f>H26+O26</f>
        <v>11769</v>
      </c>
      <c r="R26" s="46">
        <f t="shared" si="5"/>
        <v>19</v>
      </c>
      <c r="S26" s="47" t="s">
        <v>54</v>
      </c>
      <c r="T26" s="59">
        <v>6574</v>
      </c>
      <c r="U26" s="60">
        <v>6683</v>
      </c>
      <c r="V26" s="60">
        <v>0</v>
      </c>
      <c r="W26" s="60">
        <v>0</v>
      </c>
      <c r="X26" s="60">
        <v>6574</v>
      </c>
      <c r="Y26" s="61">
        <v>6683</v>
      </c>
      <c r="Z26" s="78">
        <v>0</v>
      </c>
      <c r="AA26" s="78">
        <v>2204</v>
      </c>
      <c r="AB26" s="62">
        <v>3</v>
      </c>
      <c r="AC26" s="63">
        <v>-109</v>
      </c>
      <c r="AD26" s="63"/>
      <c r="AE26" s="1036"/>
      <c r="AF26" s="59">
        <v>0</v>
      </c>
      <c r="AG26" s="63">
        <v>6683</v>
      </c>
    </row>
    <row r="27" spans="1:33">
      <c r="A27" s="305">
        <f t="shared" si="10"/>
        <v>20</v>
      </c>
      <c r="B27" s="306" t="s">
        <v>168</v>
      </c>
      <c r="C27" s="297">
        <f>+C28+C29</f>
        <v>6574</v>
      </c>
      <c r="D27" s="297">
        <f t="shared" ref="D27:P27" si="14">+D28+D29</f>
        <v>6683</v>
      </c>
      <c r="E27" s="297">
        <f t="shared" si="14"/>
        <v>0</v>
      </c>
      <c r="F27" s="297">
        <f t="shared" si="14"/>
        <v>0</v>
      </c>
      <c r="G27" s="297">
        <f t="shared" si="14"/>
        <v>6574</v>
      </c>
      <c r="H27" s="297">
        <f t="shared" si="14"/>
        <v>6683</v>
      </c>
      <c r="I27" s="297">
        <f t="shared" si="14"/>
        <v>0</v>
      </c>
      <c r="J27" s="297">
        <f t="shared" si="14"/>
        <v>2204</v>
      </c>
      <c r="K27" s="297">
        <f t="shared" si="14"/>
        <v>3</v>
      </c>
      <c r="L27" s="297">
        <f t="shared" si="14"/>
        <v>-109</v>
      </c>
      <c r="M27" s="1309"/>
      <c r="N27" s="1305"/>
      <c r="O27" s="297">
        <f t="shared" si="14"/>
        <v>0</v>
      </c>
      <c r="P27" s="297">
        <f t="shared" si="14"/>
        <v>6683</v>
      </c>
      <c r="R27" s="25">
        <f t="shared" si="5"/>
        <v>20</v>
      </c>
      <c r="S27" s="37" t="s">
        <v>60</v>
      </c>
      <c r="T27" s="94"/>
      <c r="U27" s="92"/>
      <c r="V27" s="92"/>
      <c r="W27" s="92"/>
      <c r="X27" s="65"/>
      <c r="Y27" s="66"/>
      <c r="Z27" s="93"/>
      <c r="AA27" s="93"/>
      <c r="AB27" s="91"/>
      <c r="AC27" s="68"/>
      <c r="AD27" s="68"/>
      <c r="AE27" s="1036"/>
      <c r="AF27" s="94"/>
      <c r="AG27" s="68"/>
    </row>
    <row r="28" spans="1:33">
      <c r="A28" s="298">
        <f>+A26+1</f>
        <v>20</v>
      </c>
      <c r="B28" s="299" t="s">
        <v>169</v>
      </c>
      <c r="C28" s="304">
        <v>214</v>
      </c>
      <c r="D28" s="304">
        <f>+C28</f>
        <v>214</v>
      </c>
      <c r="E28" s="304"/>
      <c r="F28" s="304"/>
      <c r="G28" s="300">
        <f t="shared" ref="G28:H30" si="15">+C28+E28</f>
        <v>214</v>
      </c>
      <c r="H28" s="300">
        <f t="shared" si="15"/>
        <v>214</v>
      </c>
      <c r="I28" s="304"/>
      <c r="J28" s="304"/>
      <c r="K28" s="304">
        <v>1</v>
      </c>
      <c r="L28" s="300">
        <f>+G28-H28</f>
        <v>0</v>
      </c>
      <c r="M28" s="1310"/>
      <c r="N28" s="1305"/>
      <c r="O28" s="304"/>
      <c r="P28" s="300">
        <f>H28+O28</f>
        <v>214</v>
      </c>
      <c r="R28" s="24">
        <f t="shared" si="5"/>
        <v>21</v>
      </c>
      <c r="S28" s="38" t="s">
        <v>27</v>
      </c>
      <c r="T28" s="70"/>
      <c r="U28" s="71"/>
      <c r="V28" s="71"/>
      <c r="W28" s="71"/>
      <c r="X28" s="71"/>
      <c r="Y28" s="72"/>
      <c r="Z28" s="90"/>
      <c r="AA28" s="90"/>
      <c r="AB28" s="73"/>
      <c r="AC28" s="74"/>
      <c r="AD28" s="74"/>
      <c r="AE28" s="1036"/>
      <c r="AF28" s="70"/>
      <c r="AG28" s="74"/>
    </row>
    <row r="29" spans="1:33">
      <c r="A29" s="298">
        <f>+A27+1</f>
        <v>21</v>
      </c>
      <c r="B29" s="299" t="s">
        <v>170</v>
      </c>
      <c r="C29" s="304">
        <v>6360</v>
      </c>
      <c r="D29" s="304">
        <f>6683-D28</f>
        <v>6469</v>
      </c>
      <c r="E29" s="304"/>
      <c r="F29" s="304"/>
      <c r="G29" s="300">
        <f t="shared" si="15"/>
        <v>6360</v>
      </c>
      <c r="H29" s="300">
        <f t="shared" si="15"/>
        <v>6469</v>
      </c>
      <c r="I29" s="304"/>
      <c r="J29" s="304">
        <v>2204</v>
      </c>
      <c r="K29" s="304">
        <v>2</v>
      </c>
      <c r="L29" s="300">
        <f>+G29-H29</f>
        <v>-109</v>
      </c>
      <c r="M29" s="1310"/>
      <c r="N29" s="1305"/>
      <c r="O29" s="304"/>
      <c r="P29" s="300">
        <f>H29+O29</f>
        <v>6469</v>
      </c>
      <c r="R29" s="29">
        <f t="shared" si="5"/>
        <v>22</v>
      </c>
      <c r="S29" s="43" t="s">
        <v>34</v>
      </c>
      <c r="T29" s="59"/>
      <c r="U29" s="60"/>
      <c r="V29" s="60"/>
      <c r="W29" s="60"/>
      <c r="X29" s="60"/>
      <c r="Y29" s="61"/>
      <c r="Z29" s="78"/>
      <c r="AA29" s="78"/>
      <c r="AB29" s="62"/>
      <c r="AC29" s="63"/>
      <c r="AD29" s="63"/>
      <c r="AE29" s="1036"/>
      <c r="AF29" s="59"/>
      <c r="AG29" s="63"/>
    </row>
    <row r="30" spans="1:33">
      <c r="A30" s="292">
        <f t="shared" si="10"/>
        <v>22</v>
      </c>
      <c r="B30" s="293" t="s">
        <v>171</v>
      </c>
      <c r="C30" s="294">
        <f>+C31</f>
        <v>0</v>
      </c>
      <c r="D30" s="294">
        <f t="shared" ref="D30:L31" si="16">+D31</f>
        <v>0</v>
      </c>
      <c r="E30" s="294">
        <f t="shared" si="16"/>
        <v>0</v>
      </c>
      <c r="F30" s="294">
        <f t="shared" si="16"/>
        <v>0</v>
      </c>
      <c r="G30" s="294">
        <f t="shared" si="15"/>
        <v>0</v>
      </c>
      <c r="H30" s="294">
        <f t="shared" si="15"/>
        <v>0</v>
      </c>
      <c r="I30" s="294"/>
      <c r="J30" s="294">
        <f>+J31</f>
        <v>0</v>
      </c>
      <c r="K30" s="294">
        <f>+K31</f>
        <v>0</v>
      </c>
      <c r="L30" s="294">
        <f>+G30-H30</f>
        <v>0</v>
      </c>
      <c r="M30" s="1308"/>
      <c r="N30" s="1305"/>
      <c r="O30" s="294">
        <f>+O31</f>
        <v>0</v>
      </c>
      <c r="P30" s="294">
        <f>H30+O30</f>
        <v>0</v>
      </c>
      <c r="R30" s="25">
        <f t="shared" si="5"/>
        <v>23</v>
      </c>
      <c r="S30" s="37" t="s">
        <v>60</v>
      </c>
      <c r="T30" s="94"/>
      <c r="U30" s="92"/>
      <c r="V30" s="92"/>
      <c r="W30" s="92"/>
      <c r="X30" s="65"/>
      <c r="Y30" s="66"/>
      <c r="Z30" s="93"/>
      <c r="AA30" s="93"/>
      <c r="AB30" s="91"/>
      <c r="AC30" s="68"/>
      <c r="AD30" s="68"/>
      <c r="AE30" s="1036"/>
      <c r="AF30" s="94"/>
      <c r="AG30" s="68"/>
    </row>
    <row r="31" spans="1:33">
      <c r="A31" s="301">
        <f t="shared" si="10"/>
        <v>23</v>
      </c>
      <c r="B31" s="307" t="s">
        <v>34</v>
      </c>
      <c r="C31" s="297">
        <f>+C32</f>
        <v>0</v>
      </c>
      <c r="D31" s="297">
        <f t="shared" si="16"/>
        <v>0</v>
      </c>
      <c r="E31" s="297">
        <f t="shared" si="16"/>
        <v>0</v>
      </c>
      <c r="F31" s="297">
        <f t="shared" si="16"/>
        <v>0</v>
      </c>
      <c r="G31" s="297">
        <f t="shared" si="16"/>
        <v>0</v>
      </c>
      <c r="H31" s="297">
        <f t="shared" si="16"/>
        <v>0</v>
      </c>
      <c r="I31" s="297"/>
      <c r="J31" s="297">
        <f t="shared" si="16"/>
        <v>0</v>
      </c>
      <c r="K31" s="297">
        <f t="shared" si="16"/>
        <v>0</v>
      </c>
      <c r="L31" s="297">
        <f t="shared" si="16"/>
        <v>0</v>
      </c>
      <c r="M31" s="1309"/>
      <c r="N31" s="1305"/>
      <c r="O31" s="297">
        <f>+O32</f>
        <v>0</v>
      </c>
      <c r="P31" s="297">
        <f>H31+O31</f>
        <v>0</v>
      </c>
      <c r="R31" s="24">
        <f t="shared" si="5"/>
        <v>24</v>
      </c>
      <c r="S31" s="38" t="s">
        <v>32</v>
      </c>
      <c r="T31" s="70">
        <v>2912</v>
      </c>
      <c r="U31" s="71">
        <v>1288</v>
      </c>
      <c r="V31" s="71">
        <v>0</v>
      </c>
      <c r="W31" s="71">
        <v>0</v>
      </c>
      <c r="X31" s="71">
        <v>2912</v>
      </c>
      <c r="Y31" s="72">
        <v>1288</v>
      </c>
      <c r="Z31" s="90">
        <v>0</v>
      </c>
      <c r="AA31" s="90">
        <v>782</v>
      </c>
      <c r="AB31" s="73">
        <v>0</v>
      </c>
      <c r="AC31" s="74">
        <v>1624</v>
      </c>
      <c r="AD31" s="74"/>
      <c r="AE31" s="1036"/>
      <c r="AF31" s="70">
        <v>0</v>
      </c>
      <c r="AG31" s="74">
        <v>1288</v>
      </c>
    </row>
    <row r="32" spans="1:33">
      <c r="A32" s="298">
        <f t="shared" si="10"/>
        <v>24</v>
      </c>
      <c r="B32" s="303" t="s">
        <v>60</v>
      </c>
      <c r="C32" s="304"/>
      <c r="D32" s="304"/>
      <c r="E32" s="304"/>
      <c r="F32" s="304"/>
      <c r="G32" s="300">
        <f>+C32+E32</f>
        <v>0</v>
      </c>
      <c r="H32" s="300">
        <f>+D32+F32</f>
        <v>0</v>
      </c>
      <c r="I32" s="304"/>
      <c r="J32" s="304"/>
      <c r="K32" s="304"/>
      <c r="L32" s="300">
        <f>+G32-H32</f>
        <v>0</v>
      </c>
      <c r="M32" s="1310"/>
      <c r="N32" s="1305"/>
      <c r="O32" s="304"/>
      <c r="P32" s="300">
        <f>H32+O32</f>
        <v>0</v>
      </c>
      <c r="R32" s="46">
        <f t="shared" si="5"/>
        <v>25</v>
      </c>
      <c r="S32" s="47" t="s">
        <v>39</v>
      </c>
      <c r="T32" s="59"/>
      <c r="U32" s="60"/>
      <c r="V32" s="60"/>
      <c r="W32" s="60"/>
      <c r="X32" s="60"/>
      <c r="Y32" s="61"/>
      <c r="Z32" s="78"/>
      <c r="AA32" s="78"/>
      <c r="AB32" s="62"/>
      <c r="AC32" s="63"/>
      <c r="AD32" s="63"/>
      <c r="AE32" s="1036"/>
      <c r="AF32" s="59"/>
      <c r="AG32" s="63"/>
    </row>
    <row r="33" spans="1:33" ht="15.75" thickBot="1">
      <c r="A33" s="292">
        <f t="shared" si="10"/>
        <v>25</v>
      </c>
      <c r="B33" s="293" t="s">
        <v>172</v>
      </c>
      <c r="C33" s="294">
        <f>+C34</f>
        <v>2912</v>
      </c>
      <c r="D33" s="294">
        <f t="shared" ref="D33:L34" si="17">+D34</f>
        <v>1288</v>
      </c>
      <c r="E33" s="294">
        <f t="shared" si="17"/>
        <v>0</v>
      </c>
      <c r="F33" s="294">
        <f t="shared" si="17"/>
        <v>0</v>
      </c>
      <c r="G33" s="294">
        <f t="shared" si="17"/>
        <v>2912</v>
      </c>
      <c r="H33" s="294">
        <f t="shared" si="17"/>
        <v>1288</v>
      </c>
      <c r="I33" s="294">
        <f t="shared" si="17"/>
        <v>0</v>
      </c>
      <c r="J33" s="294">
        <f t="shared" si="17"/>
        <v>782</v>
      </c>
      <c r="K33" s="294">
        <f t="shared" si="17"/>
        <v>0</v>
      </c>
      <c r="L33" s="294">
        <f t="shared" si="17"/>
        <v>1624</v>
      </c>
      <c r="M33" s="1308"/>
      <c r="N33" s="1305"/>
      <c r="O33" s="294">
        <f>+O34</f>
        <v>0</v>
      </c>
      <c r="P33" s="294">
        <f>+P34</f>
        <v>1288</v>
      </c>
      <c r="R33" s="25">
        <f t="shared" si="5"/>
        <v>26</v>
      </c>
      <c r="S33" s="37" t="s">
        <v>60</v>
      </c>
      <c r="T33" s="89"/>
      <c r="U33" s="87"/>
      <c r="V33" s="87"/>
      <c r="W33" s="87"/>
      <c r="X33" s="65"/>
      <c r="Y33" s="66"/>
      <c r="Z33" s="88"/>
      <c r="AA33" s="88"/>
      <c r="AB33" s="86"/>
      <c r="AC33" s="68"/>
      <c r="AD33" s="68"/>
      <c r="AE33" s="1036"/>
      <c r="AF33" s="89"/>
      <c r="AG33" s="68"/>
    </row>
    <row r="34" spans="1:33" ht="15.75" thickBot="1">
      <c r="A34" s="305">
        <f t="shared" si="10"/>
        <v>26</v>
      </c>
      <c r="B34" s="308" t="s">
        <v>173</v>
      </c>
      <c r="C34" s="297">
        <f>+C35</f>
        <v>2912</v>
      </c>
      <c r="D34" s="297">
        <f t="shared" si="17"/>
        <v>1288</v>
      </c>
      <c r="E34" s="297">
        <f t="shared" si="17"/>
        <v>0</v>
      </c>
      <c r="F34" s="297">
        <f t="shared" si="17"/>
        <v>0</v>
      </c>
      <c r="G34" s="297">
        <f t="shared" si="17"/>
        <v>2912</v>
      </c>
      <c r="H34" s="297">
        <f t="shared" si="17"/>
        <v>1288</v>
      </c>
      <c r="I34" s="297">
        <f t="shared" si="17"/>
        <v>0</v>
      </c>
      <c r="J34" s="297">
        <f t="shared" si="17"/>
        <v>782</v>
      </c>
      <c r="K34" s="297">
        <f t="shared" si="17"/>
        <v>0</v>
      </c>
      <c r="L34" s="297">
        <f t="shared" si="17"/>
        <v>1624</v>
      </c>
      <c r="M34" s="1309"/>
      <c r="N34" s="1305"/>
      <c r="O34" s="297">
        <f>+O35</f>
        <v>0</v>
      </c>
      <c r="P34" s="297">
        <f>+P35</f>
        <v>1288</v>
      </c>
      <c r="R34" s="31">
        <f t="shared" si="5"/>
        <v>27</v>
      </c>
      <c r="S34" s="39" t="s">
        <v>23</v>
      </c>
      <c r="T34" s="95">
        <v>91138</v>
      </c>
      <c r="U34" s="96">
        <v>89728</v>
      </c>
      <c r="V34" s="96">
        <v>600</v>
      </c>
      <c r="W34" s="96">
        <v>600</v>
      </c>
      <c r="X34" s="96">
        <v>91738</v>
      </c>
      <c r="Y34" s="97">
        <v>90328</v>
      </c>
      <c r="Z34" s="98">
        <v>0</v>
      </c>
      <c r="AA34" s="98">
        <v>7589</v>
      </c>
      <c r="AB34" s="99">
        <v>125</v>
      </c>
      <c r="AC34" s="100">
        <v>1410</v>
      </c>
      <c r="AD34" s="100"/>
      <c r="AE34" s="101"/>
      <c r="AF34" s="95">
        <v>0</v>
      </c>
      <c r="AG34" s="100">
        <v>90328</v>
      </c>
    </row>
    <row r="35" spans="1:33">
      <c r="A35" s="298">
        <f t="shared" si="10"/>
        <v>27</v>
      </c>
      <c r="B35" s="309" t="s">
        <v>174</v>
      </c>
      <c r="C35" s="304">
        <v>2912</v>
      </c>
      <c r="D35" s="304">
        <v>1288</v>
      </c>
      <c r="E35" s="304"/>
      <c r="F35" s="304"/>
      <c r="G35" s="300">
        <f>+C35+E35</f>
        <v>2912</v>
      </c>
      <c r="H35" s="300">
        <f>+D35+F35</f>
        <v>1288</v>
      </c>
      <c r="I35" s="304"/>
      <c r="J35" s="304">
        <v>782</v>
      </c>
      <c r="K35" s="304"/>
      <c r="L35" s="300">
        <f>+G35-H35</f>
        <v>1624</v>
      </c>
      <c r="M35" s="1310"/>
      <c r="N35" s="1305"/>
      <c r="O35" s="304"/>
      <c r="P35" s="300">
        <f>H35+O35</f>
        <v>1288</v>
      </c>
    </row>
    <row r="36" spans="1:33">
      <c r="A36" s="310">
        <f t="shared" si="10"/>
        <v>28</v>
      </c>
      <c r="B36" s="311" t="s">
        <v>3</v>
      </c>
      <c r="C36" s="312">
        <f t="shared" ref="C36:L36" si="18">+C7+C22+C30+C33</f>
        <v>91138</v>
      </c>
      <c r="D36" s="312">
        <f t="shared" si="18"/>
        <v>89728</v>
      </c>
      <c r="E36" s="312">
        <f t="shared" si="18"/>
        <v>600</v>
      </c>
      <c r="F36" s="312">
        <f t="shared" si="18"/>
        <v>600</v>
      </c>
      <c r="G36" s="312">
        <f t="shared" si="18"/>
        <v>91738</v>
      </c>
      <c r="H36" s="312">
        <f t="shared" si="18"/>
        <v>90328</v>
      </c>
      <c r="I36" s="312">
        <f t="shared" si="18"/>
        <v>0</v>
      </c>
      <c r="J36" s="312">
        <f t="shared" si="18"/>
        <v>7589</v>
      </c>
      <c r="K36" s="312">
        <f t="shared" si="18"/>
        <v>125</v>
      </c>
      <c r="L36" s="312">
        <f t="shared" si="18"/>
        <v>1410</v>
      </c>
      <c r="M36" s="1311"/>
      <c r="N36" s="1305"/>
      <c r="O36" s="312">
        <f>+O7+O22+O30+O33</f>
        <v>0</v>
      </c>
      <c r="P36" s="312">
        <f>+P7+P22+P30+P33</f>
        <v>90328</v>
      </c>
    </row>
  </sheetData>
  <mergeCells count="25">
    <mergeCell ref="P4:P5"/>
    <mergeCell ref="A1:O1"/>
    <mergeCell ref="A2:O2"/>
    <mergeCell ref="A4:A6"/>
    <mergeCell ref="B4:B6"/>
    <mergeCell ref="C4:D4"/>
    <mergeCell ref="E4:F4"/>
    <mergeCell ref="G4:H4"/>
    <mergeCell ref="I4:I5"/>
    <mergeCell ref="J4:J5"/>
    <mergeCell ref="K4:K5"/>
    <mergeCell ref="AC4:AC5"/>
    <mergeCell ref="AA4:AA5"/>
    <mergeCell ref="AB4:AB5"/>
    <mergeCell ref="L4:L5"/>
    <mergeCell ref="O4:O5"/>
    <mergeCell ref="AD4:AD5"/>
    <mergeCell ref="AF4:AF5"/>
    <mergeCell ref="AG4:AG5"/>
    <mergeCell ref="R4:R6"/>
    <mergeCell ref="S4:S6"/>
    <mergeCell ref="T4:U4"/>
    <mergeCell ref="V4:W4"/>
    <mergeCell ref="X4:Y4"/>
    <mergeCell ref="Z4:Z5"/>
  </mergeCell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AG45"/>
  <sheetViews>
    <sheetView zoomScale="85" zoomScaleNormal="85" workbookViewId="0">
      <selection activeCell="G44" sqref="G44:H44"/>
    </sheetView>
  </sheetViews>
  <sheetFormatPr defaultRowHeight="15"/>
  <cols>
    <col min="1" max="1" width="9.42578125" customWidth="1"/>
    <col min="2" max="2" width="45.85546875" customWidth="1"/>
    <col min="3" max="3" width="12.7109375" customWidth="1"/>
    <col min="4" max="4" width="11.5703125" customWidth="1"/>
    <col min="5" max="5" width="11.28515625" customWidth="1"/>
    <col min="6" max="6" width="11.5703125" customWidth="1"/>
    <col min="7" max="7" width="10.85546875" customWidth="1"/>
    <col min="8" max="9" width="10.42578125" customWidth="1"/>
    <col min="10" max="10" width="12.5703125" customWidth="1"/>
    <col min="11" max="11" width="10.5703125" customWidth="1"/>
    <col min="12" max="12" width="14" customWidth="1"/>
    <col min="13" max="13" width="12.42578125" customWidth="1"/>
    <col min="14" max="14" width="1.7109375" customWidth="1"/>
    <col min="15" max="15" width="11" customWidth="1"/>
    <col min="16" max="16" width="10.85546875" customWidth="1"/>
    <col min="18" max="18" width="9.42578125" hidden="1" customWidth="1"/>
    <col min="19" max="19" width="45.85546875" hidden="1" customWidth="1"/>
    <col min="20" max="20" width="12.7109375" hidden="1" customWidth="1"/>
    <col min="21" max="21" width="11.5703125" hidden="1" customWidth="1"/>
    <col min="22" max="22" width="11.28515625" hidden="1" customWidth="1"/>
    <col min="23" max="23" width="11.5703125" hidden="1" customWidth="1"/>
    <col min="24" max="25" width="12.140625" hidden="1" customWidth="1"/>
    <col min="26" max="26" width="10.42578125" hidden="1" customWidth="1"/>
    <col min="27" max="27" width="12.5703125" hidden="1" customWidth="1"/>
    <col min="28" max="28" width="10.5703125" hidden="1" customWidth="1"/>
    <col min="29" max="29" width="14" hidden="1" customWidth="1"/>
    <col min="30" max="30" width="12.42578125" hidden="1" customWidth="1"/>
    <col min="31" max="31" width="1.7109375" hidden="1" customWidth="1"/>
    <col min="32" max="32" width="11" hidden="1" customWidth="1"/>
    <col min="33" max="33" width="10.85546875" hidden="1" customWidth="1"/>
  </cols>
  <sheetData>
    <row r="1" spans="1:33" ht="15.75">
      <c r="A1" s="102" t="s">
        <v>175</v>
      </c>
      <c r="B1" s="28"/>
      <c r="C1" s="20"/>
      <c r="D1" s="20"/>
      <c r="E1" s="20"/>
      <c r="F1" s="20"/>
      <c r="G1" s="20"/>
      <c r="H1" s="20"/>
      <c r="I1" s="20"/>
      <c r="J1" s="20"/>
      <c r="K1" s="20"/>
      <c r="L1" s="20"/>
      <c r="M1" s="20"/>
      <c r="N1" s="22"/>
      <c r="O1" s="20"/>
      <c r="P1" s="20"/>
    </row>
    <row r="2" spans="1:33" ht="15.75">
      <c r="A2" s="3"/>
      <c r="B2" s="2" t="s">
        <v>43</v>
      </c>
      <c r="C2" s="20"/>
      <c r="D2" s="20"/>
      <c r="E2" s="20"/>
      <c r="F2" s="20"/>
      <c r="G2" s="20"/>
      <c r="H2" s="20"/>
      <c r="I2" s="20"/>
      <c r="J2" s="20"/>
      <c r="K2" s="20"/>
      <c r="L2" s="20"/>
      <c r="M2" s="20"/>
      <c r="N2" s="22"/>
      <c r="O2" s="20"/>
      <c r="P2" s="20"/>
    </row>
    <row r="3" spans="1:33" ht="16.5" thickBot="1">
      <c r="A3" s="313"/>
      <c r="B3" s="314"/>
      <c r="C3" s="313"/>
      <c r="D3" s="313"/>
      <c r="E3" s="313"/>
      <c r="F3" s="313"/>
      <c r="G3" s="313"/>
      <c r="H3" s="313"/>
      <c r="I3" s="313"/>
      <c r="J3" s="313"/>
      <c r="K3" s="313"/>
      <c r="L3" s="313"/>
      <c r="M3" s="313"/>
      <c r="N3" s="315"/>
      <c r="O3" s="313"/>
      <c r="P3" s="316"/>
    </row>
    <row r="4" spans="1:33">
      <c r="A4" s="1418" t="s">
        <v>176</v>
      </c>
      <c r="B4" s="1421" t="s">
        <v>46</v>
      </c>
      <c r="C4" s="1424" t="s">
        <v>18</v>
      </c>
      <c r="D4" s="1425"/>
      <c r="E4" s="1425" t="s">
        <v>19</v>
      </c>
      <c r="F4" s="1425"/>
      <c r="G4" s="1426" t="s">
        <v>20</v>
      </c>
      <c r="H4" s="1427"/>
      <c r="I4" s="1406" t="s">
        <v>47</v>
      </c>
      <c r="J4" s="1406" t="s">
        <v>48</v>
      </c>
      <c r="K4" s="1408" t="s">
        <v>49</v>
      </c>
      <c r="L4" s="1410" t="s">
        <v>117</v>
      </c>
      <c r="M4" s="1412" t="s">
        <v>118</v>
      </c>
      <c r="N4" s="317"/>
      <c r="O4" s="1414" t="s">
        <v>65</v>
      </c>
      <c r="P4" s="1416" t="s">
        <v>21</v>
      </c>
      <c r="R4" s="1357" t="s">
        <v>1</v>
      </c>
      <c r="S4" s="1354" t="s">
        <v>46</v>
      </c>
      <c r="T4" s="1360" t="s">
        <v>18</v>
      </c>
      <c r="U4" s="1361"/>
      <c r="V4" s="1361" t="s">
        <v>19</v>
      </c>
      <c r="W4" s="1361"/>
      <c r="X4" s="1364" t="s">
        <v>20</v>
      </c>
      <c r="Y4" s="1365"/>
      <c r="Z4" s="1349" t="s">
        <v>47</v>
      </c>
      <c r="AA4" s="1349" t="s">
        <v>48</v>
      </c>
      <c r="AB4" s="1351" t="s">
        <v>49</v>
      </c>
      <c r="AC4" s="1362" t="s">
        <v>62</v>
      </c>
      <c r="AD4" s="1370" t="s">
        <v>69</v>
      </c>
      <c r="AE4" s="1037"/>
      <c r="AF4" s="1366" t="s">
        <v>65</v>
      </c>
      <c r="AG4" s="1368" t="s">
        <v>21</v>
      </c>
    </row>
    <row r="5" spans="1:33">
      <c r="A5" s="1419"/>
      <c r="B5" s="1422"/>
      <c r="C5" s="318" t="s">
        <v>26</v>
      </c>
      <c r="D5" s="319" t="s">
        <v>50</v>
      </c>
      <c r="E5" s="320" t="s">
        <v>12</v>
      </c>
      <c r="F5" s="319" t="s">
        <v>16</v>
      </c>
      <c r="G5" s="319" t="s">
        <v>12</v>
      </c>
      <c r="H5" s="321" t="s">
        <v>16</v>
      </c>
      <c r="I5" s="1407"/>
      <c r="J5" s="1407"/>
      <c r="K5" s="1409"/>
      <c r="L5" s="1411"/>
      <c r="M5" s="1413"/>
      <c r="N5" s="317"/>
      <c r="O5" s="1415"/>
      <c r="P5" s="1417"/>
      <c r="R5" s="1358"/>
      <c r="S5" s="1355"/>
      <c r="T5" s="1077" t="s">
        <v>26</v>
      </c>
      <c r="U5" s="11" t="s">
        <v>50</v>
      </c>
      <c r="V5" s="10" t="s">
        <v>12</v>
      </c>
      <c r="W5" s="11" t="s">
        <v>16</v>
      </c>
      <c r="X5" s="11" t="s">
        <v>12</v>
      </c>
      <c r="Y5" s="33" t="s">
        <v>16</v>
      </c>
      <c r="Z5" s="1350"/>
      <c r="AA5" s="1350"/>
      <c r="AB5" s="1352"/>
      <c r="AC5" s="1363"/>
      <c r="AD5" s="1371"/>
      <c r="AE5" s="1037"/>
      <c r="AF5" s="1367"/>
      <c r="AG5" s="1369"/>
    </row>
    <row r="6" spans="1:33" ht="15.75" thickBot="1">
      <c r="A6" s="1420"/>
      <c r="B6" s="1423"/>
      <c r="C6" s="322" t="s">
        <v>4</v>
      </c>
      <c r="D6" s="323" t="s">
        <v>5</v>
      </c>
      <c r="E6" s="323" t="s">
        <v>6</v>
      </c>
      <c r="F6" s="323" t="s">
        <v>7</v>
      </c>
      <c r="G6" s="323" t="s">
        <v>13</v>
      </c>
      <c r="H6" s="324" t="s">
        <v>14</v>
      </c>
      <c r="I6" s="325" t="s">
        <v>28</v>
      </c>
      <c r="J6" s="325" t="s">
        <v>31</v>
      </c>
      <c r="K6" s="326" t="s">
        <v>9</v>
      </c>
      <c r="L6" s="327" t="s">
        <v>22</v>
      </c>
      <c r="M6" s="327" t="s">
        <v>63</v>
      </c>
      <c r="N6" s="317"/>
      <c r="O6" s="322" t="s">
        <v>10</v>
      </c>
      <c r="P6" s="327" t="s">
        <v>64</v>
      </c>
      <c r="R6" s="1359"/>
      <c r="S6" s="1356"/>
      <c r="T6" s="1078" t="s">
        <v>4</v>
      </c>
      <c r="U6" s="13" t="s">
        <v>5</v>
      </c>
      <c r="V6" s="13" t="s">
        <v>6</v>
      </c>
      <c r="W6" s="13" t="s">
        <v>7</v>
      </c>
      <c r="X6" s="13" t="s">
        <v>13</v>
      </c>
      <c r="Y6" s="34" t="s">
        <v>14</v>
      </c>
      <c r="Z6" s="45" t="s">
        <v>28</v>
      </c>
      <c r="AA6" s="45" t="s">
        <v>31</v>
      </c>
      <c r="AB6" s="32" t="s">
        <v>9</v>
      </c>
      <c r="AC6" s="14" t="s">
        <v>22</v>
      </c>
      <c r="AD6" s="14" t="s">
        <v>63</v>
      </c>
      <c r="AE6" s="1037"/>
      <c r="AF6" s="44" t="s">
        <v>10</v>
      </c>
      <c r="AG6" s="14" t="s">
        <v>64</v>
      </c>
    </row>
    <row r="7" spans="1:33">
      <c r="A7" s="24">
        <v>1</v>
      </c>
      <c r="B7" s="38" t="s">
        <v>15</v>
      </c>
      <c r="C7" s="54">
        <f t="shared" ref="C7:K7" si="0">+C8+C15</f>
        <v>1105117</v>
      </c>
      <c r="D7" s="55">
        <f t="shared" si="0"/>
        <v>1098063</v>
      </c>
      <c r="E7" s="55">
        <f t="shared" si="0"/>
        <v>24332</v>
      </c>
      <c r="F7" s="55">
        <f t="shared" si="0"/>
        <v>24332</v>
      </c>
      <c r="G7" s="55">
        <f t="shared" si="0"/>
        <v>1129449</v>
      </c>
      <c r="H7" s="328">
        <f t="shared" si="0"/>
        <v>1122395</v>
      </c>
      <c r="I7" s="75"/>
      <c r="J7" s="75">
        <f t="shared" si="0"/>
        <v>92086</v>
      </c>
      <c r="K7" s="57">
        <f t="shared" si="0"/>
        <v>33071</v>
      </c>
      <c r="L7" s="58">
        <f>+L8+L15</f>
        <v>7054</v>
      </c>
      <c r="M7" s="329">
        <f>+M8+M15</f>
        <v>277</v>
      </c>
      <c r="N7" s="330"/>
      <c r="O7" s="54">
        <f>+O8+O15</f>
        <v>0</v>
      </c>
      <c r="P7" s="58">
        <f>+P8+P15</f>
        <v>1122395</v>
      </c>
      <c r="R7" s="24">
        <v>1</v>
      </c>
      <c r="S7" s="38" t="s">
        <v>15</v>
      </c>
      <c r="T7" s="54">
        <v>1105117</v>
      </c>
      <c r="U7" s="55">
        <v>1098063</v>
      </c>
      <c r="V7" s="55">
        <v>24332</v>
      </c>
      <c r="W7" s="55">
        <v>24332</v>
      </c>
      <c r="X7" s="55">
        <v>1129449</v>
      </c>
      <c r="Y7" s="56">
        <v>1122395</v>
      </c>
      <c r="Z7" s="75"/>
      <c r="AA7" s="75">
        <v>92086</v>
      </c>
      <c r="AB7" s="57">
        <v>33071</v>
      </c>
      <c r="AC7" s="58">
        <v>7054</v>
      </c>
      <c r="AD7" s="58">
        <v>277</v>
      </c>
      <c r="AE7" s="1036"/>
      <c r="AF7" s="54">
        <v>0</v>
      </c>
      <c r="AG7" s="58">
        <v>1122395</v>
      </c>
    </row>
    <row r="8" spans="1:33">
      <c r="A8" s="48">
        <f>A7+1</f>
        <v>2</v>
      </c>
      <c r="B8" s="331" t="s">
        <v>177</v>
      </c>
      <c r="C8" s="59">
        <f>SUM(C9:C10)</f>
        <v>622351</v>
      </c>
      <c r="D8" s="60">
        <f t="shared" ref="D8:O8" si="1">SUM(D9:D10)</f>
        <v>615485</v>
      </c>
      <c r="E8" s="60">
        <f t="shared" si="1"/>
        <v>22900</v>
      </c>
      <c r="F8" s="60">
        <f t="shared" si="1"/>
        <v>22900</v>
      </c>
      <c r="G8" s="60">
        <f t="shared" si="1"/>
        <v>645251</v>
      </c>
      <c r="H8" s="228">
        <f t="shared" si="1"/>
        <v>638385</v>
      </c>
      <c r="I8" s="78">
        <f t="shared" si="1"/>
        <v>0</v>
      </c>
      <c r="J8" s="78">
        <f t="shared" si="1"/>
        <v>4126</v>
      </c>
      <c r="K8" s="62">
        <f t="shared" si="1"/>
        <v>23051</v>
      </c>
      <c r="L8" s="63">
        <f t="shared" si="1"/>
        <v>6866</v>
      </c>
      <c r="M8" s="332">
        <f t="shared" si="1"/>
        <v>159</v>
      </c>
      <c r="N8" s="333"/>
      <c r="O8" s="59">
        <f t="shared" si="1"/>
        <v>0</v>
      </c>
      <c r="P8" s="63">
        <f>SUM(P9:P10)</f>
        <v>638385</v>
      </c>
      <c r="R8" s="48">
        <f>R7+1</f>
        <v>2</v>
      </c>
      <c r="S8" s="35" t="s">
        <v>35</v>
      </c>
      <c r="T8" s="59">
        <v>622351</v>
      </c>
      <c r="U8" s="60">
        <v>615485</v>
      </c>
      <c r="V8" s="60">
        <v>22900</v>
      </c>
      <c r="W8" s="60">
        <v>22900</v>
      </c>
      <c r="X8" s="60">
        <v>645251</v>
      </c>
      <c r="Y8" s="61">
        <v>638385</v>
      </c>
      <c r="Z8" s="77">
        <v>0</v>
      </c>
      <c r="AA8" s="78">
        <v>4126</v>
      </c>
      <c r="AB8" s="62">
        <v>23051</v>
      </c>
      <c r="AC8" s="63">
        <v>6866</v>
      </c>
      <c r="AD8" s="63">
        <v>159</v>
      </c>
      <c r="AE8" s="1036"/>
      <c r="AF8" s="59">
        <v>0</v>
      </c>
      <c r="AG8" s="63">
        <v>638385</v>
      </c>
    </row>
    <row r="9" spans="1:33">
      <c r="A9" s="334">
        <f t="shared" ref="A9:A45" si="2">A8+1</f>
        <v>3</v>
      </c>
      <c r="B9" s="335" t="s">
        <v>178</v>
      </c>
      <c r="C9" s="227">
        <v>603872</v>
      </c>
      <c r="D9" s="270">
        <v>603872</v>
      </c>
      <c r="E9" s="270">
        <v>22900</v>
      </c>
      <c r="F9" s="270">
        <v>22900</v>
      </c>
      <c r="G9" s="270">
        <f>+C9+E9</f>
        <v>626772</v>
      </c>
      <c r="H9" s="336">
        <f>+D9+F9</f>
        <v>626772</v>
      </c>
      <c r="I9" s="337">
        <v>0</v>
      </c>
      <c r="J9" s="337">
        <v>0</v>
      </c>
      <c r="K9" s="338">
        <v>23041</v>
      </c>
      <c r="L9" s="225">
        <f>+G9-H9</f>
        <v>0</v>
      </c>
      <c r="M9" s="339">
        <v>0</v>
      </c>
      <c r="N9" s="340"/>
      <c r="O9" s="227">
        <v>0</v>
      </c>
      <c r="P9" s="225">
        <f>H9+O9</f>
        <v>626772</v>
      </c>
      <c r="R9" s="25">
        <f t="shared" ref="R9:R34" si="3">R8+1</f>
        <v>3</v>
      </c>
      <c r="S9" s="36" t="s">
        <v>58</v>
      </c>
      <c r="T9" s="64">
        <v>603872</v>
      </c>
      <c r="U9" s="65">
        <v>603872</v>
      </c>
      <c r="V9" s="65">
        <v>22900</v>
      </c>
      <c r="W9" s="65">
        <v>22900</v>
      </c>
      <c r="X9" s="65">
        <v>626772</v>
      </c>
      <c r="Y9" s="66">
        <v>626772</v>
      </c>
      <c r="Z9" s="80">
        <v>0</v>
      </c>
      <c r="AA9" s="80">
        <v>0</v>
      </c>
      <c r="AB9" s="67">
        <v>23041</v>
      </c>
      <c r="AC9" s="68">
        <v>0</v>
      </c>
      <c r="AD9" s="68">
        <v>0</v>
      </c>
      <c r="AE9" s="1036"/>
      <c r="AF9" s="64">
        <v>0</v>
      </c>
      <c r="AG9" s="68">
        <v>626772</v>
      </c>
    </row>
    <row r="10" spans="1:33">
      <c r="A10" s="334">
        <f t="shared" si="2"/>
        <v>4</v>
      </c>
      <c r="B10" s="335" t="s">
        <v>179</v>
      </c>
      <c r="C10" s="227">
        <f t="shared" ref="C10:M10" si="4">SUM(C11:C14)</f>
        <v>18479</v>
      </c>
      <c r="D10" s="270">
        <f t="shared" si="4"/>
        <v>11613</v>
      </c>
      <c r="E10" s="270">
        <f t="shared" si="4"/>
        <v>0</v>
      </c>
      <c r="F10" s="270">
        <f t="shared" si="4"/>
        <v>0</v>
      </c>
      <c r="G10" s="270">
        <f t="shared" si="4"/>
        <v>18479</v>
      </c>
      <c r="H10" s="336">
        <f t="shared" si="4"/>
        <v>11613</v>
      </c>
      <c r="I10" s="337">
        <f t="shared" si="4"/>
        <v>0</v>
      </c>
      <c r="J10" s="337">
        <f t="shared" si="4"/>
        <v>4126</v>
      </c>
      <c r="K10" s="338">
        <f t="shared" si="4"/>
        <v>10</v>
      </c>
      <c r="L10" s="225">
        <f t="shared" si="4"/>
        <v>6866</v>
      </c>
      <c r="M10" s="339">
        <f t="shared" si="4"/>
        <v>159</v>
      </c>
      <c r="N10" s="340"/>
      <c r="O10" s="227">
        <f>SUM(O11:O14)</f>
        <v>0</v>
      </c>
      <c r="P10" s="225">
        <f>SUM(P11:P14)</f>
        <v>11613</v>
      </c>
      <c r="R10" s="25">
        <f t="shared" si="3"/>
        <v>4</v>
      </c>
      <c r="S10" s="36" t="s">
        <v>36</v>
      </c>
      <c r="T10" s="64">
        <v>18479</v>
      </c>
      <c r="U10" s="65">
        <v>11613</v>
      </c>
      <c r="V10" s="65">
        <v>0</v>
      </c>
      <c r="W10" s="65">
        <v>0</v>
      </c>
      <c r="X10" s="65">
        <v>18479</v>
      </c>
      <c r="Y10" s="249">
        <v>11613</v>
      </c>
      <c r="Z10" s="80">
        <v>0</v>
      </c>
      <c r="AA10" s="80">
        <v>4126</v>
      </c>
      <c r="AB10" s="67">
        <v>10</v>
      </c>
      <c r="AC10" s="68">
        <v>6866</v>
      </c>
      <c r="AD10" s="68">
        <v>159</v>
      </c>
      <c r="AE10" s="1036"/>
      <c r="AF10" s="64">
        <v>0</v>
      </c>
      <c r="AG10" s="68">
        <v>11613</v>
      </c>
    </row>
    <row r="11" spans="1:33">
      <c r="A11" s="334">
        <f t="shared" si="2"/>
        <v>5</v>
      </c>
      <c r="B11" s="341" t="s">
        <v>180</v>
      </c>
      <c r="C11" s="227">
        <v>1072</v>
      </c>
      <c r="D11" s="270">
        <f>1072-2324</f>
        <v>-1252</v>
      </c>
      <c r="E11" s="270">
        <v>0</v>
      </c>
      <c r="F11" s="270">
        <v>0</v>
      </c>
      <c r="G11" s="270">
        <f t="shared" ref="G11:H15" si="5">+C11+E11</f>
        <v>1072</v>
      </c>
      <c r="H11" s="336">
        <f t="shared" si="5"/>
        <v>-1252</v>
      </c>
      <c r="I11" s="337">
        <v>0</v>
      </c>
      <c r="J11" s="337">
        <v>0</v>
      </c>
      <c r="K11" s="338">
        <v>0</v>
      </c>
      <c r="L11" s="225">
        <f>+G11-H11</f>
        <v>2324</v>
      </c>
      <c r="M11" s="339">
        <v>0</v>
      </c>
      <c r="N11" s="340"/>
      <c r="O11" s="227">
        <v>0</v>
      </c>
      <c r="P11" s="225">
        <f>H11+O11</f>
        <v>-1252</v>
      </c>
      <c r="R11" s="25">
        <f t="shared" si="3"/>
        <v>5</v>
      </c>
      <c r="S11" s="37" t="s">
        <v>30</v>
      </c>
      <c r="T11" s="64"/>
      <c r="U11" s="65"/>
      <c r="V11" s="65"/>
      <c r="W11" s="65"/>
      <c r="X11" s="65"/>
      <c r="Y11" s="66"/>
      <c r="Z11" s="79"/>
      <c r="AA11" s="80"/>
      <c r="AB11" s="67"/>
      <c r="AC11" s="68"/>
      <c r="AD11" s="68"/>
      <c r="AE11" s="1036"/>
      <c r="AF11" s="64"/>
      <c r="AG11" s="68"/>
    </row>
    <row r="12" spans="1:33">
      <c r="A12" s="334">
        <f t="shared" si="2"/>
        <v>6</v>
      </c>
      <c r="B12" s="341" t="s">
        <v>181</v>
      </c>
      <c r="C12" s="227">
        <v>1473</v>
      </c>
      <c r="D12" s="270">
        <v>1468</v>
      </c>
      <c r="E12" s="270">
        <v>0</v>
      </c>
      <c r="F12" s="270">
        <v>0</v>
      </c>
      <c r="G12" s="270">
        <f t="shared" si="5"/>
        <v>1473</v>
      </c>
      <c r="H12" s="336">
        <f t="shared" si="5"/>
        <v>1468</v>
      </c>
      <c r="I12" s="337">
        <v>0</v>
      </c>
      <c r="J12" s="337">
        <v>0</v>
      </c>
      <c r="K12" s="338">
        <v>0</v>
      </c>
      <c r="L12" s="225">
        <f>+G12-H12</f>
        <v>5</v>
      </c>
      <c r="M12" s="339">
        <v>5</v>
      </c>
      <c r="N12" s="340"/>
      <c r="O12" s="227">
        <v>0</v>
      </c>
      <c r="P12" s="225">
        <f>H12+O12</f>
        <v>1468</v>
      </c>
      <c r="R12" s="48">
        <f t="shared" si="3"/>
        <v>6</v>
      </c>
      <c r="S12" s="35" t="s">
        <v>42</v>
      </c>
      <c r="T12" s="59">
        <v>482766</v>
      </c>
      <c r="U12" s="60">
        <v>482578</v>
      </c>
      <c r="V12" s="60">
        <v>1432</v>
      </c>
      <c r="W12" s="60">
        <v>1432</v>
      </c>
      <c r="X12" s="60">
        <v>484198</v>
      </c>
      <c r="Y12" s="61">
        <v>484010</v>
      </c>
      <c r="Z12" s="78"/>
      <c r="AA12" s="78">
        <v>87960</v>
      </c>
      <c r="AB12" s="62">
        <v>10020</v>
      </c>
      <c r="AC12" s="63">
        <v>188</v>
      </c>
      <c r="AD12" s="63">
        <v>118</v>
      </c>
      <c r="AE12" s="1036"/>
      <c r="AF12" s="59">
        <v>0</v>
      </c>
      <c r="AG12" s="63">
        <v>484010</v>
      </c>
    </row>
    <row r="13" spans="1:33">
      <c r="A13" s="334">
        <f t="shared" si="2"/>
        <v>7</v>
      </c>
      <c r="B13" s="341" t="s">
        <v>182</v>
      </c>
      <c r="C13" s="227">
        <v>1154</v>
      </c>
      <c r="D13" s="270">
        <f>680-16</f>
        <v>664</v>
      </c>
      <c r="E13" s="270">
        <v>0</v>
      </c>
      <c r="F13" s="270">
        <v>0</v>
      </c>
      <c r="G13" s="270">
        <f t="shared" si="5"/>
        <v>1154</v>
      </c>
      <c r="H13" s="336">
        <f t="shared" si="5"/>
        <v>664</v>
      </c>
      <c r="I13" s="337">
        <v>0</v>
      </c>
      <c r="J13" s="337">
        <v>0</v>
      </c>
      <c r="K13" s="338">
        <v>10</v>
      </c>
      <c r="L13" s="225">
        <f>+G13-H13</f>
        <v>490</v>
      </c>
      <c r="M13" s="339">
        <v>154</v>
      </c>
      <c r="N13" s="340"/>
      <c r="O13" s="227">
        <v>0</v>
      </c>
      <c r="P13" s="225">
        <f>H13+O13</f>
        <v>664</v>
      </c>
      <c r="R13" s="29">
        <f t="shared" si="3"/>
        <v>7</v>
      </c>
      <c r="S13" s="36" t="s">
        <v>51</v>
      </c>
      <c r="T13" s="85">
        <v>242903</v>
      </c>
      <c r="U13" s="82">
        <v>242903</v>
      </c>
      <c r="V13" s="82">
        <v>1000</v>
      </c>
      <c r="W13" s="82">
        <v>1000</v>
      </c>
      <c r="X13" s="65">
        <v>243903</v>
      </c>
      <c r="Y13" s="66">
        <v>243903</v>
      </c>
      <c r="Z13" s="79">
        <v>0</v>
      </c>
      <c r="AA13" s="83">
        <v>69938</v>
      </c>
      <c r="AB13" s="81">
        <v>7949</v>
      </c>
      <c r="AC13" s="68">
        <v>0</v>
      </c>
      <c r="AD13" s="68">
        <v>0</v>
      </c>
      <c r="AE13" s="706"/>
      <c r="AF13" s="85">
        <v>0</v>
      </c>
      <c r="AG13" s="68">
        <v>243903</v>
      </c>
    </row>
    <row r="14" spans="1:33">
      <c r="A14" s="334">
        <f t="shared" si="2"/>
        <v>8</v>
      </c>
      <c r="B14" s="341" t="s">
        <v>183</v>
      </c>
      <c r="C14" s="227">
        <v>14780</v>
      </c>
      <c r="D14" s="270">
        <v>10733</v>
      </c>
      <c r="E14" s="270">
        <v>0</v>
      </c>
      <c r="F14" s="270">
        <v>0</v>
      </c>
      <c r="G14" s="270">
        <f t="shared" si="5"/>
        <v>14780</v>
      </c>
      <c r="H14" s="336">
        <f t="shared" si="5"/>
        <v>10733</v>
      </c>
      <c r="I14" s="337">
        <v>0</v>
      </c>
      <c r="J14" s="337">
        <v>4126</v>
      </c>
      <c r="K14" s="338">
        <v>0</v>
      </c>
      <c r="L14" s="225">
        <f>+G14-H14</f>
        <v>4047</v>
      </c>
      <c r="M14" s="339">
        <v>0</v>
      </c>
      <c r="N14" s="340"/>
      <c r="O14" s="227">
        <v>0</v>
      </c>
      <c r="P14" s="225">
        <f>H14+O14</f>
        <v>10733</v>
      </c>
      <c r="R14" s="29"/>
      <c r="S14" s="36" t="s">
        <v>61</v>
      </c>
      <c r="T14" s="85">
        <v>232601</v>
      </c>
      <c r="U14" s="82">
        <v>232601</v>
      </c>
      <c r="V14" s="82">
        <v>1000</v>
      </c>
      <c r="W14" s="82">
        <v>1000</v>
      </c>
      <c r="X14" s="65">
        <v>233601</v>
      </c>
      <c r="Y14" s="66">
        <v>233601</v>
      </c>
      <c r="Z14" s="79">
        <v>0</v>
      </c>
      <c r="AA14" s="83">
        <v>69938</v>
      </c>
      <c r="AB14" s="81">
        <v>7949</v>
      </c>
      <c r="AC14" s="68">
        <v>0</v>
      </c>
      <c r="AD14" s="68">
        <v>0</v>
      </c>
      <c r="AE14" s="706"/>
      <c r="AF14" s="85">
        <v>0</v>
      </c>
      <c r="AG14" s="68">
        <v>233601</v>
      </c>
    </row>
    <row r="15" spans="1:33">
      <c r="A15" s="48">
        <f t="shared" si="2"/>
        <v>9</v>
      </c>
      <c r="B15" s="331" t="s">
        <v>184</v>
      </c>
      <c r="C15" s="59">
        <f>+C16+C21+C26+C27</f>
        <v>482766</v>
      </c>
      <c r="D15" s="60">
        <f>+D16+D21+D26+D27</f>
        <v>482578</v>
      </c>
      <c r="E15" s="60">
        <f>+E16+E21+E26+E27</f>
        <v>1432</v>
      </c>
      <c r="F15" s="60">
        <f>+F16+F21+F26+F27</f>
        <v>1432</v>
      </c>
      <c r="G15" s="60">
        <f t="shared" si="5"/>
        <v>484198</v>
      </c>
      <c r="H15" s="228">
        <f t="shared" si="5"/>
        <v>484010</v>
      </c>
      <c r="I15" s="78"/>
      <c r="J15" s="78">
        <f>+J16+J21+J26+J27</f>
        <v>87960</v>
      </c>
      <c r="K15" s="62">
        <f>+K16+K21+K26+K27</f>
        <v>10020</v>
      </c>
      <c r="L15" s="63">
        <f>+G15-H15</f>
        <v>188</v>
      </c>
      <c r="M15" s="332">
        <f>+M16+M21+M26+M27</f>
        <v>118</v>
      </c>
      <c r="N15" s="333"/>
      <c r="O15" s="59">
        <f>+O16+O21+O26+O27</f>
        <v>0</v>
      </c>
      <c r="P15" s="63">
        <f>H15+O15</f>
        <v>484010</v>
      </c>
      <c r="R15" s="25">
        <f>R13+1</f>
        <v>8</v>
      </c>
      <c r="S15" s="37" t="s">
        <v>66</v>
      </c>
      <c r="T15" s="89"/>
      <c r="U15" s="87"/>
      <c r="V15" s="87"/>
      <c r="W15" s="87"/>
      <c r="X15" s="65"/>
      <c r="Y15" s="66"/>
      <c r="Z15" s="88"/>
      <c r="AA15" s="88"/>
      <c r="AB15" s="86"/>
      <c r="AC15" s="68"/>
      <c r="AD15" s="68"/>
      <c r="AE15" s="1036"/>
      <c r="AF15" s="89"/>
      <c r="AG15" s="68"/>
    </row>
    <row r="16" spans="1:33">
      <c r="A16" s="334">
        <f t="shared" si="2"/>
        <v>10</v>
      </c>
      <c r="B16" s="335" t="s">
        <v>185</v>
      </c>
      <c r="C16" s="273">
        <f>C17+C20</f>
        <v>242903</v>
      </c>
      <c r="D16" s="342">
        <f t="shared" ref="D16:P16" si="6">D17+D20</f>
        <v>242903</v>
      </c>
      <c r="E16" s="342">
        <f t="shared" si="6"/>
        <v>1000</v>
      </c>
      <c r="F16" s="342">
        <f t="shared" si="6"/>
        <v>1000</v>
      </c>
      <c r="G16" s="342">
        <f t="shared" si="6"/>
        <v>243903</v>
      </c>
      <c r="H16" s="343">
        <f t="shared" si="6"/>
        <v>243903</v>
      </c>
      <c r="I16" s="271">
        <f t="shared" si="6"/>
        <v>0</v>
      </c>
      <c r="J16" s="271">
        <f t="shared" si="6"/>
        <v>69938</v>
      </c>
      <c r="K16" s="272">
        <f t="shared" si="6"/>
        <v>7949</v>
      </c>
      <c r="L16" s="344">
        <f t="shared" si="6"/>
        <v>0</v>
      </c>
      <c r="M16" s="345">
        <f t="shared" si="6"/>
        <v>0</v>
      </c>
      <c r="N16" s="340"/>
      <c r="O16" s="273">
        <f t="shared" si="6"/>
        <v>0</v>
      </c>
      <c r="P16" s="345">
        <f t="shared" si="6"/>
        <v>243903</v>
      </c>
      <c r="R16" s="29">
        <f t="shared" si="3"/>
        <v>9</v>
      </c>
      <c r="S16" s="36" t="s">
        <v>52</v>
      </c>
      <c r="T16" s="85">
        <v>9890</v>
      </c>
      <c r="U16" s="82">
        <v>9767</v>
      </c>
      <c r="V16" s="82">
        <v>0</v>
      </c>
      <c r="W16" s="82">
        <v>0</v>
      </c>
      <c r="X16" s="65">
        <v>9890</v>
      </c>
      <c r="Y16" s="66">
        <v>9767</v>
      </c>
      <c r="Z16" s="79">
        <v>0</v>
      </c>
      <c r="AA16" s="83">
        <v>0</v>
      </c>
      <c r="AB16" s="81">
        <v>137</v>
      </c>
      <c r="AC16" s="68">
        <v>123</v>
      </c>
      <c r="AD16" s="68">
        <v>53</v>
      </c>
      <c r="AE16" s="706"/>
      <c r="AF16" s="85">
        <v>0</v>
      </c>
      <c r="AG16" s="68">
        <v>9767</v>
      </c>
    </row>
    <row r="17" spans="1:33">
      <c r="A17" s="334">
        <f t="shared" si="2"/>
        <v>11</v>
      </c>
      <c r="B17" s="346" t="s">
        <v>186</v>
      </c>
      <c r="C17" s="227">
        <f>SUM(C18:C19)</f>
        <v>232601</v>
      </c>
      <c r="D17" s="270">
        <f t="shared" ref="D17:P17" si="7">SUM(D18:D19)</f>
        <v>232601</v>
      </c>
      <c r="E17" s="270">
        <f t="shared" si="7"/>
        <v>1000</v>
      </c>
      <c r="F17" s="270">
        <f t="shared" si="7"/>
        <v>1000</v>
      </c>
      <c r="G17" s="270">
        <f t="shared" si="7"/>
        <v>233601</v>
      </c>
      <c r="H17" s="336">
        <f t="shared" si="7"/>
        <v>233601</v>
      </c>
      <c r="I17" s="337">
        <f t="shared" si="7"/>
        <v>0</v>
      </c>
      <c r="J17" s="337">
        <f t="shared" si="7"/>
        <v>69938</v>
      </c>
      <c r="K17" s="338">
        <f t="shared" si="7"/>
        <v>7949</v>
      </c>
      <c r="L17" s="225">
        <f t="shared" si="7"/>
        <v>0</v>
      </c>
      <c r="M17" s="339">
        <f t="shared" si="7"/>
        <v>0</v>
      </c>
      <c r="N17" s="340"/>
      <c r="O17" s="227">
        <f t="shared" si="7"/>
        <v>0</v>
      </c>
      <c r="P17" s="225">
        <f t="shared" si="7"/>
        <v>233601</v>
      </c>
      <c r="R17" s="25">
        <f t="shared" si="3"/>
        <v>10</v>
      </c>
      <c r="S17" s="37" t="s">
        <v>30</v>
      </c>
      <c r="T17" s="89"/>
      <c r="U17" s="87"/>
      <c r="V17" s="87"/>
      <c r="W17" s="87"/>
      <c r="X17" s="65"/>
      <c r="Y17" s="66"/>
      <c r="Z17" s="88"/>
      <c r="AA17" s="88"/>
      <c r="AB17" s="86"/>
      <c r="AC17" s="68"/>
      <c r="AD17" s="68"/>
      <c r="AE17" s="1036"/>
      <c r="AF17" s="89"/>
      <c r="AG17" s="68"/>
    </row>
    <row r="18" spans="1:33">
      <c r="A18" s="334">
        <f t="shared" si="2"/>
        <v>12</v>
      </c>
      <c r="B18" s="347" t="s">
        <v>187</v>
      </c>
      <c r="C18" s="273">
        <v>46257</v>
      </c>
      <c r="D18" s="342">
        <v>46257</v>
      </c>
      <c r="E18" s="342">
        <v>1000</v>
      </c>
      <c r="F18" s="342">
        <v>1000</v>
      </c>
      <c r="G18" s="270">
        <f t="shared" ref="G18:H20" si="8">+C18+E18</f>
        <v>47257</v>
      </c>
      <c r="H18" s="336">
        <f t="shared" si="8"/>
        <v>47257</v>
      </c>
      <c r="I18" s="337">
        <v>0</v>
      </c>
      <c r="J18" s="271">
        <v>0</v>
      </c>
      <c r="K18" s="272">
        <v>1009</v>
      </c>
      <c r="L18" s="225">
        <f>+G18-H18</f>
        <v>0</v>
      </c>
      <c r="M18" s="339">
        <v>0</v>
      </c>
      <c r="N18" s="340"/>
      <c r="O18" s="273">
        <v>0</v>
      </c>
      <c r="P18" s="225">
        <f>H18+O18</f>
        <v>47257</v>
      </c>
      <c r="R18" s="29">
        <f t="shared" si="3"/>
        <v>11</v>
      </c>
      <c r="S18" s="36" t="s">
        <v>37</v>
      </c>
      <c r="T18" s="85">
        <v>135503</v>
      </c>
      <c r="U18" s="82">
        <v>135503</v>
      </c>
      <c r="V18" s="82">
        <v>0</v>
      </c>
      <c r="W18" s="82">
        <v>0</v>
      </c>
      <c r="X18" s="65">
        <v>135503</v>
      </c>
      <c r="Y18" s="66">
        <v>135503</v>
      </c>
      <c r="Z18" s="83">
        <v>0</v>
      </c>
      <c r="AA18" s="83">
        <v>0</v>
      </c>
      <c r="AB18" s="81">
        <v>26</v>
      </c>
      <c r="AC18" s="68">
        <v>0</v>
      </c>
      <c r="AD18" s="68">
        <v>0</v>
      </c>
      <c r="AE18" s="706"/>
      <c r="AF18" s="85">
        <v>0</v>
      </c>
      <c r="AG18" s="68">
        <v>135503</v>
      </c>
    </row>
    <row r="19" spans="1:33">
      <c r="A19" s="334">
        <f t="shared" si="2"/>
        <v>13</v>
      </c>
      <c r="B19" s="347" t="s">
        <v>188</v>
      </c>
      <c r="C19" s="273">
        <v>186344</v>
      </c>
      <c r="D19" s="342">
        <v>186344</v>
      </c>
      <c r="E19" s="342">
        <v>0</v>
      </c>
      <c r="F19" s="342">
        <v>0</v>
      </c>
      <c r="G19" s="270">
        <f t="shared" si="8"/>
        <v>186344</v>
      </c>
      <c r="H19" s="336">
        <f t="shared" si="8"/>
        <v>186344</v>
      </c>
      <c r="I19" s="337">
        <v>0</v>
      </c>
      <c r="J19" s="271">
        <v>69938</v>
      </c>
      <c r="K19" s="272">
        <v>6940</v>
      </c>
      <c r="L19" s="225">
        <f>+G19-H19</f>
        <v>0</v>
      </c>
      <c r="M19" s="339">
        <v>0</v>
      </c>
      <c r="N19" s="340"/>
      <c r="O19" s="273">
        <v>0</v>
      </c>
      <c r="P19" s="225">
        <f>H19+O19</f>
        <v>186344</v>
      </c>
      <c r="R19" s="29">
        <f t="shared" si="3"/>
        <v>12</v>
      </c>
      <c r="S19" s="50" t="s">
        <v>38</v>
      </c>
      <c r="T19" s="85">
        <v>94470</v>
      </c>
      <c r="U19" s="82">
        <v>94405</v>
      </c>
      <c r="V19" s="82">
        <v>432</v>
      </c>
      <c r="W19" s="82">
        <v>432</v>
      </c>
      <c r="X19" s="65">
        <v>94902</v>
      </c>
      <c r="Y19" s="66">
        <v>94837</v>
      </c>
      <c r="Z19" s="83">
        <v>0</v>
      </c>
      <c r="AA19" s="83">
        <v>18022</v>
      </c>
      <c r="AB19" s="81">
        <v>1908</v>
      </c>
      <c r="AC19" s="68">
        <v>65</v>
      </c>
      <c r="AD19" s="68">
        <v>65</v>
      </c>
      <c r="AE19" s="706"/>
      <c r="AF19" s="85">
        <v>0</v>
      </c>
      <c r="AG19" s="68">
        <v>94837</v>
      </c>
    </row>
    <row r="20" spans="1:33">
      <c r="A20" s="334">
        <f t="shared" si="2"/>
        <v>14</v>
      </c>
      <c r="B20" s="346" t="s">
        <v>189</v>
      </c>
      <c r="C20" s="273">
        <v>10302</v>
      </c>
      <c r="D20" s="342">
        <v>10302</v>
      </c>
      <c r="E20" s="342">
        <v>0</v>
      </c>
      <c r="F20" s="342">
        <v>0</v>
      </c>
      <c r="G20" s="270">
        <f t="shared" si="8"/>
        <v>10302</v>
      </c>
      <c r="H20" s="336">
        <f t="shared" si="8"/>
        <v>10302</v>
      </c>
      <c r="I20" s="337">
        <v>0</v>
      </c>
      <c r="J20" s="271">
        <v>0</v>
      </c>
      <c r="K20" s="272">
        <v>0</v>
      </c>
      <c r="L20" s="225">
        <f>+G20-H20</f>
        <v>0</v>
      </c>
      <c r="M20" s="339">
        <v>0</v>
      </c>
      <c r="N20" s="348"/>
      <c r="O20" s="273">
        <v>0</v>
      </c>
      <c r="P20" s="225">
        <f>H20+O20</f>
        <v>10302</v>
      </c>
      <c r="R20" s="25">
        <f t="shared" si="3"/>
        <v>13</v>
      </c>
      <c r="S20" s="37" t="s">
        <v>30</v>
      </c>
      <c r="T20" s="89"/>
      <c r="U20" s="87"/>
      <c r="V20" s="87"/>
      <c r="W20" s="87"/>
      <c r="X20" s="65"/>
      <c r="Y20" s="66"/>
      <c r="Z20" s="88"/>
      <c r="AA20" s="88"/>
      <c r="AB20" s="86"/>
      <c r="AC20" s="68"/>
      <c r="AD20" s="68"/>
      <c r="AE20" s="1036"/>
      <c r="AF20" s="89"/>
      <c r="AG20" s="68"/>
    </row>
    <row r="21" spans="1:33">
      <c r="A21" s="334">
        <f t="shared" si="2"/>
        <v>15</v>
      </c>
      <c r="B21" s="335" t="s">
        <v>190</v>
      </c>
      <c r="C21" s="273">
        <f>SUM(C22:C25)</f>
        <v>9890</v>
      </c>
      <c r="D21" s="342">
        <f t="shared" ref="D21:P21" si="9">SUM(D22:D25)</f>
        <v>9767</v>
      </c>
      <c r="E21" s="342">
        <f t="shared" si="9"/>
        <v>0</v>
      </c>
      <c r="F21" s="342">
        <f t="shared" si="9"/>
        <v>0</v>
      </c>
      <c r="G21" s="342">
        <f t="shared" si="9"/>
        <v>9890</v>
      </c>
      <c r="H21" s="343">
        <f t="shared" si="9"/>
        <v>9767</v>
      </c>
      <c r="I21" s="271">
        <f t="shared" si="9"/>
        <v>0</v>
      </c>
      <c r="J21" s="271">
        <f t="shared" si="9"/>
        <v>0</v>
      </c>
      <c r="K21" s="272">
        <f t="shared" si="9"/>
        <v>137</v>
      </c>
      <c r="L21" s="344">
        <f t="shared" si="9"/>
        <v>123</v>
      </c>
      <c r="M21" s="345">
        <f t="shared" si="9"/>
        <v>53</v>
      </c>
      <c r="N21" s="348"/>
      <c r="O21" s="273">
        <f t="shared" si="9"/>
        <v>0</v>
      </c>
      <c r="P21" s="345">
        <f t="shared" si="9"/>
        <v>9767</v>
      </c>
      <c r="R21" s="24">
        <f t="shared" si="3"/>
        <v>14</v>
      </c>
      <c r="S21" s="38" t="s">
        <v>29</v>
      </c>
      <c r="T21" s="70">
        <v>523160</v>
      </c>
      <c r="U21" s="71">
        <v>518627</v>
      </c>
      <c r="V21" s="71">
        <v>0</v>
      </c>
      <c r="W21" s="71">
        <v>0</v>
      </c>
      <c r="X21" s="71">
        <v>523160</v>
      </c>
      <c r="Y21" s="72">
        <v>518627</v>
      </c>
      <c r="Z21" s="90">
        <v>0</v>
      </c>
      <c r="AA21" s="1252">
        <v>94850</v>
      </c>
      <c r="AB21" s="73">
        <v>6898</v>
      </c>
      <c r="AC21" s="74">
        <v>4533</v>
      </c>
      <c r="AD21" s="74">
        <v>1170</v>
      </c>
      <c r="AE21" s="1036"/>
      <c r="AF21" s="70">
        <v>0</v>
      </c>
      <c r="AG21" s="74">
        <v>518627</v>
      </c>
    </row>
    <row r="22" spans="1:33">
      <c r="A22" s="334">
        <f t="shared" si="2"/>
        <v>16</v>
      </c>
      <c r="B22" s="341" t="s">
        <v>191</v>
      </c>
      <c r="C22" s="273">
        <v>5072</v>
      </c>
      <c r="D22" s="342">
        <v>5070</v>
      </c>
      <c r="E22" s="342">
        <v>0</v>
      </c>
      <c r="F22" s="342">
        <v>0</v>
      </c>
      <c r="G22" s="270">
        <f t="shared" ref="G22:H27" si="10">+C22+E22</f>
        <v>5072</v>
      </c>
      <c r="H22" s="336">
        <f t="shared" si="10"/>
        <v>5070</v>
      </c>
      <c r="I22" s="337">
        <v>0</v>
      </c>
      <c r="J22" s="271">
        <v>0</v>
      </c>
      <c r="K22" s="272">
        <v>137</v>
      </c>
      <c r="L22" s="225">
        <f t="shared" ref="L22:L27" si="11">+G22-H22</f>
        <v>2</v>
      </c>
      <c r="M22" s="339">
        <v>2</v>
      </c>
      <c r="N22" s="348"/>
      <c r="O22" s="273">
        <v>0</v>
      </c>
      <c r="P22" s="225">
        <f t="shared" ref="P22:P42" si="12">H22+O22</f>
        <v>5070</v>
      </c>
      <c r="R22" s="46">
        <f t="shared" si="3"/>
        <v>15</v>
      </c>
      <c r="S22" s="43" t="s">
        <v>53</v>
      </c>
      <c r="T22" s="59"/>
      <c r="U22" s="60"/>
      <c r="V22" s="60"/>
      <c r="W22" s="60"/>
      <c r="X22" s="60"/>
      <c r="Y22" s="61"/>
      <c r="Z22" s="78"/>
      <c r="AA22" s="78"/>
      <c r="AB22" s="62"/>
      <c r="AC22" s="63"/>
      <c r="AD22" s="63"/>
      <c r="AE22" s="1036"/>
      <c r="AF22" s="59"/>
      <c r="AG22" s="63"/>
    </row>
    <row r="23" spans="1:33">
      <c r="A23" s="334">
        <f t="shared" si="2"/>
        <v>17</v>
      </c>
      <c r="B23" s="341" t="s">
        <v>192</v>
      </c>
      <c r="C23" s="273">
        <v>393</v>
      </c>
      <c r="D23" s="342">
        <v>342</v>
      </c>
      <c r="E23" s="342">
        <v>0</v>
      </c>
      <c r="F23" s="342">
        <v>0</v>
      </c>
      <c r="G23" s="270">
        <f t="shared" si="10"/>
        <v>393</v>
      </c>
      <c r="H23" s="336">
        <f t="shared" si="10"/>
        <v>342</v>
      </c>
      <c r="I23" s="337">
        <v>0</v>
      </c>
      <c r="J23" s="271">
        <v>0</v>
      </c>
      <c r="K23" s="272">
        <v>0</v>
      </c>
      <c r="L23" s="225">
        <f t="shared" si="11"/>
        <v>51</v>
      </c>
      <c r="M23" s="339">
        <v>51</v>
      </c>
      <c r="N23" s="349"/>
      <c r="O23" s="273">
        <v>0</v>
      </c>
      <c r="P23" s="225">
        <f t="shared" si="12"/>
        <v>342</v>
      </c>
      <c r="R23" s="25">
        <f t="shared" si="3"/>
        <v>16</v>
      </c>
      <c r="S23" s="37" t="s">
        <v>60</v>
      </c>
      <c r="T23" s="89"/>
      <c r="U23" s="87"/>
      <c r="V23" s="87"/>
      <c r="W23" s="87"/>
      <c r="X23" s="65"/>
      <c r="Y23" s="66"/>
      <c r="Z23" s="88"/>
      <c r="AA23" s="88"/>
      <c r="AB23" s="86"/>
      <c r="AC23" s="68"/>
      <c r="AD23" s="68"/>
      <c r="AE23" s="1036"/>
      <c r="AF23" s="89"/>
      <c r="AG23" s="68"/>
    </row>
    <row r="24" spans="1:33">
      <c r="A24" s="334">
        <f t="shared" si="2"/>
        <v>18</v>
      </c>
      <c r="B24" s="341" t="s">
        <v>193</v>
      </c>
      <c r="C24" s="273">
        <v>1919</v>
      </c>
      <c r="D24" s="342">
        <v>1919</v>
      </c>
      <c r="E24" s="342">
        <v>0</v>
      </c>
      <c r="F24" s="342">
        <v>0</v>
      </c>
      <c r="G24" s="270">
        <f t="shared" si="10"/>
        <v>1919</v>
      </c>
      <c r="H24" s="336">
        <f t="shared" si="10"/>
        <v>1919</v>
      </c>
      <c r="I24" s="337">
        <v>0</v>
      </c>
      <c r="J24" s="271">
        <v>0</v>
      </c>
      <c r="K24" s="272">
        <v>0</v>
      </c>
      <c r="L24" s="225">
        <f t="shared" si="11"/>
        <v>0</v>
      </c>
      <c r="M24" s="339">
        <v>0</v>
      </c>
      <c r="N24" s="349"/>
      <c r="O24" s="273">
        <v>0</v>
      </c>
      <c r="P24" s="225">
        <f t="shared" si="12"/>
        <v>1919</v>
      </c>
      <c r="R24" s="46">
        <f t="shared" si="3"/>
        <v>17</v>
      </c>
      <c r="S24" s="47" t="s">
        <v>59</v>
      </c>
      <c r="T24" s="59">
        <v>399424</v>
      </c>
      <c r="U24" s="60">
        <v>396125</v>
      </c>
      <c r="V24" s="60">
        <v>0</v>
      </c>
      <c r="W24" s="60">
        <v>0</v>
      </c>
      <c r="X24" s="60">
        <v>399424</v>
      </c>
      <c r="Y24" s="61">
        <v>396125</v>
      </c>
      <c r="Z24" s="78">
        <v>0</v>
      </c>
      <c r="AA24" s="78">
        <v>71168</v>
      </c>
      <c r="AB24" s="62">
        <v>5358</v>
      </c>
      <c r="AC24" s="63">
        <v>3299</v>
      </c>
      <c r="AD24" s="63">
        <v>1157</v>
      </c>
      <c r="AE24" s="1036"/>
      <c r="AF24" s="59">
        <v>0</v>
      </c>
      <c r="AG24" s="63">
        <v>396125</v>
      </c>
    </row>
    <row r="25" spans="1:33">
      <c r="A25" s="334">
        <f t="shared" si="2"/>
        <v>19</v>
      </c>
      <c r="B25" s="341" t="s">
        <v>194</v>
      </c>
      <c r="C25" s="273">
        <v>2506</v>
      </c>
      <c r="D25" s="342">
        <v>2436</v>
      </c>
      <c r="E25" s="342">
        <v>0</v>
      </c>
      <c r="F25" s="342">
        <v>0</v>
      </c>
      <c r="G25" s="270">
        <f t="shared" si="10"/>
        <v>2506</v>
      </c>
      <c r="H25" s="336">
        <f t="shared" si="10"/>
        <v>2436</v>
      </c>
      <c r="I25" s="337">
        <v>0</v>
      </c>
      <c r="J25" s="271">
        <v>0</v>
      </c>
      <c r="K25" s="272">
        <v>0</v>
      </c>
      <c r="L25" s="225">
        <f t="shared" si="11"/>
        <v>70</v>
      </c>
      <c r="M25" s="339">
        <v>0</v>
      </c>
      <c r="N25" s="349"/>
      <c r="O25" s="273">
        <v>0</v>
      </c>
      <c r="P25" s="225">
        <f t="shared" si="12"/>
        <v>2436</v>
      </c>
      <c r="R25" s="25">
        <f t="shared" si="3"/>
        <v>18</v>
      </c>
      <c r="S25" s="37" t="s">
        <v>60</v>
      </c>
      <c r="T25" s="89"/>
      <c r="U25" s="87"/>
      <c r="V25" s="87"/>
      <c r="W25" s="87"/>
      <c r="X25" s="65"/>
      <c r="Y25" s="66"/>
      <c r="Z25" s="88"/>
      <c r="AA25" s="88"/>
      <c r="AB25" s="86"/>
      <c r="AC25" s="68"/>
      <c r="AD25" s="68"/>
      <c r="AE25" s="1036"/>
      <c r="AF25" s="89"/>
      <c r="AG25" s="68"/>
    </row>
    <row r="26" spans="1:33">
      <c r="A26" s="334">
        <f t="shared" si="2"/>
        <v>20</v>
      </c>
      <c r="B26" s="335" t="s">
        <v>195</v>
      </c>
      <c r="C26" s="273">
        <v>135503</v>
      </c>
      <c r="D26" s="350">
        <v>135503</v>
      </c>
      <c r="E26" s="342">
        <v>0</v>
      </c>
      <c r="F26" s="342">
        <v>0</v>
      </c>
      <c r="G26" s="270">
        <f t="shared" si="10"/>
        <v>135503</v>
      </c>
      <c r="H26" s="336">
        <f t="shared" si="10"/>
        <v>135503</v>
      </c>
      <c r="I26" s="271">
        <v>0</v>
      </c>
      <c r="J26" s="271">
        <v>0</v>
      </c>
      <c r="K26" s="272">
        <v>26</v>
      </c>
      <c r="L26" s="225">
        <f t="shared" si="11"/>
        <v>0</v>
      </c>
      <c r="M26" s="339">
        <v>0</v>
      </c>
      <c r="N26" s="349"/>
      <c r="O26" s="273">
        <v>0</v>
      </c>
      <c r="P26" s="225">
        <f t="shared" si="12"/>
        <v>135503</v>
      </c>
      <c r="R26" s="46">
        <f t="shared" si="3"/>
        <v>19</v>
      </c>
      <c r="S26" s="47" t="s">
        <v>54</v>
      </c>
      <c r="T26" s="59">
        <v>10038</v>
      </c>
      <c r="U26" s="60">
        <v>9995</v>
      </c>
      <c r="V26" s="60">
        <v>0</v>
      </c>
      <c r="W26" s="60">
        <v>0</v>
      </c>
      <c r="X26" s="60">
        <v>10038</v>
      </c>
      <c r="Y26" s="61">
        <v>9995</v>
      </c>
      <c r="Z26" s="78">
        <v>0</v>
      </c>
      <c r="AA26" s="78">
        <v>787</v>
      </c>
      <c r="AB26" s="62">
        <v>293</v>
      </c>
      <c r="AC26" s="63">
        <v>43</v>
      </c>
      <c r="AD26" s="63">
        <v>13</v>
      </c>
      <c r="AE26" s="1036"/>
      <c r="AF26" s="59">
        <v>0</v>
      </c>
      <c r="AG26" s="63">
        <v>9995</v>
      </c>
    </row>
    <row r="27" spans="1:33">
      <c r="A27" s="334">
        <f t="shared" si="2"/>
        <v>21</v>
      </c>
      <c r="B27" s="351" t="s">
        <v>196</v>
      </c>
      <c r="C27" s="273">
        <v>94470</v>
      </c>
      <c r="D27" s="342">
        <v>94405</v>
      </c>
      <c r="E27" s="342">
        <v>432</v>
      </c>
      <c r="F27" s="342">
        <v>432</v>
      </c>
      <c r="G27" s="270">
        <f t="shared" si="10"/>
        <v>94902</v>
      </c>
      <c r="H27" s="336">
        <f t="shared" si="10"/>
        <v>94837</v>
      </c>
      <c r="I27" s="271">
        <v>0</v>
      </c>
      <c r="J27" s="271">
        <v>18022</v>
      </c>
      <c r="K27" s="272">
        <v>1908</v>
      </c>
      <c r="L27" s="225">
        <f t="shared" si="11"/>
        <v>65</v>
      </c>
      <c r="M27" s="339">
        <v>65</v>
      </c>
      <c r="N27" s="349"/>
      <c r="O27" s="273">
        <v>0</v>
      </c>
      <c r="P27" s="225">
        <f t="shared" si="12"/>
        <v>94837</v>
      </c>
      <c r="R27" s="25">
        <f t="shared" si="3"/>
        <v>20</v>
      </c>
      <c r="S27" s="37" t="s">
        <v>60</v>
      </c>
      <c r="T27" s="94"/>
      <c r="U27" s="92"/>
      <c r="V27" s="92"/>
      <c r="W27" s="92"/>
      <c r="X27" s="65"/>
      <c r="Y27" s="66"/>
      <c r="Z27" s="93"/>
      <c r="AA27" s="93"/>
      <c r="AB27" s="91"/>
      <c r="AC27" s="68"/>
      <c r="AD27" s="68"/>
      <c r="AE27" s="1036"/>
      <c r="AF27" s="94"/>
      <c r="AG27" s="68"/>
    </row>
    <row r="28" spans="1:33">
      <c r="A28" s="24">
        <f t="shared" si="2"/>
        <v>22</v>
      </c>
      <c r="B28" s="38" t="s">
        <v>29</v>
      </c>
      <c r="C28" s="70">
        <f>SUM(C29:C36)</f>
        <v>523160</v>
      </c>
      <c r="D28" s="71">
        <f t="shared" ref="D28:L28" si="13">SUM(D29:D36)</f>
        <v>518627</v>
      </c>
      <c r="E28" s="71">
        <f t="shared" si="13"/>
        <v>0</v>
      </c>
      <c r="F28" s="71">
        <f t="shared" si="13"/>
        <v>0</v>
      </c>
      <c r="G28" s="71">
        <f t="shared" si="13"/>
        <v>523160</v>
      </c>
      <c r="H28" s="352">
        <f t="shared" si="13"/>
        <v>518627</v>
      </c>
      <c r="I28" s="90">
        <f t="shared" si="13"/>
        <v>0</v>
      </c>
      <c r="J28" s="90">
        <f t="shared" si="13"/>
        <v>94850</v>
      </c>
      <c r="K28" s="73">
        <f t="shared" si="13"/>
        <v>6898</v>
      </c>
      <c r="L28" s="74">
        <f t="shared" si="13"/>
        <v>4533</v>
      </c>
      <c r="M28" s="353">
        <f>+M29+M35+M36</f>
        <v>1170</v>
      </c>
      <c r="N28" s="349"/>
      <c r="O28" s="70">
        <f>+O29+O35+O36</f>
        <v>0</v>
      </c>
      <c r="P28" s="74">
        <f>H28+O28</f>
        <v>518627</v>
      </c>
      <c r="R28" s="24">
        <f t="shared" si="3"/>
        <v>21</v>
      </c>
      <c r="S28" s="38" t="s">
        <v>27</v>
      </c>
      <c r="T28" s="70">
        <v>28678</v>
      </c>
      <c r="U28" s="71">
        <v>12799</v>
      </c>
      <c r="V28" s="71">
        <v>0</v>
      </c>
      <c r="W28" s="71">
        <v>0</v>
      </c>
      <c r="X28" s="71">
        <v>28678</v>
      </c>
      <c r="Y28" s="72">
        <v>12799</v>
      </c>
      <c r="Z28" s="90">
        <v>0</v>
      </c>
      <c r="AA28" s="90">
        <v>0</v>
      </c>
      <c r="AB28" s="73">
        <v>0</v>
      </c>
      <c r="AC28" s="74">
        <v>15879</v>
      </c>
      <c r="AD28" s="74">
        <v>0</v>
      </c>
      <c r="AE28" s="1036"/>
      <c r="AF28" s="70">
        <v>0</v>
      </c>
      <c r="AG28" s="74">
        <v>12799</v>
      </c>
    </row>
    <row r="29" spans="1:33">
      <c r="A29" s="334">
        <f t="shared" si="2"/>
        <v>23</v>
      </c>
      <c r="B29" s="335" t="s">
        <v>197</v>
      </c>
      <c r="C29" s="227">
        <v>4338</v>
      </c>
      <c r="D29" s="270">
        <v>4235</v>
      </c>
      <c r="E29" s="270">
        <v>0</v>
      </c>
      <c r="F29" s="270">
        <v>0</v>
      </c>
      <c r="G29" s="270">
        <f t="shared" ref="G29:H37" si="14">+C29+E29</f>
        <v>4338</v>
      </c>
      <c r="H29" s="336">
        <f t="shared" si="14"/>
        <v>4235</v>
      </c>
      <c r="I29" s="337">
        <v>0</v>
      </c>
      <c r="J29" s="337">
        <v>0</v>
      </c>
      <c r="K29" s="338">
        <v>139</v>
      </c>
      <c r="L29" s="225">
        <f t="shared" ref="L29:L36" si="15">+G29-H29</f>
        <v>103</v>
      </c>
      <c r="M29" s="339">
        <v>0</v>
      </c>
      <c r="N29" s="349"/>
      <c r="O29" s="227">
        <v>0</v>
      </c>
      <c r="P29" s="225">
        <f t="shared" si="12"/>
        <v>4235</v>
      </c>
      <c r="R29" s="29">
        <f t="shared" si="3"/>
        <v>22</v>
      </c>
      <c r="S29" s="43" t="s">
        <v>34</v>
      </c>
      <c r="T29" s="59"/>
      <c r="U29" s="60"/>
      <c r="V29" s="60"/>
      <c r="W29" s="60"/>
      <c r="X29" s="60"/>
      <c r="Y29" s="61"/>
      <c r="Z29" s="78"/>
      <c r="AA29" s="78"/>
      <c r="AB29" s="62"/>
      <c r="AC29" s="63"/>
      <c r="AD29" s="63"/>
      <c r="AE29" s="1036"/>
      <c r="AF29" s="59"/>
      <c r="AG29" s="63"/>
    </row>
    <row r="30" spans="1:33">
      <c r="A30" s="334">
        <f t="shared" si="2"/>
        <v>24</v>
      </c>
      <c r="B30" s="335" t="s">
        <v>198</v>
      </c>
      <c r="C30" s="273">
        <v>87317</v>
      </c>
      <c r="D30" s="342">
        <v>86367</v>
      </c>
      <c r="E30" s="342">
        <v>0</v>
      </c>
      <c r="F30" s="342">
        <v>0</v>
      </c>
      <c r="G30" s="270">
        <f t="shared" si="14"/>
        <v>87317</v>
      </c>
      <c r="H30" s="336">
        <f t="shared" si="14"/>
        <v>86367</v>
      </c>
      <c r="I30" s="271">
        <v>0</v>
      </c>
      <c r="J30" s="271">
        <v>21610</v>
      </c>
      <c r="K30" s="272">
        <v>784</v>
      </c>
      <c r="L30" s="225">
        <f t="shared" si="15"/>
        <v>950</v>
      </c>
      <c r="M30" s="339">
        <v>0</v>
      </c>
      <c r="N30" s="349"/>
      <c r="O30" s="273">
        <v>0</v>
      </c>
      <c r="P30" s="225">
        <f t="shared" si="12"/>
        <v>86367</v>
      </c>
      <c r="R30" s="25">
        <f t="shared" si="3"/>
        <v>23</v>
      </c>
      <c r="S30" s="37" t="s">
        <v>60</v>
      </c>
      <c r="T30" s="94"/>
      <c r="U30" s="92"/>
      <c r="V30" s="92"/>
      <c r="W30" s="92"/>
      <c r="X30" s="65"/>
      <c r="Y30" s="66"/>
      <c r="Z30" s="93"/>
      <c r="AA30" s="93"/>
      <c r="AB30" s="91"/>
      <c r="AC30" s="68"/>
      <c r="AD30" s="68"/>
      <c r="AE30" s="1036"/>
      <c r="AF30" s="94"/>
      <c r="AG30" s="68"/>
    </row>
    <row r="31" spans="1:33">
      <c r="A31" s="334">
        <f t="shared" si="2"/>
        <v>25</v>
      </c>
      <c r="B31" s="354" t="s">
        <v>199</v>
      </c>
      <c r="C31" s="273">
        <v>2895</v>
      </c>
      <c r="D31" s="342">
        <v>2895</v>
      </c>
      <c r="E31" s="342">
        <v>0</v>
      </c>
      <c r="F31" s="342">
        <v>0</v>
      </c>
      <c r="G31" s="270">
        <f t="shared" si="14"/>
        <v>2895</v>
      </c>
      <c r="H31" s="336">
        <f t="shared" si="14"/>
        <v>2895</v>
      </c>
      <c r="I31" s="271">
        <v>0</v>
      </c>
      <c r="J31" s="271">
        <v>1285</v>
      </c>
      <c r="K31" s="272">
        <v>0</v>
      </c>
      <c r="L31" s="225">
        <f t="shared" si="15"/>
        <v>0</v>
      </c>
      <c r="M31" s="339">
        <v>0</v>
      </c>
      <c r="N31" s="349"/>
      <c r="O31" s="273">
        <v>0</v>
      </c>
      <c r="P31" s="225">
        <f t="shared" si="12"/>
        <v>2895</v>
      </c>
      <c r="R31" s="24">
        <f t="shared" si="3"/>
        <v>24</v>
      </c>
      <c r="S31" s="38" t="s">
        <v>32</v>
      </c>
      <c r="T31" s="70">
        <v>158045</v>
      </c>
      <c r="U31" s="71">
        <v>157498</v>
      </c>
      <c r="V31" s="71">
        <v>0</v>
      </c>
      <c r="W31" s="71">
        <v>0</v>
      </c>
      <c r="X31" s="71">
        <v>157974</v>
      </c>
      <c r="Y31" s="72">
        <v>157427</v>
      </c>
      <c r="Z31" s="90">
        <v>100</v>
      </c>
      <c r="AA31" s="90">
        <v>29757</v>
      </c>
      <c r="AB31" s="73">
        <v>61753</v>
      </c>
      <c r="AC31" s="74">
        <v>547</v>
      </c>
      <c r="AD31" s="74">
        <v>0</v>
      </c>
      <c r="AE31" s="1036"/>
      <c r="AF31" s="70">
        <v>0</v>
      </c>
      <c r="AG31" s="74">
        <v>157427</v>
      </c>
    </row>
    <row r="32" spans="1:33">
      <c r="A32" s="334">
        <f t="shared" si="2"/>
        <v>26</v>
      </c>
      <c r="B32" s="354" t="s">
        <v>200</v>
      </c>
      <c r="C32" s="273">
        <v>57</v>
      </c>
      <c r="D32" s="342">
        <v>57</v>
      </c>
      <c r="E32" s="342">
        <v>0</v>
      </c>
      <c r="F32" s="342">
        <v>0</v>
      </c>
      <c r="G32" s="270">
        <f t="shared" si="14"/>
        <v>57</v>
      </c>
      <c r="H32" s="336">
        <f t="shared" si="14"/>
        <v>57</v>
      </c>
      <c r="I32" s="271">
        <v>0</v>
      </c>
      <c r="J32" s="271">
        <v>0</v>
      </c>
      <c r="K32" s="272">
        <v>0</v>
      </c>
      <c r="L32" s="225">
        <f t="shared" si="15"/>
        <v>0</v>
      </c>
      <c r="M32" s="339">
        <v>0</v>
      </c>
      <c r="N32" s="349"/>
      <c r="O32" s="273">
        <v>0</v>
      </c>
      <c r="P32" s="225">
        <f>H32+O32</f>
        <v>57</v>
      </c>
      <c r="R32" s="46">
        <f t="shared" si="3"/>
        <v>25</v>
      </c>
      <c r="S32" s="47" t="s">
        <v>39</v>
      </c>
      <c r="T32" s="59"/>
      <c r="U32" s="60"/>
      <c r="V32" s="60"/>
      <c r="W32" s="60"/>
      <c r="X32" s="60"/>
      <c r="Y32" s="61"/>
      <c r="Z32" s="78"/>
      <c r="AA32" s="78"/>
      <c r="AB32" s="62"/>
      <c r="AC32" s="63"/>
      <c r="AD32" s="63"/>
      <c r="AE32" s="1036"/>
      <c r="AF32" s="59"/>
      <c r="AG32" s="63"/>
    </row>
    <row r="33" spans="1:33" ht="15.75" thickBot="1">
      <c r="A33" s="334">
        <f t="shared" si="2"/>
        <v>27</v>
      </c>
      <c r="B33" s="354" t="s">
        <v>201</v>
      </c>
      <c r="C33" s="273">
        <v>19069</v>
      </c>
      <c r="D33" s="342">
        <v>18931</v>
      </c>
      <c r="E33" s="342">
        <v>0</v>
      </c>
      <c r="F33" s="342">
        <v>0</v>
      </c>
      <c r="G33" s="270">
        <f t="shared" si="14"/>
        <v>19069</v>
      </c>
      <c r="H33" s="336">
        <f t="shared" si="14"/>
        <v>18931</v>
      </c>
      <c r="I33" s="271">
        <v>0</v>
      </c>
      <c r="J33" s="271">
        <v>0</v>
      </c>
      <c r="K33" s="272">
        <v>324</v>
      </c>
      <c r="L33" s="225">
        <f t="shared" si="15"/>
        <v>138</v>
      </c>
      <c r="M33" s="339">
        <v>0</v>
      </c>
      <c r="N33" s="349"/>
      <c r="O33" s="273">
        <v>0</v>
      </c>
      <c r="P33" s="225">
        <f>H33+O33</f>
        <v>18931</v>
      </c>
      <c r="R33" s="25">
        <f t="shared" si="3"/>
        <v>26</v>
      </c>
      <c r="S33" s="37" t="s">
        <v>60</v>
      </c>
      <c r="T33" s="89"/>
      <c r="U33" s="87"/>
      <c r="V33" s="87"/>
      <c r="W33" s="87"/>
      <c r="X33" s="65"/>
      <c r="Y33" s="66"/>
      <c r="Z33" s="88"/>
      <c r="AA33" s="88"/>
      <c r="AB33" s="86"/>
      <c r="AC33" s="68"/>
      <c r="AD33" s="68"/>
      <c r="AE33" s="1036"/>
      <c r="AF33" s="89"/>
      <c r="AG33" s="68"/>
    </row>
    <row r="34" spans="1:33" ht="15.75" thickBot="1">
      <c r="A34" s="334">
        <f t="shared" si="2"/>
        <v>28</v>
      </c>
      <c r="B34" s="354" t="s">
        <v>202</v>
      </c>
      <c r="C34" s="273">
        <v>22</v>
      </c>
      <c r="D34" s="342">
        <v>22</v>
      </c>
      <c r="E34" s="342">
        <v>0</v>
      </c>
      <c r="F34" s="342">
        <v>0</v>
      </c>
      <c r="G34" s="270">
        <f t="shared" si="14"/>
        <v>22</v>
      </c>
      <c r="H34" s="336">
        <f t="shared" si="14"/>
        <v>22</v>
      </c>
      <c r="I34" s="271">
        <v>0</v>
      </c>
      <c r="J34" s="271">
        <v>0</v>
      </c>
      <c r="K34" s="272">
        <v>0</v>
      </c>
      <c r="L34" s="225">
        <f t="shared" si="15"/>
        <v>0</v>
      </c>
      <c r="M34" s="339">
        <v>0</v>
      </c>
      <c r="N34" s="349"/>
      <c r="O34" s="273">
        <v>0</v>
      </c>
      <c r="P34" s="225">
        <f>H34+O34</f>
        <v>22</v>
      </c>
      <c r="R34" s="31">
        <f t="shared" si="3"/>
        <v>27</v>
      </c>
      <c r="S34" s="39" t="s">
        <v>23</v>
      </c>
      <c r="T34" s="95">
        <v>1815000</v>
      </c>
      <c r="U34" s="96">
        <v>1786987</v>
      </c>
      <c r="V34" s="96">
        <v>24332</v>
      </c>
      <c r="W34" s="96">
        <v>24332</v>
      </c>
      <c r="X34" s="96">
        <v>1839261</v>
      </c>
      <c r="Y34" s="97">
        <v>1811248</v>
      </c>
      <c r="Z34" s="98"/>
      <c r="AA34" s="98">
        <v>216693</v>
      </c>
      <c r="AB34" s="99">
        <v>101722</v>
      </c>
      <c r="AC34" s="100">
        <v>28013</v>
      </c>
      <c r="AD34" s="100">
        <v>1447</v>
      </c>
      <c r="AE34" s="101"/>
      <c r="AF34" s="95">
        <v>0</v>
      </c>
      <c r="AG34" s="100">
        <v>1811248</v>
      </c>
    </row>
    <row r="35" spans="1:33">
      <c r="A35" s="334">
        <f t="shared" si="2"/>
        <v>29</v>
      </c>
      <c r="B35" s="354" t="s">
        <v>203</v>
      </c>
      <c r="C35" s="227">
        <v>399424</v>
      </c>
      <c r="D35" s="270">
        <v>396125</v>
      </c>
      <c r="E35" s="270">
        <v>0</v>
      </c>
      <c r="F35" s="270">
        <v>0</v>
      </c>
      <c r="G35" s="270">
        <f t="shared" si="14"/>
        <v>399424</v>
      </c>
      <c r="H35" s="336">
        <f t="shared" si="14"/>
        <v>396125</v>
      </c>
      <c r="I35" s="337">
        <v>0</v>
      </c>
      <c r="J35" s="337">
        <v>71168</v>
      </c>
      <c r="K35" s="338">
        <v>5358</v>
      </c>
      <c r="L35" s="225">
        <f t="shared" si="15"/>
        <v>3299</v>
      </c>
      <c r="M35" s="339">
        <v>1157</v>
      </c>
      <c r="N35" s="349"/>
      <c r="O35" s="273">
        <v>0</v>
      </c>
      <c r="P35" s="225">
        <f>H35+O35</f>
        <v>396125</v>
      </c>
    </row>
    <row r="36" spans="1:33">
      <c r="A36" s="334">
        <f t="shared" si="2"/>
        <v>30</v>
      </c>
      <c r="B36" s="354" t="s">
        <v>204</v>
      </c>
      <c r="C36" s="227">
        <v>10038</v>
      </c>
      <c r="D36" s="270">
        <v>9995</v>
      </c>
      <c r="E36" s="270">
        <v>0</v>
      </c>
      <c r="F36" s="270">
        <v>0</v>
      </c>
      <c r="G36" s="270">
        <f t="shared" si="14"/>
        <v>10038</v>
      </c>
      <c r="H36" s="336">
        <f t="shared" si="14"/>
        <v>9995</v>
      </c>
      <c r="I36" s="337">
        <v>0</v>
      </c>
      <c r="J36" s="337">
        <v>787</v>
      </c>
      <c r="K36" s="338">
        <v>293</v>
      </c>
      <c r="L36" s="225">
        <f t="shared" si="15"/>
        <v>43</v>
      </c>
      <c r="M36" s="339">
        <v>13</v>
      </c>
      <c r="N36" s="349"/>
      <c r="O36" s="273">
        <v>0</v>
      </c>
      <c r="P36" s="225">
        <f>H36+O36</f>
        <v>9995</v>
      </c>
    </row>
    <row r="37" spans="1:33">
      <c r="A37" s="24">
        <f t="shared" si="2"/>
        <v>31</v>
      </c>
      <c r="B37" s="38" t="s">
        <v>27</v>
      </c>
      <c r="C37" s="70">
        <f>+C38</f>
        <v>28678</v>
      </c>
      <c r="D37" s="71">
        <f t="shared" ref="D37:H38" si="16">+D38</f>
        <v>12799</v>
      </c>
      <c r="E37" s="71">
        <f t="shared" si="16"/>
        <v>0</v>
      </c>
      <c r="F37" s="71">
        <f t="shared" si="16"/>
        <v>0</v>
      </c>
      <c r="G37" s="71">
        <f t="shared" si="14"/>
        <v>28678</v>
      </c>
      <c r="H37" s="352">
        <f t="shared" si="14"/>
        <v>12799</v>
      </c>
      <c r="I37" s="90">
        <f>+I38</f>
        <v>0</v>
      </c>
      <c r="J37" s="90">
        <f t="shared" ref="J37:O37" si="17">+J38</f>
        <v>0</v>
      </c>
      <c r="K37" s="73">
        <f t="shared" si="17"/>
        <v>0</v>
      </c>
      <c r="L37" s="74">
        <f t="shared" si="17"/>
        <v>15879</v>
      </c>
      <c r="M37" s="353">
        <f t="shared" si="17"/>
        <v>0</v>
      </c>
      <c r="N37" s="340"/>
      <c r="O37" s="355">
        <f t="shared" si="17"/>
        <v>0</v>
      </c>
      <c r="P37" s="74">
        <f>+P38</f>
        <v>12799</v>
      </c>
    </row>
    <row r="38" spans="1:33">
      <c r="A38" s="46">
        <f t="shared" si="2"/>
        <v>32</v>
      </c>
      <c r="B38" s="331" t="s">
        <v>205</v>
      </c>
      <c r="C38" s="59">
        <f>+C39</f>
        <v>28678</v>
      </c>
      <c r="D38" s="60">
        <f t="shared" si="16"/>
        <v>12799</v>
      </c>
      <c r="E38" s="60">
        <f t="shared" si="16"/>
        <v>0</v>
      </c>
      <c r="F38" s="60">
        <f t="shared" si="16"/>
        <v>0</v>
      </c>
      <c r="G38" s="60">
        <f t="shared" si="16"/>
        <v>28678</v>
      </c>
      <c r="H38" s="228">
        <f t="shared" si="16"/>
        <v>12799</v>
      </c>
      <c r="I38" s="78">
        <f>I39</f>
        <v>0</v>
      </c>
      <c r="J38" s="78">
        <f>+J39</f>
        <v>0</v>
      </c>
      <c r="K38" s="62">
        <f>+K39</f>
        <v>0</v>
      </c>
      <c r="L38" s="63">
        <f>+L39</f>
        <v>15879</v>
      </c>
      <c r="M38" s="332">
        <f>+M39</f>
        <v>0</v>
      </c>
      <c r="N38" s="349"/>
      <c r="O38" s="59">
        <f>+O39</f>
        <v>0</v>
      </c>
      <c r="P38" s="63">
        <f>H38+O38</f>
        <v>12799</v>
      </c>
    </row>
    <row r="39" spans="1:33">
      <c r="A39" s="334">
        <f t="shared" si="2"/>
        <v>33</v>
      </c>
      <c r="B39" s="354" t="s">
        <v>206</v>
      </c>
      <c r="C39" s="356">
        <v>28678</v>
      </c>
      <c r="D39" s="357">
        <v>12799</v>
      </c>
      <c r="E39" s="357">
        <v>0</v>
      </c>
      <c r="F39" s="357">
        <v>0</v>
      </c>
      <c r="G39" s="270">
        <f>+C39+E39</f>
        <v>28678</v>
      </c>
      <c r="H39" s="336">
        <f>+D39+F39</f>
        <v>12799</v>
      </c>
      <c r="I39" s="358">
        <v>0</v>
      </c>
      <c r="J39" s="358">
        <v>0</v>
      </c>
      <c r="K39" s="359">
        <v>0</v>
      </c>
      <c r="L39" s="225">
        <f>+G39-H39</f>
        <v>15879</v>
      </c>
      <c r="M39" s="339">
        <v>0</v>
      </c>
      <c r="N39" s="349"/>
      <c r="O39" s="356">
        <v>0</v>
      </c>
      <c r="P39" s="225">
        <f>H39+O39</f>
        <v>12799</v>
      </c>
    </row>
    <row r="40" spans="1:33">
      <c r="A40" s="24">
        <f t="shared" si="2"/>
        <v>34</v>
      </c>
      <c r="B40" s="38" t="s">
        <v>32</v>
      </c>
      <c r="C40" s="70">
        <f>+C41+C44</f>
        <v>158045</v>
      </c>
      <c r="D40" s="71">
        <f t="shared" ref="D40:M40" si="18">+D41+D44</f>
        <v>157498</v>
      </c>
      <c r="E40" s="71">
        <f t="shared" si="18"/>
        <v>0</v>
      </c>
      <c r="F40" s="71">
        <f t="shared" si="18"/>
        <v>0</v>
      </c>
      <c r="G40" s="71">
        <f t="shared" si="18"/>
        <v>158045</v>
      </c>
      <c r="H40" s="352">
        <f t="shared" si="18"/>
        <v>157498</v>
      </c>
      <c r="I40" s="90">
        <v>100</v>
      </c>
      <c r="J40" s="90">
        <f>+J41+J44</f>
        <v>29757</v>
      </c>
      <c r="K40" s="73">
        <f t="shared" si="18"/>
        <v>61753</v>
      </c>
      <c r="L40" s="74">
        <f t="shared" si="18"/>
        <v>547</v>
      </c>
      <c r="M40" s="353">
        <f t="shared" si="18"/>
        <v>0</v>
      </c>
      <c r="N40" s="349"/>
      <c r="O40" s="70">
        <f>+O41</f>
        <v>0</v>
      </c>
      <c r="P40" s="74">
        <f>H40+O40</f>
        <v>157498</v>
      </c>
    </row>
    <row r="41" spans="1:33">
      <c r="A41" s="46">
        <f t="shared" si="2"/>
        <v>35</v>
      </c>
      <c r="B41" s="360" t="s">
        <v>207</v>
      </c>
      <c r="C41" s="59">
        <f>+C42+C43</f>
        <v>150566</v>
      </c>
      <c r="D41" s="60">
        <f t="shared" ref="D41:M41" si="19">+D42+D43</f>
        <v>150019</v>
      </c>
      <c r="E41" s="60">
        <f t="shared" si="19"/>
        <v>0</v>
      </c>
      <c r="F41" s="60">
        <f t="shared" si="19"/>
        <v>0</v>
      </c>
      <c r="G41" s="60">
        <f t="shared" si="19"/>
        <v>150566</v>
      </c>
      <c r="H41" s="228">
        <f t="shared" si="19"/>
        <v>150019</v>
      </c>
      <c r="I41" s="78">
        <v>100</v>
      </c>
      <c r="J41" s="78">
        <f t="shared" si="19"/>
        <v>29757</v>
      </c>
      <c r="K41" s="62">
        <f t="shared" si="19"/>
        <v>60861</v>
      </c>
      <c r="L41" s="63">
        <f t="shared" si="19"/>
        <v>547</v>
      </c>
      <c r="M41" s="332">
        <f t="shared" si="19"/>
        <v>0</v>
      </c>
      <c r="N41" s="349"/>
      <c r="O41" s="59">
        <f>+O42</f>
        <v>0</v>
      </c>
      <c r="P41" s="63">
        <f t="shared" si="12"/>
        <v>150019</v>
      </c>
    </row>
    <row r="42" spans="1:33">
      <c r="A42" s="334">
        <f t="shared" si="2"/>
        <v>36</v>
      </c>
      <c r="B42" s="341" t="s">
        <v>208</v>
      </c>
      <c r="C42" s="273">
        <v>33486</v>
      </c>
      <c r="D42" s="342">
        <v>33372</v>
      </c>
      <c r="E42" s="342">
        <v>0</v>
      </c>
      <c r="F42" s="342">
        <v>0</v>
      </c>
      <c r="G42" s="270">
        <f t="shared" ref="G42:H44" si="20">+C42+E42</f>
        <v>33486</v>
      </c>
      <c r="H42" s="336">
        <f t="shared" si="20"/>
        <v>33372</v>
      </c>
      <c r="I42" s="271">
        <v>100</v>
      </c>
      <c r="J42" s="271">
        <v>10401</v>
      </c>
      <c r="K42" s="272">
        <v>3522</v>
      </c>
      <c r="L42" s="225">
        <f>+G42-H42</f>
        <v>114</v>
      </c>
      <c r="M42" s="339">
        <v>0</v>
      </c>
      <c r="N42" s="349"/>
      <c r="O42" s="273">
        <v>0</v>
      </c>
      <c r="P42" s="225">
        <f t="shared" si="12"/>
        <v>33372</v>
      </c>
    </row>
    <row r="43" spans="1:33">
      <c r="A43" s="334">
        <f t="shared" si="2"/>
        <v>37</v>
      </c>
      <c r="B43" s="341" t="s">
        <v>209</v>
      </c>
      <c r="C43" s="273">
        <v>117080</v>
      </c>
      <c r="D43" s="342">
        <v>116647</v>
      </c>
      <c r="E43" s="342">
        <v>0</v>
      </c>
      <c r="F43" s="342">
        <v>0</v>
      </c>
      <c r="G43" s="270">
        <f t="shared" si="20"/>
        <v>117080</v>
      </c>
      <c r="H43" s="336">
        <f t="shared" si="20"/>
        <v>116647</v>
      </c>
      <c r="I43" s="271">
        <v>100</v>
      </c>
      <c r="J43" s="271">
        <v>19356</v>
      </c>
      <c r="K43" s="272">
        <v>57339</v>
      </c>
      <c r="L43" s="225">
        <f>+G43-H43</f>
        <v>433</v>
      </c>
      <c r="M43" s="339">
        <v>0</v>
      </c>
      <c r="N43" s="349"/>
      <c r="O43" s="273">
        <v>0</v>
      </c>
      <c r="P43" s="225">
        <f>H43+O43</f>
        <v>116647</v>
      </c>
    </row>
    <row r="44" spans="1:33" ht="15.75" thickBot="1">
      <c r="A44" s="277">
        <f t="shared" si="2"/>
        <v>38</v>
      </c>
      <c r="B44" s="361" t="s">
        <v>210</v>
      </c>
      <c r="C44" s="362">
        <f>7408+71</f>
        <v>7479</v>
      </c>
      <c r="D44" s="363">
        <f>7408+71</f>
        <v>7479</v>
      </c>
      <c r="E44" s="363">
        <v>0</v>
      </c>
      <c r="F44" s="363">
        <v>0</v>
      </c>
      <c r="G44" s="280">
        <f t="shared" si="20"/>
        <v>7479</v>
      </c>
      <c r="H44" s="364">
        <f t="shared" si="20"/>
        <v>7479</v>
      </c>
      <c r="I44" s="365">
        <v>100</v>
      </c>
      <c r="J44" s="365">
        <v>0</v>
      </c>
      <c r="K44" s="366">
        <v>892</v>
      </c>
      <c r="L44" s="367">
        <v>0</v>
      </c>
      <c r="M44" s="368">
        <v>0</v>
      </c>
      <c r="N44" s="349"/>
      <c r="O44" s="362">
        <v>0</v>
      </c>
      <c r="P44" s="225">
        <f>H44+O44</f>
        <v>7479</v>
      </c>
    </row>
    <row r="45" spans="1:33" ht="15.75" thickBot="1">
      <c r="A45" s="283">
        <f t="shared" si="2"/>
        <v>39</v>
      </c>
      <c r="B45" s="39" t="s">
        <v>23</v>
      </c>
      <c r="C45" s="95">
        <f t="shared" ref="C45:H45" si="21">+C7+C28+C37+C40</f>
        <v>1815000</v>
      </c>
      <c r="D45" s="96">
        <f>+D7+D28+D37+D40</f>
        <v>1786987</v>
      </c>
      <c r="E45" s="96">
        <f t="shared" si="21"/>
        <v>24332</v>
      </c>
      <c r="F45" s="96">
        <f t="shared" si="21"/>
        <v>24332</v>
      </c>
      <c r="G45" s="96">
        <f t="shared" si="21"/>
        <v>1839332</v>
      </c>
      <c r="H45" s="369">
        <f t="shared" si="21"/>
        <v>1811319</v>
      </c>
      <c r="I45" s="98"/>
      <c r="J45" s="98">
        <f>+J7+J28+J37+J40</f>
        <v>216693</v>
      </c>
      <c r="K45" s="99">
        <f>+K7+K28+K37+K40</f>
        <v>101722</v>
      </c>
      <c r="L45" s="100">
        <f>+L7+L28+L37+L40</f>
        <v>28013</v>
      </c>
      <c r="M45" s="370">
        <f>+M7+M28+M37+M40</f>
        <v>1447</v>
      </c>
      <c r="N45" s="371"/>
      <c r="O45" s="95">
        <f>+O7+O28+O37+O40</f>
        <v>0</v>
      </c>
      <c r="P45" s="100">
        <f>+P7+P28+P37+P40</f>
        <v>1811319</v>
      </c>
    </row>
  </sheetData>
  <mergeCells count="24">
    <mergeCell ref="A4:A6"/>
    <mergeCell ref="B4:B6"/>
    <mergeCell ref="C4:D4"/>
    <mergeCell ref="E4:F4"/>
    <mergeCell ref="G4:H4"/>
    <mergeCell ref="I4:I5"/>
    <mergeCell ref="J4:J5"/>
    <mergeCell ref="K4:K5"/>
    <mergeCell ref="L4:L5"/>
    <mergeCell ref="M4:M5"/>
    <mergeCell ref="O4:O5"/>
    <mergeCell ref="P4:P5"/>
    <mergeCell ref="R4:R6"/>
    <mergeCell ref="S4:S6"/>
    <mergeCell ref="T4:U4"/>
    <mergeCell ref="V4:W4"/>
    <mergeCell ref="X4:Y4"/>
    <mergeCell ref="Z4:Z5"/>
    <mergeCell ref="AA4:AA5"/>
    <mergeCell ref="AB4:AB5"/>
    <mergeCell ref="AC4:AC5"/>
    <mergeCell ref="AD4:AD5"/>
    <mergeCell ref="AF4:AF5"/>
    <mergeCell ref="AG4:AG5"/>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G61"/>
  <sheetViews>
    <sheetView zoomScale="85" zoomScaleNormal="85" workbookViewId="0">
      <selection activeCell="R1" sqref="R1:AG65536"/>
    </sheetView>
  </sheetViews>
  <sheetFormatPr defaultRowHeight="15"/>
  <cols>
    <col min="1" max="1" width="9.42578125" customWidth="1"/>
    <col min="2" max="2" width="45.85546875" customWidth="1"/>
    <col min="3" max="3" width="12.7109375" customWidth="1"/>
    <col min="4" max="4" width="11.5703125" customWidth="1"/>
    <col min="5" max="5" width="11.28515625" customWidth="1"/>
    <col min="6" max="6" width="11.5703125" customWidth="1"/>
    <col min="7" max="7" width="10.85546875" customWidth="1"/>
    <col min="8" max="9" width="10.42578125" customWidth="1"/>
    <col min="10" max="10" width="12.5703125" customWidth="1"/>
    <col min="11" max="11" width="10.5703125" customWidth="1"/>
    <col min="12" max="12" width="14" customWidth="1"/>
    <col min="13" max="13" width="12.42578125" customWidth="1"/>
    <col min="14" max="14" width="1.7109375" customWidth="1"/>
    <col min="15" max="15" width="11" customWidth="1"/>
    <col min="16" max="16" width="10.85546875" customWidth="1"/>
    <col min="18" max="18" width="9.42578125" hidden="1" customWidth="1"/>
    <col min="19" max="19" width="45.85546875" hidden="1" customWidth="1"/>
    <col min="20" max="20" width="12.7109375" hidden="1" customWidth="1"/>
    <col min="21" max="21" width="11.5703125" hidden="1" customWidth="1"/>
    <col min="22" max="22" width="11.28515625" hidden="1" customWidth="1"/>
    <col min="23" max="23" width="11.5703125" hidden="1" customWidth="1"/>
    <col min="24" max="25" width="12.140625" hidden="1" customWidth="1"/>
    <col min="26" max="26" width="10.42578125" hidden="1" customWidth="1"/>
    <col min="27" max="27" width="12.5703125" hidden="1" customWidth="1"/>
    <col min="28" max="28" width="10.5703125" hidden="1" customWidth="1"/>
    <col min="29" max="29" width="14" hidden="1" customWidth="1"/>
    <col min="30" max="30" width="12.42578125" hidden="1" customWidth="1"/>
    <col min="31" max="31" width="1.7109375" hidden="1" customWidth="1"/>
    <col min="32" max="32" width="11" hidden="1" customWidth="1"/>
    <col min="33" max="33" width="10.85546875" hidden="1" customWidth="1"/>
  </cols>
  <sheetData>
    <row r="1" spans="1:33" ht="15.75">
      <c r="A1" s="372" t="s">
        <v>44</v>
      </c>
      <c r="B1" s="28"/>
      <c r="C1" s="20"/>
      <c r="D1" s="20"/>
      <c r="E1" s="20"/>
      <c r="F1" s="20"/>
      <c r="G1" s="20"/>
      <c r="H1" s="20"/>
      <c r="I1" s="20"/>
      <c r="J1" s="20"/>
      <c r="K1" s="20"/>
      <c r="L1" s="20"/>
      <c r="M1" s="20"/>
      <c r="N1" s="22"/>
      <c r="O1" s="20"/>
      <c r="P1" s="20"/>
    </row>
    <row r="2" spans="1:33" ht="15.75">
      <c r="A2" s="17"/>
      <c r="B2" s="373" t="s">
        <v>43</v>
      </c>
      <c r="C2" s="20"/>
      <c r="D2" s="20"/>
      <c r="E2" s="20"/>
      <c r="F2" s="20"/>
      <c r="G2" s="20"/>
      <c r="H2" s="20"/>
      <c r="I2" s="20"/>
      <c r="J2" s="20"/>
      <c r="K2" s="20"/>
      <c r="L2" s="20"/>
      <c r="M2" s="20"/>
      <c r="N2" s="22"/>
      <c r="O2" s="20"/>
      <c r="P2" s="20"/>
    </row>
    <row r="3" spans="1:33" ht="16.5" thickBot="1">
      <c r="A3" s="20"/>
      <c r="B3" s="105"/>
      <c r="C3" s="20"/>
      <c r="D3" s="20"/>
      <c r="E3" s="20"/>
      <c r="F3" s="20"/>
      <c r="G3" s="20"/>
      <c r="H3" s="20"/>
      <c r="I3" s="20"/>
      <c r="J3" s="20"/>
      <c r="K3" s="20"/>
      <c r="L3" s="20"/>
      <c r="M3" s="20"/>
      <c r="N3" s="22"/>
      <c r="O3" s="20"/>
      <c r="P3" s="23" t="s">
        <v>2</v>
      </c>
    </row>
    <row r="4" spans="1:33">
      <c r="A4" s="1382" t="s">
        <v>1</v>
      </c>
      <c r="B4" s="1437" t="s">
        <v>46</v>
      </c>
      <c r="C4" s="1388" t="s">
        <v>18</v>
      </c>
      <c r="D4" s="1389"/>
      <c r="E4" s="1389" t="s">
        <v>19</v>
      </c>
      <c r="F4" s="1389"/>
      <c r="G4" s="1390" t="s">
        <v>20</v>
      </c>
      <c r="H4" s="1440"/>
      <c r="I4" s="1428" t="s">
        <v>47</v>
      </c>
      <c r="J4" s="1428" t="s">
        <v>48</v>
      </c>
      <c r="K4" s="1430" t="s">
        <v>49</v>
      </c>
      <c r="L4" s="1432" t="s">
        <v>117</v>
      </c>
      <c r="M4" s="1434" t="s">
        <v>118</v>
      </c>
      <c r="N4" s="107"/>
      <c r="O4" s="1378" t="s">
        <v>65</v>
      </c>
      <c r="P4" s="1380" t="s">
        <v>21</v>
      </c>
      <c r="R4" s="1357" t="s">
        <v>1</v>
      </c>
      <c r="S4" s="1354" t="s">
        <v>46</v>
      </c>
      <c r="T4" s="1360" t="s">
        <v>18</v>
      </c>
      <c r="U4" s="1361"/>
      <c r="V4" s="1361" t="s">
        <v>19</v>
      </c>
      <c r="W4" s="1361"/>
      <c r="X4" s="1364" t="s">
        <v>20</v>
      </c>
      <c r="Y4" s="1365"/>
      <c r="Z4" s="1349" t="s">
        <v>47</v>
      </c>
      <c r="AA4" s="1349" t="s">
        <v>48</v>
      </c>
      <c r="AB4" s="1351" t="s">
        <v>49</v>
      </c>
      <c r="AC4" s="1362" t="s">
        <v>62</v>
      </c>
      <c r="AD4" s="1370" t="s">
        <v>69</v>
      </c>
      <c r="AE4" s="1037"/>
      <c r="AF4" s="1366" t="s">
        <v>65</v>
      </c>
      <c r="AG4" s="1368" t="s">
        <v>21</v>
      </c>
    </row>
    <row r="5" spans="1:33">
      <c r="A5" s="1383"/>
      <c r="B5" s="1438"/>
      <c r="C5" s="15" t="s">
        <v>26</v>
      </c>
      <c r="D5" s="5" t="s">
        <v>50</v>
      </c>
      <c r="E5" s="15" t="s">
        <v>12</v>
      </c>
      <c r="F5" s="5" t="s">
        <v>16</v>
      </c>
      <c r="G5" s="5" t="s">
        <v>12</v>
      </c>
      <c r="H5" s="40" t="s">
        <v>16</v>
      </c>
      <c r="I5" s="1429"/>
      <c r="J5" s="1429"/>
      <c r="K5" s="1431"/>
      <c r="L5" s="1433"/>
      <c r="M5" s="1435"/>
      <c r="N5" s="107"/>
      <c r="O5" s="1379"/>
      <c r="P5" s="1381"/>
      <c r="R5" s="1358"/>
      <c r="S5" s="1355"/>
      <c r="T5" s="1077" t="s">
        <v>26</v>
      </c>
      <c r="U5" s="11" t="s">
        <v>50</v>
      </c>
      <c r="V5" s="10" t="s">
        <v>12</v>
      </c>
      <c r="W5" s="11" t="s">
        <v>16</v>
      </c>
      <c r="X5" s="11" t="s">
        <v>12</v>
      </c>
      <c r="Y5" s="33" t="s">
        <v>16</v>
      </c>
      <c r="Z5" s="1350"/>
      <c r="AA5" s="1350"/>
      <c r="AB5" s="1352"/>
      <c r="AC5" s="1363"/>
      <c r="AD5" s="1371"/>
      <c r="AE5" s="1037"/>
      <c r="AF5" s="1367"/>
      <c r="AG5" s="1369"/>
    </row>
    <row r="6" spans="1:33" ht="15.75" thickBot="1">
      <c r="A6" s="1436"/>
      <c r="B6" s="1439"/>
      <c r="C6" s="6" t="s">
        <v>4</v>
      </c>
      <c r="D6" s="7" t="s">
        <v>5</v>
      </c>
      <c r="E6" s="7" t="s">
        <v>6</v>
      </c>
      <c r="F6" s="7" t="s">
        <v>7</v>
      </c>
      <c r="G6" s="7" t="s">
        <v>13</v>
      </c>
      <c r="H6" s="41" t="s">
        <v>14</v>
      </c>
      <c r="I6" s="374" t="s">
        <v>28</v>
      </c>
      <c r="J6" s="374" t="s">
        <v>31</v>
      </c>
      <c r="K6" s="375" t="s">
        <v>9</v>
      </c>
      <c r="L6" s="8" t="s">
        <v>22</v>
      </c>
      <c r="M6" s="8" t="s">
        <v>63</v>
      </c>
      <c r="N6" s="107"/>
      <c r="O6" s="16" t="s">
        <v>10</v>
      </c>
      <c r="P6" s="8" t="s">
        <v>64</v>
      </c>
      <c r="R6" s="1359"/>
      <c r="S6" s="1356"/>
      <c r="T6" s="1078" t="s">
        <v>4</v>
      </c>
      <c r="U6" s="13" t="s">
        <v>5</v>
      </c>
      <c r="V6" s="13" t="s">
        <v>6</v>
      </c>
      <c r="W6" s="13" t="s">
        <v>7</v>
      </c>
      <c r="X6" s="13" t="s">
        <v>13</v>
      </c>
      <c r="Y6" s="34" t="s">
        <v>14</v>
      </c>
      <c r="Z6" s="45" t="s">
        <v>28</v>
      </c>
      <c r="AA6" s="45" t="s">
        <v>31</v>
      </c>
      <c r="AB6" s="32" t="s">
        <v>9</v>
      </c>
      <c r="AC6" s="14" t="s">
        <v>22</v>
      </c>
      <c r="AD6" s="14" t="s">
        <v>63</v>
      </c>
      <c r="AE6" s="1037"/>
      <c r="AF6" s="44" t="s">
        <v>10</v>
      </c>
      <c r="AG6" s="14" t="s">
        <v>64</v>
      </c>
    </row>
    <row r="7" spans="1:33">
      <c r="A7" s="376">
        <v>1</v>
      </c>
      <c r="B7" s="129" t="s">
        <v>15</v>
      </c>
      <c r="C7" s="377">
        <f t="shared" ref="C7:K7" si="0">+C8+C14</f>
        <v>790154.8</v>
      </c>
      <c r="D7" s="377">
        <f t="shared" si="0"/>
        <v>789808.4</v>
      </c>
      <c r="E7" s="377">
        <f t="shared" si="0"/>
        <v>8798</v>
      </c>
      <c r="F7" s="377">
        <f t="shared" si="0"/>
        <v>8798</v>
      </c>
      <c r="G7" s="377">
        <f t="shared" si="0"/>
        <v>798952.8</v>
      </c>
      <c r="H7" s="378">
        <f t="shared" si="0"/>
        <v>798606.4</v>
      </c>
      <c r="I7" s="379">
        <v>0</v>
      </c>
      <c r="J7" s="379">
        <f t="shared" si="0"/>
        <v>62359</v>
      </c>
      <c r="K7" s="380">
        <f t="shared" si="0"/>
        <v>2291.7999999999997</v>
      </c>
      <c r="L7" s="381">
        <v>347</v>
      </c>
      <c r="M7" s="381">
        <f>+M8+M14</f>
        <v>211.3</v>
      </c>
      <c r="N7" s="382"/>
      <c r="O7" s="383">
        <f>+O8+O14</f>
        <v>30704</v>
      </c>
      <c r="P7" s="381">
        <f>+P8+P14</f>
        <v>829310.4</v>
      </c>
      <c r="R7" s="24">
        <v>1</v>
      </c>
      <c r="S7" s="38" t="s">
        <v>15</v>
      </c>
      <c r="T7" s="54">
        <v>790154.8</v>
      </c>
      <c r="U7" s="55">
        <v>789808.4</v>
      </c>
      <c r="V7" s="55">
        <v>8798</v>
      </c>
      <c r="W7" s="55">
        <v>8798</v>
      </c>
      <c r="X7" s="55">
        <v>798952.8</v>
      </c>
      <c r="Y7" s="56">
        <v>798606.4</v>
      </c>
      <c r="Z7" s="75">
        <v>0</v>
      </c>
      <c r="AA7" s="75">
        <v>62359</v>
      </c>
      <c r="AB7" s="57">
        <v>2291.7999999999997</v>
      </c>
      <c r="AC7" s="58">
        <v>347</v>
      </c>
      <c r="AD7" s="58">
        <v>211.3</v>
      </c>
      <c r="AE7" s="1036"/>
      <c r="AF7" s="54">
        <v>30704</v>
      </c>
      <c r="AG7" s="58">
        <v>829310.4</v>
      </c>
    </row>
    <row r="8" spans="1:33">
      <c r="A8" s="384">
        <f>A7+1</f>
        <v>2</v>
      </c>
      <c r="B8" s="385" t="s">
        <v>35</v>
      </c>
      <c r="C8" s="386">
        <f>C9+C10</f>
        <v>491649.7</v>
      </c>
      <c r="D8" s="386">
        <f>D9+D10</f>
        <v>491543</v>
      </c>
      <c r="E8" s="386">
        <f t="shared" ref="E8:K8" si="1">SUM(E9:E13)</f>
        <v>7000</v>
      </c>
      <c r="F8" s="386">
        <f t="shared" si="1"/>
        <v>7000</v>
      </c>
      <c r="G8" s="386">
        <f>C8+E8</f>
        <v>498649.7</v>
      </c>
      <c r="H8" s="387">
        <f>D8+F8</f>
        <v>498543</v>
      </c>
      <c r="I8" s="388">
        <v>0</v>
      </c>
      <c r="J8" s="389">
        <f t="shared" si="1"/>
        <v>0</v>
      </c>
      <c r="K8" s="390">
        <f t="shared" si="1"/>
        <v>0</v>
      </c>
      <c r="L8" s="391">
        <f>G8-H8</f>
        <v>106.70000000001164</v>
      </c>
      <c r="M8" s="391">
        <f>SUM(M9:M13)</f>
        <v>49.3</v>
      </c>
      <c r="N8" s="382"/>
      <c r="O8" s="392">
        <f>SUM(O9:O13)</f>
        <v>0</v>
      </c>
      <c r="P8" s="391">
        <f>SUM(P9:P10)</f>
        <v>498543</v>
      </c>
      <c r="R8" s="48">
        <f>R7+1</f>
        <v>2</v>
      </c>
      <c r="S8" s="35" t="s">
        <v>35</v>
      </c>
      <c r="T8" s="59">
        <v>491649.7</v>
      </c>
      <c r="U8" s="60">
        <v>491543</v>
      </c>
      <c r="V8" s="60">
        <v>7000</v>
      </c>
      <c r="W8" s="60">
        <v>7000</v>
      </c>
      <c r="X8" s="60">
        <v>498649.7</v>
      </c>
      <c r="Y8" s="61">
        <v>498543</v>
      </c>
      <c r="Z8" s="77">
        <v>0</v>
      </c>
      <c r="AA8" s="78">
        <v>0</v>
      </c>
      <c r="AB8" s="62">
        <v>0</v>
      </c>
      <c r="AC8" s="63">
        <v>106.70000000001164</v>
      </c>
      <c r="AD8" s="63">
        <v>49.3</v>
      </c>
      <c r="AE8" s="1036"/>
      <c r="AF8" s="59">
        <v>0</v>
      </c>
      <c r="AG8" s="63">
        <v>498543</v>
      </c>
    </row>
    <row r="9" spans="1:33">
      <c r="A9" s="18">
        <f>A8+1</f>
        <v>3</v>
      </c>
      <c r="B9" s="135" t="s">
        <v>58</v>
      </c>
      <c r="C9" s="393">
        <v>490911.7</v>
      </c>
      <c r="D9" s="393">
        <v>490911.7</v>
      </c>
      <c r="E9" s="393">
        <v>7000</v>
      </c>
      <c r="F9" s="393">
        <v>7000</v>
      </c>
      <c r="G9" s="393">
        <f t="shared" ref="G9:H14" si="2">+C9+E9</f>
        <v>497911.7</v>
      </c>
      <c r="H9" s="394">
        <f t="shared" si="2"/>
        <v>497911.7</v>
      </c>
      <c r="I9" s="395">
        <v>0</v>
      </c>
      <c r="J9" s="396">
        <v>0</v>
      </c>
      <c r="K9" s="397">
        <v>0</v>
      </c>
      <c r="L9" s="398">
        <f t="shared" ref="L9:L30" si="3">+G9-H9</f>
        <v>0</v>
      </c>
      <c r="M9" s="398">
        <v>0</v>
      </c>
      <c r="N9" s="399"/>
      <c r="O9" s="400">
        <v>0</v>
      </c>
      <c r="P9" s="398">
        <f t="shared" ref="P9:P17" si="4">H9+O9</f>
        <v>497911.7</v>
      </c>
      <c r="R9" s="25">
        <f t="shared" ref="R9:R34" si="5">R8+1</f>
        <v>3</v>
      </c>
      <c r="S9" s="36" t="s">
        <v>58</v>
      </c>
      <c r="T9" s="64">
        <v>490911.7</v>
      </c>
      <c r="U9" s="65">
        <v>490911.7</v>
      </c>
      <c r="V9" s="65">
        <v>7000</v>
      </c>
      <c r="W9" s="65">
        <v>7000</v>
      </c>
      <c r="X9" s="65">
        <v>497911.7</v>
      </c>
      <c r="Y9" s="66">
        <v>497911.7</v>
      </c>
      <c r="Z9" s="80">
        <v>0</v>
      </c>
      <c r="AA9" s="80">
        <v>0</v>
      </c>
      <c r="AB9" s="67">
        <v>0</v>
      </c>
      <c r="AC9" s="68">
        <v>0</v>
      </c>
      <c r="AD9" s="68">
        <v>0</v>
      </c>
      <c r="AE9" s="1036"/>
      <c r="AF9" s="64">
        <v>0</v>
      </c>
      <c r="AG9" s="68">
        <v>497911.7</v>
      </c>
    </row>
    <row r="10" spans="1:33">
      <c r="A10" s="18">
        <f>A9+1</f>
        <v>4</v>
      </c>
      <c r="B10" s="135" t="s">
        <v>36</v>
      </c>
      <c r="C10" s="393">
        <f>SUM(C11:C13)</f>
        <v>738</v>
      </c>
      <c r="D10" s="393">
        <f>SUM(D11:D13)</f>
        <v>631.29999999999995</v>
      </c>
      <c r="E10" s="393">
        <v>0</v>
      </c>
      <c r="F10" s="393">
        <v>0</v>
      </c>
      <c r="G10" s="393">
        <f t="shared" si="2"/>
        <v>738</v>
      </c>
      <c r="H10" s="394">
        <f t="shared" si="2"/>
        <v>631.29999999999995</v>
      </c>
      <c r="I10" s="395">
        <v>0</v>
      </c>
      <c r="J10" s="396">
        <v>0</v>
      </c>
      <c r="K10" s="397">
        <v>0</v>
      </c>
      <c r="L10" s="398">
        <f t="shared" si="3"/>
        <v>106.70000000000005</v>
      </c>
      <c r="M10" s="398">
        <v>0</v>
      </c>
      <c r="N10" s="399"/>
      <c r="O10" s="400">
        <v>0</v>
      </c>
      <c r="P10" s="398">
        <f t="shared" si="4"/>
        <v>631.29999999999995</v>
      </c>
      <c r="R10" s="25">
        <f t="shared" si="5"/>
        <v>4</v>
      </c>
      <c r="S10" s="36" t="s">
        <v>36</v>
      </c>
      <c r="T10" s="64">
        <v>738</v>
      </c>
      <c r="U10" s="65">
        <v>631.29999999999995</v>
      </c>
      <c r="V10" s="65">
        <v>0</v>
      </c>
      <c r="W10" s="65">
        <v>0</v>
      </c>
      <c r="X10" s="65">
        <v>738</v>
      </c>
      <c r="Y10" s="249">
        <v>631.29999999999995</v>
      </c>
      <c r="Z10" s="80">
        <v>0</v>
      </c>
      <c r="AA10" s="80">
        <v>0</v>
      </c>
      <c r="AB10" s="67">
        <v>0</v>
      </c>
      <c r="AC10" s="68">
        <v>106.70000000000005</v>
      </c>
      <c r="AD10" s="68">
        <v>0</v>
      </c>
      <c r="AE10" s="1036"/>
      <c r="AF10" s="64">
        <v>0</v>
      </c>
      <c r="AG10" s="68">
        <v>631.29999999999995</v>
      </c>
    </row>
    <row r="11" spans="1:33">
      <c r="A11" s="18">
        <v>5</v>
      </c>
      <c r="B11" s="135" t="s">
        <v>211</v>
      </c>
      <c r="C11" s="393">
        <v>59</v>
      </c>
      <c r="D11" s="393">
        <v>59</v>
      </c>
      <c r="E11" s="393">
        <v>0</v>
      </c>
      <c r="F11" s="393">
        <v>0</v>
      </c>
      <c r="G11" s="393">
        <f t="shared" si="2"/>
        <v>59</v>
      </c>
      <c r="H11" s="394">
        <f t="shared" si="2"/>
        <v>59</v>
      </c>
      <c r="I11" s="395">
        <v>0</v>
      </c>
      <c r="J11" s="396">
        <v>0</v>
      </c>
      <c r="K11" s="397">
        <v>0</v>
      </c>
      <c r="L11" s="398">
        <f t="shared" si="3"/>
        <v>0</v>
      </c>
      <c r="M11" s="398">
        <v>0</v>
      </c>
      <c r="N11" s="399"/>
      <c r="O11" s="400">
        <v>0</v>
      </c>
      <c r="P11" s="398">
        <f t="shared" si="4"/>
        <v>59</v>
      </c>
      <c r="R11" s="25">
        <f t="shared" si="5"/>
        <v>5</v>
      </c>
      <c r="S11" s="37" t="s">
        <v>30</v>
      </c>
      <c r="T11" s="64"/>
      <c r="U11" s="65"/>
      <c r="V11" s="65"/>
      <c r="W11" s="65"/>
      <c r="X11" s="65"/>
      <c r="Y11" s="66"/>
      <c r="Z11" s="79"/>
      <c r="AA11" s="80"/>
      <c r="AB11" s="67"/>
      <c r="AC11" s="68"/>
      <c r="AD11" s="68"/>
      <c r="AE11" s="1036"/>
      <c r="AF11" s="64"/>
      <c r="AG11" s="68"/>
    </row>
    <row r="12" spans="1:33">
      <c r="A12" s="18">
        <v>6</v>
      </c>
      <c r="B12" s="135" t="s">
        <v>212</v>
      </c>
      <c r="C12" s="393">
        <v>488</v>
      </c>
      <c r="D12" s="393">
        <v>381.3</v>
      </c>
      <c r="E12" s="393">
        <v>0</v>
      </c>
      <c r="F12" s="393">
        <v>0</v>
      </c>
      <c r="G12" s="393">
        <f t="shared" si="2"/>
        <v>488</v>
      </c>
      <c r="H12" s="394">
        <f t="shared" si="2"/>
        <v>381.3</v>
      </c>
      <c r="I12" s="395">
        <v>0</v>
      </c>
      <c r="J12" s="396">
        <v>0</v>
      </c>
      <c r="K12" s="397">
        <v>0</v>
      </c>
      <c r="L12" s="398">
        <f t="shared" si="3"/>
        <v>106.69999999999999</v>
      </c>
      <c r="M12" s="398">
        <v>49.3</v>
      </c>
      <c r="N12" s="399"/>
      <c r="O12" s="400">
        <v>0</v>
      </c>
      <c r="P12" s="398">
        <f t="shared" si="4"/>
        <v>381.3</v>
      </c>
      <c r="R12" s="48">
        <f t="shared" si="5"/>
        <v>6</v>
      </c>
      <c r="S12" s="35" t="s">
        <v>42</v>
      </c>
      <c r="T12" s="59">
        <v>298505.09999999998</v>
      </c>
      <c r="U12" s="60">
        <v>298265.40000000002</v>
      </c>
      <c r="V12" s="60">
        <v>1798</v>
      </c>
      <c r="W12" s="60">
        <v>1798</v>
      </c>
      <c r="X12" s="60">
        <v>300303.09999999998</v>
      </c>
      <c r="Y12" s="61">
        <v>300063.40000000002</v>
      </c>
      <c r="Z12" s="78">
        <v>0</v>
      </c>
      <c r="AA12" s="78">
        <v>62359</v>
      </c>
      <c r="AB12" s="62">
        <v>2291.7999999999997</v>
      </c>
      <c r="AC12" s="63">
        <v>239.69999999995343</v>
      </c>
      <c r="AD12" s="63">
        <v>162</v>
      </c>
      <c r="AE12" s="1036"/>
      <c r="AF12" s="59">
        <v>30704</v>
      </c>
      <c r="AG12" s="63">
        <v>330767.40000000002</v>
      </c>
    </row>
    <row r="13" spans="1:33">
      <c r="A13" s="18">
        <v>7</v>
      </c>
      <c r="B13" s="135" t="s">
        <v>213</v>
      </c>
      <c r="C13" s="393">
        <v>191</v>
      </c>
      <c r="D13" s="393">
        <v>191</v>
      </c>
      <c r="E13" s="393">
        <v>0</v>
      </c>
      <c r="F13" s="393">
        <v>0</v>
      </c>
      <c r="G13" s="393">
        <f t="shared" si="2"/>
        <v>191</v>
      </c>
      <c r="H13" s="394">
        <f t="shared" si="2"/>
        <v>191</v>
      </c>
      <c r="I13" s="395">
        <v>0</v>
      </c>
      <c r="J13" s="396">
        <v>0</v>
      </c>
      <c r="K13" s="397">
        <v>0</v>
      </c>
      <c r="L13" s="398">
        <f t="shared" si="3"/>
        <v>0</v>
      </c>
      <c r="M13" s="398">
        <v>0</v>
      </c>
      <c r="N13" s="399"/>
      <c r="O13" s="400">
        <v>0</v>
      </c>
      <c r="P13" s="398">
        <f t="shared" si="4"/>
        <v>191</v>
      </c>
      <c r="R13" s="29">
        <f t="shared" si="5"/>
        <v>7</v>
      </c>
      <c r="S13" s="36" t="s">
        <v>51</v>
      </c>
      <c r="T13" s="85">
        <v>180100</v>
      </c>
      <c r="U13" s="82">
        <v>180100</v>
      </c>
      <c r="V13" s="82">
        <v>1798</v>
      </c>
      <c r="W13" s="82">
        <v>1798</v>
      </c>
      <c r="X13" s="65">
        <v>181898</v>
      </c>
      <c r="Y13" s="66">
        <v>181898</v>
      </c>
      <c r="Z13" s="79">
        <v>0</v>
      </c>
      <c r="AA13" s="83">
        <v>50508</v>
      </c>
      <c r="AB13" s="81">
        <v>1234.2</v>
      </c>
      <c r="AC13" s="68">
        <v>0</v>
      </c>
      <c r="AD13" s="68">
        <v>0</v>
      </c>
      <c r="AE13" s="706"/>
      <c r="AF13" s="85">
        <v>30704</v>
      </c>
      <c r="AG13" s="68">
        <v>212602</v>
      </c>
    </row>
    <row r="14" spans="1:33">
      <c r="A14" s="384">
        <f>A13+1</f>
        <v>8</v>
      </c>
      <c r="B14" s="385" t="s">
        <v>42</v>
      </c>
      <c r="C14" s="386">
        <f>+C15+C20+C28+C29</f>
        <v>298505.09999999998</v>
      </c>
      <c r="D14" s="386">
        <f>+D15+D20+D28+D29</f>
        <v>298265.40000000002</v>
      </c>
      <c r="E14" s="386">
        <f>+E15+E20+E28+E29</f>
        <v>1798</v>
      </c>
      <c r="F14" s="386">
        <f>+F15+F20+F28+F29</f>
        <v>1798</v>
      </c>
      <c r="G14" s="386">
        <f t="shared" si="2"/>
        <v>300303.09999999998</v>
      </c>
      <c r="H14" s="387">
        <f t="shared" si="2"/>
        <v>300063.40000000002</v>
      </c>
      <c r="I14" s="389">
        <f>I15+I20+I28+I29</f>
        <v>0</v>
      </c>
      <c r="J14" s="389">
        <f>J15+J20+J28+J29</f>
        <v>62359</v>
      </c>
      <c r="K14" s="390">
        <f>K15+K20+K28+K29</f>
        <v>2291.7999999999997</v>
      </c>
      <c r="L14" s="391">
        <f>G14-H14</f>
        <v>239.69999999995343</v>
      </c>
      <c r="M14" s="391">
        <f>+M15+M20+M28+M29</f>
        <v>162</v>
      </c>
      <c r="N14" s="382"/>
      <c r="O14" s="392">
        <f>+O15+O20+O28+O29</f>
        <v>30704</v>
      </c>
      <c r="P14" s="391">
        <f t="shared" si="4"/>
        <v>330767.40000000002</v>
      </c>
      <c r="R14" s="29"/>
      <c r="S14" s="36" t="s">
        <v>61</v>
      </c>
      <c r="T14" s="85">
        <v>180100</v>
      </c>
      <c r="U14" s="82">
        <v>180100</v>
      </c>
      <c r="V14" s="82">
        <v>1798</v>
      </c>
      <c r="W14" s="82">
        <v>1798</v>
      </c>
      <c r="X14" s="65">
        <v>181898</v>
      </c>
      <c r="Y14" s="66">
        <v>181898</v>
      </c>
      <c r="Z14" s="79">
        <v>0</v>
      </c>
      <c r="AA14" s="83">
        <v>50508</v>
      </c>
      <c r="AB14" s="81">
        <v>1234.2</v>
      </c>
      <c r="AC14" s="68">
        <v>0</v>
      </c>
      <c r="AD14" s="68">
        <v>0</v>
      </c>
      <c r="AE14" s="706"/>
      <c r="AF14" s="85">
        <v>30704</v>
      </c>
      <c r="AG14" s="68">
        <v>212602</v>
      </c>
    </row>
    <row r="15" spans="1:33">
      <c r="A15" s="401">
        <f>A14+1</f>
        <v>9</v>
      </c>
      <c r="B15" s="135" t="s">
        <v>51</v>
      </c>
      <c r="C15" s="402">
        <f t="shared" ref="C15:O15" si="6">C16</f>
        <v>180100</v>
      </c>
      <c r="D15" s="402">
        <f t="shared" si="6"/>
        <v>180100</v>
      </c>
      <c r="E15" s="402">
        <f t="shared" si="6"/>
        <v>1798</v>
      </c>
      <c r="F15" s="402">
        <f t="shared" si="6"/>
        <v>1798</v>
      </c>
      <c r="G15" s="402">
        <f t="shared" si="6"/>
        <v>181898</v>
      </c>
      <c r="H15" s="402">
        <f t="shared" si="6"/>
        <v>181898</v>
      </c>
      <c r="I15" s="402">
        <f t="shared" si="6"/>
        <v>0</v>
      </c>
      <c r="J15" s="402">
        <f t="shared" si="6"/>
        <v>50508</v>
      </c>
      <c r="K15" s="402">
        <f t="shared" si="6"/>
        <v>1234.2</v>
      </c>
      <c r="L15" s="402">
        <f t="shared" si="6"/>
        <v>0</v>
      </c>
      <c r="M15" s="403">
        <f t="shared" si="6"/>
        <v>0</v>
      </c>
      <c r="N15" s="404"/>
      <c r="O15" s="405">
        <f t="shared" si="6"/>
        <v>30704</v>
      </c>
      <c r="P15" s="403">
        <f>H15+O15</f>
        <v>212602</v>
      </c>
      <c r="R15" s="25">
        <f>R13+1</f>
        <v>8</v>
      </c>
      <c r="S15" s="37" t="s">
        <v>66</v>
      </c>
      <c r="T15" s="89"/>
      <c r="U15" s="87"/>
      <c r="V15" s="87"/>
      <c r="W15" s="87"/>
      <c r="X15" s="65"/>
      <c r="Y15" s="66"/>
      <c r="Z15" s="88"/>
      <c r="AA15" s="88"/>
      <c r="AB15" s="86"/>
      <c r="AC15" s="68"/>
      <c r="AD15" s="68"/>
      <c r="AE15" s="1036"/>
      <c r="AF15" s="89"/>
      <c r="AG15" s="68"/>
    </row>
    <row r="16" spans="1:33">
      <c r="A16" s="18">
        <v>10</v>
      </c>
      <c r="B16" s="135" t="s">
        <v>61</v>
      </c>
      <c r="C16" s="406">
        <f>SUM(C17:C19)</f>
        <v>180100</v>
      </c>
      <c r="D16" s="406">
        <f>SUM(D17:D19)</f>
        <v>180100</v>
      </c>
      <c r="E16" s="406">
        <f>SUM(E17:E19)</f>
        <v>1798</v>
      </c>
      <c r="F16" s="406">
        <f>SUM(F17:F19)</f>
        <v>1798</v>
      </c>
      <c r="G16" s="393">
        <f>+C16+E16</f>
        <v>181898</v>
      </c>
      <c r="H16" s="394">
        <f>+D16+F16</f>
        <v>181898</v>
      </c>
      <c r="I16" s="395">
        <v>0</v>
      </c>
      <c r="J16" s="407">
        <f>SUM(J17:J19)</f>
        <v>50508</v>
      </c>
      <c r="K16" s="406">
        <f>SUM(K17:K19)</f>
        <v>1234.2</v>
      </c>
      <c r="L16" s="398">
        <f>SUM(L17:L19)</f>
        <v>0</v>
      </c>
      <c r="M16" s="398">
        <v>0</v>
      </c>
      <c r="N16" s="382"/>
      <c r="O16" s="405">
        <f>SUM(O17:O19)</f>
        <v>30704</v>
      </c>
      <c r="P16" s="398">
        <f t="shared" si="4"/>
        <v>212602</v>
      </c>
      <c r="R16" s="29">
        <f t="shared" si="5"/>
        <v>9</v>
      </c>
      <c r="S16" s="36" t="s">
        <v>52</v>
      </c>
      <c r="T16" s="85">
        <v>7785.2</v>
      </c>
      <c r="U16" s="82">
        <v>7623</v>
      </c>
      <c r="V16" s="82">
        <v>0</v>
      </c>
      <c r="W16" s="82">
        <v>0</v>
      </c>
      <c r="X16" s="65">
        <v>7785.2</v>
      </c>
      <c r="Y16" s="66">
        <v>7623</v>
      </c>
      <c r="Z16" s="79">
        <v>0</v>
      </c>
      <c r="AA16" s="83">
        <v>328</v>
      </c>
      <c r="AB16" s="81">
        <v>23.5</v>
      </c>
      <c r="AC16" s="68">
        <v>162.19999999999982</v>
      </c>
      <c r="AD16" s="68">
        <v>162</v>
      </c>
      <c r="AE16" s="706"/>
      <c r="AF16" s="85">
        <v>0</v>
      </c>
      <c r="AG16" s="68">
        <v>7623</v>
      </c>
    </row>
    <row r="17" spans="1:33">
      <c r="A17" s="18">
        <v>11</v>
      </c>
      <c r="B17" s="408" t="s">
        <v>214</v>
      </c>
      <c r="C17" s="406">
        <v>71700</v>
      </c>
      <c r="D17" s="409">
        <v>71700</v>
      </c>
      <c r="E17" s="409">
        <v>0</v>
      </c>
      <c r="F17" s="409">
        <v>0</v>
      </c>
      <c r="G17" s="393">
        <f>C17+E17</f>
        <v>71700</v>
      </c>
      <c r="H17" s="394">
        <f>D17+F17</f>
        <v>71700</v>
      </c>
      <c r="I17" s="395">
        <v>0</v>
      </c>
      <c r="J17" s="407">
        <v>38912</v>
      </c>
      <c r="K17" s="406">
        <v>244</v>
      </c>
      <c r="L17" s="398">
        <f t="shared" si="3"/>
        <v>0</v>
      </c>
      <c r="M17" s="398">
        <v>0</v>
      </c>
      <c r="N17" s="382"/>
      <c r="O17" s="405">
        <v>0</v>
      </c>
      <c r="P17" s="398">
        <f t="shared" si="4"/>
        <v>71700</v>
      </c>
      <c r="R17" s="25">
        <f t="shared" si="5"/>
        <v>10</v>
      </c>
      <c r="S17" s="37" t="s">
        <v>30</v>
      </c>
      <c r="T17" s="89"/>
      <c r="U17" s="87"/>
      <c r="V17" s="87"/>
      <c r="W17" s="87"/>
      <c r="X17" s="65"/>
      <c r="Y17" s="66"/>
      <c r="Z17" s="88"/>
      <c r="AA17" s="88"/>
      <c r="AB17" s="86"/>
      <c r="AC17" s="68"/>
      <c r="AD17" s="68"/>
      <c r="AE17" s="1036"/>
      <c r="AF17" s="89"/>
      <c r="AG17" s="68"/>
    </row>
    <row r="18" spans="1:33">
      <c r="A18" s="18">
        <v>12</v>
      </c>
      <c r="B18" s="408" t="s">
        <v>215</v>
      </c>
      <c r="C18" s="406">
        <v>61312</v>
      </c>
      <c r="D18" s="409">
        <v>61312</v>
      </c>
      <c r="E18" s="409">
        <v>0</v>
      </c>
      <c r="F18" s="409">
        <v>0</v>
      </c>
      <c r="G18" s="393">
        <f>C18+E18</f>
        <v>61312</v>
      </c>
      <c r="H18" s="394">
        <f>D18+F18</f>
        <v>61312</v>
      </c>
      <c r="I18" s="395">
        <v>0</v>
      </c>
      <c r="J18" s="410">
        <v>11596</v>
      </c>
      <c r="K18" s="406">
        <v>0</v>
      </c>
      <c r="L18" s="398">
        <v>0</v>
      </c>
      <c r="M18" s="398">
        <v>0</v>
      </c>
      <c r="N18" s="382"/>
      <c r="O18" s="411">
        <v>30704</v>
      </c>
      <c r="P18" s="398">
        <f>H18+O18</f>
        <v>92016</v>
      </c>
      <c r="R18" s="29">
        <f t="shared" si="5"/>
        <v>11</v>
      </c>
      <c r="S18" s="36" t="s">
        <v>37</v>
      </c>
      <c r="T18" s="85">
        <v>89804.9</v>
      </c>
      <c r="U18" s="82">
        <v>89804.9</v>
      </c>
      <c r="V18" s="82">
        <v>0</v>
      </c>
      <c r="W18" s="82">
        <v>0</v>
      </c>
      <c r="X18" s="65">
        <v>89804.9</v>
      </c>
      <c r="Y18" s="66">
        <v>89804.9</v>
      </c>
      <c r="Z18" s="83">
        <v>0</v>
      </c>
      <c r="AA18" s="83">
        <v>0</v>
      </c>
      <c r="AB18" s="81">
        <v>930.9</v>
      </c>
      <c r="AC18" s="68">
        <v>0</v>
      </c>
      <c r="AD18" s="68">
        <v>0</v>
      </c>
      <c r="AE18" s="706"/>
      <c r="AF18" s="85">
        <v>0</v>
      </c>
      <c r="AG18" s="68">
        <v>89804.9</v>
      </c>
    </row>
    <row r="19" spans="1:33">
      <c r="A19" s="18">
        <v>12</v>
      </c>
      <c r="B19" s="408" t="s">
        <v>216</v>
      </c>
      <c r="C19" s="406">
        <v>47088</v>
      </c>
      <c r="D19" s="409">
        <v>47088</v>
      </c>
      <c r="E19" s="409">
        <v>1798</v>
      </c>
      <c r="F19" s="409">
        <v>1798</v>
      </c>
      <c r="G19" s="393">
        <f>+C19+E19</f>
        <v>48886</v>
      </c>
      <c r="H19" s="394">
        <f>+D19+F19</f>
        <v>48886</v>
      </c>
      <c r="I19" s="410">
        <v>0</v>
      </c>
      <c r="J19" s="410">
        <v>0</v>
      </c>
      <c r="K19" s="406">
        <v>990.2</v>
      </c>
      <c r="L19" s="398">
        <f>+G19-H19</f>
        <v>0</v>
      </c>
      <c r="M19" s="398">
        <v>0</v>
      </c>
      <c r="N19" s="399"/>
      <c r="O19" s="411">
        <v>0</v>
      </c>
      <c r="P19" s="398">
        <f t="shared" ref="P19:P47" si="7">H19+O19</f>
        <v>48886</v>
      </c>
      <c r="R19" s="29">
        <f t="shared" si="5"/>
        <v>12</v>
      </c>
      <c r="S19" s="50" t="s">
        <v>38</v>
      </c>
      <c r="T19" s="85">
        <v>20815</v>
      </c>
      <c r="U19" s="82">
        <v>20737.5</v>
      </c>
      <c r="V19" s="82">
        <v>0</v>
      </c>
      <c r="W19" s="82">
        <v>0</v>
      </c>
      <c r="X19" s="65">
        <v>20815</v>
      </c>
      <c r="Y19" s="66">
        <v>20737.5</v>
      </c>
      <c r="Z19" s="83">
        <v>0</v>
      </c>
      <c r="AA19" s="83">
        <v>11523</v>
      </c>
      <c r="AB19" s="81">
        <v>103.2</v>
      </c>
      <c r="AC19" s="68">
        <v>77.5</v>
      </c>
      <c r="AD19" s="68">
        <v>0</v>
      </c>
      <c r="AE19" s="706"/>
      <c r="AF19" s="85">
        <v>0</v>
      </c>
      <c r="AG19" s="68">
        <v>20737.5</v>
      </c>
    </row>
    <row r="20" spans="1:33">
      <c r="A20" s="18">
        <f>A19+1</f>
        <v>13</v>
      </c>
      <c r="B20" s="135" t="s">
        <v>52</v>
      </c>
      <c r="C20" s="406">
        <f>SUM(C21:C27)</f>
        <v>7785.2</v>
      </c>
      <c r="D20" s="406">
        <f>SUM(D21:D27)</f>
        <v>7623</v>
      </c>
      <c r="E20" s="406">
        <f>SUM(E21:E27)</f>
        <v>0</v>
      </c>
      <c r="F20" s="406">
        <f>SUM(F21:F27)</f>
        <v>0</v>
      </c>
      <c r="G20" s="393">
        <f t="shared" ref="G20:H30" si="8">+C20+E20</f>
        <v>7785.2</v>
      </c>
      <c r="H20" s="394">
        <f t="shared" si="8"/>
        <v>7623</v>
      </c>
      <c r="I20" s="395">
        <v>0</v>
      </c>
      <c r="J20" s="407">
        <f>SUM(J21:J27)</f>
        <v>328</v>
      </c>
      <c r="K20" s="406">
        <f>SUM(K21:K27)</f>
        <v>23.5</v>
      </c>
      <c r="L20" s="398">
        <f t="shared" si="3"/>
        <v>162.19999999999982</v>
      </c>
      <c r="M20" s="398">
        <v>162</v>
      </c>
      <c r="N20" s="382"/>
      <c r="O20" s="405">
        <v>0</v>
      </c>
      <c r="P20" s="398">
        <f t="shared" si="7"/>
        <v>7623</v>
      </c>
      <c r="R20" s="25">
        <f t="shared" si="5"/>
        <v>13</v>
      </c>
      <c r="S20" s="37" t="s">
        <v>30</v>
      </c>
      <c r="T20" s="89">
        <v>20815</v>
      </c>
      <c r="U20" s="87">
        <v>20737.5</v>
      </c>
      <c r="V20" s="87">
        <v>0</v>
      </c>
      <c r="W20" s="87">
        <v>0</v>
      </c>
      <c r="X20" s="65">
        <v>20815</v>
      </c>
      <c r="Y20" s="66">
        <v>20737.5</v>
      </c>
      <c r="Z20" s="88">
        <v>0</v>
      </c>
      <c r="AA20" s="88">
        <v>11523</v>
      </c>
      <c r="AB20" s="86">
        <v>103</v>
      </c>
      <c r="AC20" s="68">
        <v>77.5</v>
      </c>
      <c r="AD20" s="68">
        <v>0</v>
      </c>
      <c r="AE20" s="1036"/>
      <c r="AF20" s="89">
        <v>0</v>
      </c>
      <c r="AG20" s="68">
        <v>20737.5</v>
      </c>
    </row>
    <row r="21" spans="1:33">
      <c r="A21" s="18">
        <v>14</v>
      </c>
      <c r="B21" s="135" t="s">
        <v>217</v>
      </c>
      <c r="C21" s="406">
        <v>134</v>
      </c>
      <c r="D21" s="409">
        <v>134</v>
      </c>
      <c r="E21" s="409">
        <v>0</v>
      </c>
      <c r="F21" s="409">
        <v>0</v>
      </c>
      <c r="G21" s="393">
        <f t="shared" si="8"/>
        <v>134</v>
      </c>
      <c r="H21" s="394">
        <f t="shared" si="8"/>
        <v>134</v>
      </c>
      <c r="I21" s="395">
        <v>0</v>
      </c>
      <c r="J21" s="407">
        <v>0</v>
      </c>
      <c r="K21" s="402">
        <v>0</v>
      </c>
      <c r="L21" s="398">
        <f t="shared" si="3"/>
        <v>0</v>
      </c>
      <c r="M21" s="398">
        <v>0</v>
      </c>
      <c r="N21" s="382"/>
      <c r="O21" s="405">
        <v>0</v>
      </c>
      <c r="P21" s="398">
        <f t="shared" si="7"/>
        <v>134</v>
      </c>
      <c r="R21" s="24">
        <f t="shared" si="5"/>
        <v>14</v>
      </c>
      <c r="S21" s="38" t="s">
        <v>29</v>
      </c>
      <c r="T21" s="70">
        <v>324637.3</v>
      </c>
      <c r="U21" s="71">
        <v>321562.90000000002</v>
      </c>
      <c r="V21" s="71">
        <v>30</v>
      </c>
      <c r="W21" s="71">
        <v>0</v>
      </c>
      <c r="X21" s="71">
        <v>324667.3</v>
      </c>
      <c r="Y21" s="72">
        <v>321562.90000000002</v>
      </c>
      <c r="Z21" s="90">
        <v>0</v>
      </c>
      <c r="AA21" s="1252">
        <v>121345</v>
      </c>
      <c r="AB21" s="73">
        <v>3484.7</v>
      </c>
      <c r="AC21" s="74">
        <v>3104.3999999999651</v>
      </c>
      <c r="AD21" s="74">
        <v>735.3</v>
      </c>
      <c r="AE21" s="1036"/>
      <c r="AF21" s="70">
        <v>8914</v>
      </c>
      <c r="AG21" s="74">
        <v>330476.90000000002</v>
      </c>
    </row>
    <row r="22" spans="1:33">
      <c r="A22" s="18">
        <v>15</v>
      </c>
      <c r="B22" s="135" t="s">
        <v>218</v>
      </c>
      <c r="C22" s="406">
        <v>1795</v>
      </c>
      <c r="D22" s="409">
        <v>1795</v>
      </c>
      <c r="E22" s="409">
        <v>0</v>
      </c>
      <c r="F22" s="409">
        <v>0</v>
      </c>
      <c r="G22" s="393">
        <f t="shared" si="8"/>
        <v>1795</v>
      </c>
      <c r="H22" s="394">
        <f t="shared" si="8"/>
        <v>1795</v>
      </c>
      <c r="I22" s="395">
        <v>0</v>
      </c>
      <c r="J22" s="407">
        <v>178</v>
      </c>
      <c r="K22" s="402">
        <v>0</v>
      </c>
      <c r="L22" s="398">
        <f t="shared" si="3"/>
        <v>0</v>
      </c>
      <c r="M22" s="398">
        <v>0</v>
      </c>
      <c r="N22" s="382"/>
      <c r="O22" s="405">
        <v>0</v>
      </c>
      <c r="P22" s="398">
        <f t="shared" si="7"/>
        <v>1795</v>
      </c>
      <c r="R22" s="46">
        <f t="shared" si="5"/>
        <v>15</v>
      </c>
      <c r="S22" s="43" t="s">
        <v>53</v>
      </c>
      <c r="T22" s="59"/>
      <c r="U22" s="60"/>
      <c r="V22" s="60"/>
      <c r="W22" s="60"/>
      <c r="X22" s="60"/>
      <c r="Y22" s="61"/>
      <c r="Z22" s="78"/>
      <c r="AA22" s="78"/>
      <c r="AB22" s="62"/>
      <c r="AC22" s="63"/>
      <c r="AD22" s="63"/>
      <c r="AE22" s="1036"/>
      <c r="AF22" s="59"/>
      <c r="AG22" s="63"/>
    </row>
    <row r="23" spans="1:33">
      <c r="A23" s="18">
        <v>16</v>
      </c>
      <c r="B23" s="135" t="s">
        <v>219</v>
      </c>
      <c r="C23" s="406">
        <v>720</v>
      </c>
      <c r="D23" s="409">
        <v>720</v>
      </c>
      <c r="E23" s="412">
        <v>0</v>
      </c>
      <c r="F23" s="412">
        <v>0</v>
      </c>
      <c r="G23" s="393">
        <f t="shared" si="8"/>
        <v>720</v>
      </c>
      <c r="H23" s="394">
        <f t="shared" si="8"/>
        <v>720</v>
      </c>
      <c r="I23" s="395">
        <v>0</v>
      </c>
      <c r="J23" s="407">
        <v>0</v>
      </c>
      <c r="K23" s="402">
        <v>0</v>
      </c>
      <c r="L23" s="398">
        <f t="shared" si="3"/>
        <v>0</v>
      </c>
      <c r="M23" s="398">
        <v>0</v>
      </c>
      <c r="N23" s="382"/>
      <c r="O23" s="405">
        <v>0</v>
      </c>
      <c r="P23" s="398">
        <f t="shared" si="7"/>
        <v>720</v>
      </c>
      <c r="R23" s="25">
        <f t="shared" si="5"/>
        <v>16</v>
      </c>
      <c r="S23" s="37" t="s">
        <v>60</v>
      </c>
      <c r="T23" s="89"/>
      <c r="U23" s="87"/>
      <c r="V23" s="87"/>
      <c r="W23" s="87"/>
      <c r="X23" s="65"/>
      <c r="Y23" s="66"/>
      <c r="Z23" s="88"/>
      <c r="AA23" s="88"/>
      <c r="AB23" s="86"/>
      <c r="AC23" s="68"/>
      <c r="AD23" s="68"/>
      <c r="AE23" s="1036"/>
      <c r="AF23" s="89"/>
      <c r="AG23" s="68"/>
    </row>
    <row r="24" spans="1:33">
      <c r="A24" s="18">
        <v>17</v>
      </c>
      <c r="B24" s="408" t="s">
        <v>220</v>
      </c>
      <c r="C24" s="406">
        <v>2687</v>
      </c>
      <c r="D24" s="409">
        <v>2525</v>
      </c>
      <c r="E24" s="409">
        <v>0</v>
      </c>
      <c r="F24" s="409">
        <v>0</v>
      </c>
      <c r="G24" s="393">
        <f t="shared" si="8"/>
        <v>2687</v>
      </c>
      <c r="H24" s="394">
        <f t="shared" si="8"/>
        <v>2525</v>
      </c>
      <c r="I24" s="410">
        <v>0</v>
      </c>
      <c r="J24" s="410">
        <v>0</v>
      </c>
      <c r="K24" s="406">
        <v>0</v>
      </c>
      <c r="L24" s="398">
        <f t="shared" si="3"/>
        <v>162</v>
      </c>
      <c r="M24" s="398">
        <v>162.19999999999999</v>
      </c>
      <c r="N24" s="399"/>
      <c r="O24" s="411">
        <v>0</v>
      </c>
      <c r="P24" s="398">
        <f t="shared" si="7"/>
        <v>2525</v>
      </c>
      <c r="R24" s="46">
        <f t="shared" si="5"/>
        <v>17</v>
      </c>
      <c r="S24" s="47" t="s">
        <v>59</v>
      </c>
      <c r="T24" s="59">
        <v>128834</v>
      </c>
      <c r="U24" s="60">
        <v>127940.9</v>
      </c>
      <c r="V24" s="60">
        <v>30</v>
      </c>
      <c r="W24" s="60">
        <v>0</v>
      </c>
      <c r="X24" s="60">
        <v>128864</v>
      </c>
      <c r="Y24" s="61">
        <v>127940.9</v>
      </c>
      <c r="Z24" s="78">
        <v>0</v>
      </c>
      <c r="AA24" s="78">
        <v>19036</v>
      </c>
      <c r="AB24" s="62">
        <v>1731.8</v>
      </c>
      <c r="AC24" s="63">
        <v>923.10000000000582</v>
      </c>
      <c r="AD24" s="63">
        <v>735.3</v>
      </c>
      <c r="AE24" s="1036"/>
      <c r="AF24" s="59">
        <v>0</v>
      </c>
      <c r="AG24" s="63">
        <v>127940.9</v>
      </c>
    </row>
    <row r="25" spans="1:33">
      <c r="A25" s="18">
        <v>18</v>
      </c>
      <c r="B25" s="408" t="s">
        <v>221</v>
      </c>
      <c r="C25" s="406">
        <v>561</v>
      </c>
      <c r="D25" s="409">
        <v>561</v>
      </c>
      <c r="E25" s="409">
        <v>0</v>
      </c>
      <c r="F25" s="409">
        <v>0</v>
      </c>
      <c r="G25" s="393">
        <f t="shared" si="8"/>
        <v>561</v>
      </c>
      <c r="H25" s="394">
        <f t="shared" si="8"/>
        <v>561</v>
      </c>
      <c r="I25" s="410">
        <v>0</v>
      </c>
      <c r="J25" s="410">
        <v>0</v>
      </c>
      <c r="K25" s="406">
        <v>0</v>
      </c>
      <c r="L25" s="398">
        <f t="shared" si="3"/>
        <v>0</v>
      </c>
      <c r="M25" s="398">
        <v>0</v>
      </c>
      <c r="N25" s="399"/>
      <c r="O25" s="411">
        <v>0</v>
      </c>
      <c r="P25" s="398">
        <f t="shared" si="7"/>
        <v>561</v>
      </c>
      <c r="R25" s="25">
        <f t="shared" si="5"/>
        <v>18</v>
      </c>
      <c r="S25" s="37" t="s">
        <v>60</v>
      </c>
      <c r="T25" s="89"/>
      <c r="U25" s="87"/>
      <c r="V25" s="87"/>
      <c r="W25" s="87"/>
      <c r="X25" s="65"/>
      <c r="Y25" s="66"/>
      <c r="Z25" s="88"/>
      <c r="AA25" s="88"/>
      <c r="AB25" s="86"/>
      <c r="AC25" s="68"/>
      <c r="AD25" s="68"/>
      <c r="AE25" s="1036"/>
      <c r="AF25" s="89"/>
      <c r="AG25" s="68"/>
    </row>
    <row r="26" spans="1:33">
      <c r="A26" s="18">
        <v>19</v>
      </c>
      <c r="B26" s="408" t="s">
        <v>222</v>
      </c>
      <c r="C26" s="406">
        <v>180</v>
      </c>
      <c r="D26" s="409">
        <v>180</v>
      </c>
      <c r="E26" s="409">
        <v>0</v>
      </c>
      <c r="F26" s="409">
        <v>0</v>
      </c>
      <c r="G26" s="393">
        <f t="shared" si="8"/>
        <v>180</v>
      </c>
      <c r="H26" s="394">
        <f t="shared" si="8"/>
        <v>180</v>
      </c>
      <c r="I26" s="410">
        <v>0</v>
      </c>
      <c r="J26" s="410">
        <v>0</v>
      </c>
      <c r="K26" s="406">
        <v>0</v>
      </c>
      <c r="L26" s="398">
        <f t="shared" si="3"/>
        <v>0</v>
      </c>
      <c r="M26" s="398">
        <v>0</v>
      </c>
      <c r="N26" s="399"/>
      <c r="O26" s="411">
        <v>0</v>
      </c>
      <c r="P26" s="398">
        <f t="shared" si="7"/>
        <v>180</v>
      </c>
      <c r="R26" s="46">
        <f t="shared" si="5"/>
        <v>19</v>
      </c>
      <c r="S26" s="47" t="s">
        <v>54</v>
      </c>
      <c r="T26" s="59">
        <v>105377.29999999999</v>
      </c>
      <c r="U26" s="60">
        <v>105355.6</v>
      </c>
      <c r="V26" s="60">
        <v>0</v>
      </c>
      <c r="W26" s="60">
        <v>0</v>
      </c>
      <c r="X26" s="60">
        <v>105377.29999999999</v>
      </c>
      <c r="Y26" s="61">
        <v>105355.6</v>
      </c>
      <c r="Z26" s="78">
        <v>0</v>
      </c>
      <c r="AA26" s="78">
        <v>70706</v>
      </c>
      <c r="AB26" s="62">
        <v>845.3</v>
      </c>
      <c r="AC26" s="63">
        <v>21.699999999982538</v>
      </c>
      <c r="AD26" s="63">
        <v>0</v>
      </c>
      <c r="AE26" s="1036"/>
      <c r="AF26" s="59">
        <v>8692</v>
      </c>
      <c r="AG26" s="63">
        <v>114047.6</v>
      </c>
    </row>
    <row r="27" spans="1:33">
      <c r="A27" s="18">
        <v>20</v>
      </c>
      <c r="B27" s="408" t="s">
        <v>223</v>
      </c>
      <c r="C27" s="406">
        <v>1708.2</v>
      </c>
      <c r="D27" s="409">
        <v>1708</v>
      </c>
      <c r="E27" s="409">
        <v>0</v>
      </c>
      <c r="F27" s="409">
        <v>0</v>
      </c>
      <c r="G27" s="393">
        <f t="shared" si="8"/>
        <v>1708.2</v>
      </c>
      <c r="H27" s="394">
        <f t="shared" si="8"/>
        <v>1708</v>
      </c>
      <c r="I27" s="410">
        <v>0</v>
      </c>
      <c r="J27" s="410">
        <v>150</v>
      </c>
      <c r="K27" s="406">
        <v>23.5</v>
      </c>
      <c r="L27" s="398">
        <f t="shared" si="3"/>
        <v>0.20000000000004547</v>
      </c>
      <c r="M27" s="398">
        <v>0</v>
      </c>
      <c r="N27" s="399"/>
      <c r="O27" s="411">
        <v>0</v>
      </c>
      <c r="P27" s="398">
        <f t="shared" si="7"/>
        <v>1708</v>
      </c>
      <c r="R27" s="25">
        <f t="shared" si="5"/>
        <v>20</v>
      </c>
      <c r="S27" s="37" t="s">
        <v>60</v>
      </c>
      <c r="T27" s="94"/>
      <c r="U27" s="92"/>
      <c r="V27" s="92"/>
      <c r="W27" s="92"/>
      <c r="X27" s="65"/>
      <c r="Y27" s="66"/>
      <c r="Z27" s="93"/>
      <c r="AA27" s="93"/>
      <c r="AB27" s="91"/>
      <c r="AC27" s="68"/>
      <c r="AD27" s="68"/>
      <c r="AE27" s="1036"/>
      <c r="AF27" s="94"/>
      <c r="AG27" s="68"/>
    </row>
    <row r="28" spans="1:33">
      <c r="A28" s="401">
        <v>21</v>
      </c>
      <c r="B28" s="177" t="s">
        <v>37</v>
      </c>
      <c r="C28" s="402">
        <v>89804.9</v>
      </c>
      <c r="D28" s="412">
        <v>89804.9</v>
      </c>
      <c r="E28" s="412">
        <v>0</v>
      </c>
      <c r="F28" s="412">
        <v>0</v>
      </c>
      <c r="G28" s="413">
        <f t="shared" si="8"/>
        <v>89804.9</v>
      </c>
      <c r="H28" s="414">
        <f t="shared" si="8"/>
        <v>89804.9</v>
      </c>
      <c r="I28" s="407">
        <v>0</v>
      </c>
      <c r="J28" s="407">
        <v>0</v>
      </c>
      <c r="K28" s="402">
        <v>930.9</v>
      </c>
      <c r="L28" s="415">
        <f t="shared" si="3"/>
        <v>0</v>
      </c>
      <c r="M28" s="415">
        <v>0</v>
      </c>
      <c r="N28" s="382"/>
      <c r="O28" s="405">
        <v>0</v>
      </c>
      <c r="P28" s="415">
        <f t="shared" si="7"/>
        <v>89804.9</v>
      </c>
      <c r="R28" s="24">
        <f t="shared" si="5"/>
        <v>21</v>
      </c>
      <c r="S28" s="38" t="s">
        <v>27</v>
      </c>
      <c r="T28" s="70"/>
      <c r="U28" s="71"/>
      <c r="V28" s="71"/>
      <c r="W28" s="71"/>
      <c r="X28" s="71"/>
      <c r="Y28" s="72"/>
      <c r="Z28" s="90"/>
      <c r="AA28" s="90"/>
      <c r="AB28" s="73"/>
      <c r="AC28" s="74"/>
      <c r="AD28" s="74"/>
      <c r="AE28" s="1036"/>
      <c r="AF28" s="70"/>
      <c r="AG28" s="74"/>
    </row>
    <row r="29" spans="1:33">
      <c r="A29" s="401">
        <f>A28+1</f>
        <v>22</v>
      </c>
      <c r="B29" s="416" t="s">
        <v>38</v>
      </c>
      <c r="C29" s="402">
        <v>20815</v>
      </c>
      <c r="D29" s="412">
        <v>20737.5</v>
      </c>
      <c r="E29" s="412">
        <v>0</v>
      </c>
      <c r="F29" s="412">
        <v>0</v>
      </c>
      <c r="G29" s="413">
        <f t="shared" si="8"/>
        <v>20815</v>
      </c>
      <c r="H29" s="414">
        <f t="shared" si="8"/>
        <v>20737.5</v>
      </c>
      <c r="I29" s="407">
        <v>0</v>
      </c>
      <c r="J29" s="407">
        <f>J30</f>
        <v>11523</v>
      </c>
      <c r="K29" s="402">
        <v>103.2</v>
      </c>
      <c r="L29" s="415">
        <f t="shared" si="3"/>
        <v>77.5</v>
      </c>
      <c r="M29" s="415">
        <v>0</v>
      </c>
      <c r="N29" s="382"/>
      <c r="O29" s="405">
        <v>0</v>
      </c>
      <c r="P29" s="415">
        <f t="shared" si="7"/>
        <v>20737.5</v>
      </c>
      <c r="R29" s="29">
        <f t="shared" si="5"/>
        <v>22</v>
      </c>
      <c r="S29" s="43" t="s">
        <v>34</v>
      </c>
      <c r="T29" s="59"/>
      <c r="U29" s="60"/>
      <c r="V29" s="60"/>
      <c r="W29" s="60"/>
      <c r="X29" s="60"/>
      <c r="Y29" s="61"/>
      <c r="Z29" s="78"/>
      <c r="AA29" s="78"/>
      <c r="AB29" s="62"/>
      <c r="AC29" s="63"/>
      <c r="AD29" s="63"/>
      <c r="AE29" s="1036"/>
      <c r="AF29" s="59"/>
      <c r="AG29" s="63"/>
    </row>
    <row r="30" spans="1:33">
      <c r="A30" s="18">
        <f>A29+1</f>
        <v>23</v>
      </c>
      <c r="B30" s="408" t="s">
        <v>224</v>
      </c>
      <c r="C30" s="406">
        <v>20815</v>
      </c>
      <c r="D30" s="409">
        <v>20737.5</v>
      </c>
      <c r="E30" s="409">
        <v>0</v>
      </c>
      <c r="F30" s="409">
        <v>0</v>
      </c>
      <c r="G30" s="393">
        <f t="shared" si="8"/>
        <v>20815</v>
      </c>
      <c r="H30" s="394">
        <f t="shared" si="8"/>
        <v>20737.5</v>
      </c>
      <c r="I30" s="410">
        <v>0</v>
      </c>
      <c r="J30" s="410">
        <v>11523</v>
      </c>
      <c r="K30" s="406">
        <v>103</v>
      </c>
      <c r="L30" s="398">
        <f t="shared" si="3"/>
        <v>77.5</v>
      </c>
      <c r="M30" s="398">
        <v>0</v>
      </c>
      <c r="N30" s="399"/>
      <c r="O30" s="411">
        <v>0</v>
      </c>
      <c r="P30" s="398">
        <f t="shared" si="7"/>
        <v>20737.5</v>
      </c>
      <c r="R30" s="25">
        <f t="shared" si="5"/>
        <v>23</v>
      </c>
      <c r="S30" s="37" t="s">
        <v>60</v>
      </c>
      <c r="T30" s="94"/>
      <c r="U30" s="92"/>
      <c r="V30" s="92"/>
      <c r="W30" s="92"/>
      <c r="X30" s="65"/>
      <c r="Y30" s="66"/>
      <c r="Z30" s="93"/>
      <c r="AA30" s="93"/>
      <c r="AB30" s="91"/>
      <c r="AC30" s="68"/>
      <c r="AD30" s="68"/>
      <c r="AE30" s="1036"/>
      <c r="AF30" s="94"/>
      <c r="AG30" s="68"/>
    </row>
    <row r="31" spans="1:33">
      <c r="A31" s="376">
        <f>A30+1</f>
        <v>24</v>
      </c>
      <c r="B31" s="129" t="s">
        <v>29</v>
      </c>
      <c r="C31" s="392">
        <f t="shared" ref="C31:H31" si="9">C32+C33+C38+C42+C47+C48</f>
        <v>324637.3</v>
      </c>
      <c r="D31" s="392">
        <f t="shared" si="9"/>
        <v>321562.90000000002</v>
      </c>
      <c r="E31" s="392">
        <f t="shared" si="9"/>
        <v>30</v>
      </c>
      <c r="F31" s="392">
        <f t="shared" si="9"/>
        <v>0</v>
      </c>
      <c r="G31" s="392">
        <f t="shared" si="9"/>
        <v>324667.3</v>
      </c>
      <c r="H31" s="392">
        <f t="shared" si="9"/>
        <v>321562.90000000002</v>
      </c>
      <c r="I31" s="392">
        <v>0</v>
      </c>
      <c r="J31" s="392">
        <f>J32+J33+J38+J42+J47+J48</f>
        <v>121345</v>
      </c>
      <c r="K31" s="392">
        <f>K32+K33+K38+K42+K47+K48</f>
        <v>3484.7</v>
      </c>
      <c r="L31" s="392">
        <f>G31-H31</f>
        <v>3104.3999999999651</v>
      </c>
      <c r="M31" s="417">
        <f>M32+M33+M38+M42+M47+M48</f>
        <v>735.3</v>
      </c>
      <c r="N31" s="418"/>
      <c r="O31" s="392">
        <f>O32+O33+O38+O42+O47+O48</f>
        <v>8914</v>
      </c>
      <c r="P31" s="417">
        <f>H31+O31</f>
        <v>330476.90000000002</v>
      </c>
      <c r="R31" s="24">
        <f t="shared" si="5"/>
        <v>24</v>
      </c>
      <c r="S31" s="38" t="s">
        <v>32</v>
      </c>
      <c r="T31" s="70">
        <v>286</v>
      </c>
      <c r="U31" s="71">
        <v>286</v>
      </c>
      <c r="V31" s="71">
        <v>0</v>
      </c>
      <c r="W31" s="71">
        <v>0</v>
      </c>
      <c r="X31" s="71">
        <v>286</v>
      </c>
      <c r="Y31" s="72">
        <v>286</v>
      </c>
      <c r="Z31" s="90">
        <v>100</v>
      </c>
      <c r="AA31" s="90">
        <v>0</v>
      </c>
      <c r="AB31" s="73">
        <v>0</v>
      </c>
      <c r="AC31" s="74">
        <v>0</v>
      </c>
      <c r="AD31" s="74">
        <v>0</v>
      </c>
      <c r="AE31" s="1036"/>
      <c r="AF31" s="70">
        <v>0</v>
      </c>
      <c r="AG31" s="74">
        <v>286</v>
      </c>
    </row>
    <row r="32" spans="1:33">
      <c r="A32" s="376">
        <f>A31+1</f>
        <v>25</v>
      </c>
      <c r="B32" s="129" t="s">
        <v>198</v>
      </c>
      <c r="C32" s="386">
        <v>65566</v>
      </c>
      <c r="D32" s="386">
        <v>64778.6</v>
      </c>
      <c r="E32" s="386">
        <v>0</v>
      </c>
      <c r="F32" s="386">
        <v>0</v>
      </c>
      <c r="G32" s="386">
        <f>C32+E32</f>
        <v>65566</v>
      </c>
      <c r="H32" s="387">
        <f>D32+F32</f>
        <v>64778.6</v>
      </c>
      <c r="I32" s="389">
        <v>0</v>
      </c>
      <c r="J32" s="389">
        <v>27757</v>
      </c>
      <c r="K32" s="390">
        <v>482.7</v>
      </c>
      <c r="L32" s="391">
        <f>G32-H32</f>
        <v>787.40000000000146</v>
      </c>
      <c r="M32" s="391">
        <v>0</v>
      </c>
      <c r="N32" s="382"/>
      <c r="O32" s="392">
        <v>0</v>
      </c>
      <c r="P32" s="391">
        <f t="shared" si="7"/>
        <v>64778.6</v>
      </c>
      <c r="R32" s="46">
        <f t="shared" si="5"/>
        <v>25</v>
      </c>
      <c r="S32" s="47" t="s">
        <v>39</v>
      </c>
      <c r="T32" s="59"/>
      <c r="U32" s="60"/>
      <c r="V32" s="60"/>
      <c r="W32" s="60"/>
      <c r="X32" s="60"/>
      <c r="Y32" s="61"/>
      <c r="Z32" s="78"/>
      <c r="AA32" s="78"/>
      <c r="AB32" s="62"/>
      <c r="AC32" s="63"/>
      <c r="AD32" s="63"/>
      <c r="AE32" s="1036"/>
      <c r="AF32" s="59"/>
      <c r="AG32" s="63"/>
    </row>
    <row r="33" spans="1:33" ht="15.75" thickBot="1">
      <c r="A33" s="376">
        <v>26</v>
      </c>
      <c r="B33" s="129" t="s">
        <v>225</v>
      </c>
      <c r="C33" s="390">
        <f t="shared" ref="C33:H33" si="10">SUM(C34:C37)</f>
        <v>2294</v>
      </c>
      <c r="D33" s="390">
        <f t="shared" si="10"/>
        <v>2294</v>
      </c>
      <c r="E33" s="390">
        <f t="shared" si="10"/>
        <v>0</v>
      </c>
      <c r="F33" s="390">
        <f t="shared" si="10"/>
        <v>0</v>
      </c>
      <c r="G33" s="386">
        <f t="shared" si="10"/>
        <v>2294</v>
      </c>
      <c r="H33" s="386">
        <f t="shared" si="10"/>
        <v>2294</v>
      </c>
      <c r="I33" s="389">
        <v>0</v>
      </c>
      <c r="J33" s="389">
        <v>0</v>
      </c>
      <c r="K33" s="390">
        <f>SUM(K34:K37)</f>
        <v>26.3</v>
      </c>
      <c r="L33" s="391">
        <f ca="1">SUM(L33:L37)</f>
        <v>0</v>
      </c>
      <c r="M33" s="391">
        <v>0</v>
      </c>
      <c r="N33" s="382"/>
      <c r="O33" s="392">
        <f>SUM(O34:O37)</f>
        <v>222</v>
      </c>
      <c r="P33" s="391">
        <f t="shared" si="7"/>
        <v>2516</v>
      </c>
      <c r="R33" s="25">
        <f t="shared" si="5"/>
        <v>26</v>
      </c>
      <c r="S33" s="37" t="s">
        <v>60</v>
      </c>
      <c r="T33" s="89"/>
      <c r="U33" s="87"/>
      <c r="V33" s="87"/>
      <c r="W33" s="87"/>
      <c r="X33" s="65"/>
      <c r="Y33" s="66"/>
      <c r="Z33" s="88"/>
      <c r="AA33" s="88"/>
      <c r="AB33" s="86"/>
      <c r="AC33" s="68"/>
      <c r="AD33" s="68"/>
      <c r="AE33" s="1036"/>
      <c r="AF33" s="89"/>
      <c r="AG33" s="68"/>
    </row>
    <row r="34" spans="1:33" ht="15.75" thickBot="1">
      <c r="A34" s="419">
        <v>27</v>
      </c>
      <c r="B34" s="420" t="s">
        <v>226</v>
      </c>
      <c r="C34" s="421">
        <v>580</v>
      </c>
      <c r="D34" s="422">
        <v>580</v>
      </c>
      <c r="E34" s="422">
        <v>0</v>
      </c>
      <c r="F34" s="422">
        <v>0</v>
      </c>
      <c r="G34" s="422">
        <f t="shared" ref="G34:H37" si="11">C34+E34</f>
        <v>580</v>
      </c>
      <c r="H34" s="423">
        <f t="shared" si="11"/>
        <v>580</v>
      </c>
      <c r="I34" s="424">
        <v>0</v>
      </c>
      <c r="J34" s="424">
        <v>0</v>
      </c>
      <c r="K34" s="421">
        <v>0</v>
      </c>
      <c r="L34" s="425">
        <f t="shared" ref="L34:L57" si="12">G34-H34</f>
        <v>0</v>
      </c>
      <c r="M34" s="425">
        <v>0</v>
      </c>
      <c r="N34" s="426"/>
      <c r="O34" s="427">
        <v>0</v>
      </c>
      <c r="P34" s="425">
        <f t="shared" si="7"/>
        <v>580</v>
      </c>
      <c r="R34" s="31">
        <f t="shared" si="5"/>
        <v>27</v>
      </c>
      <c r="S34" s="39" t="s">
        <v>23</v>
      </c>
      <c r="T34" s="95">
        <v>1115078.1000000001</v>
      </c>
      <c r="U34" s="96">
        <v>1111657.3</v>
      </c>
      <c r="V34" s="96">
        <v>8828</v>
      </c>
      <c r="W34" s="96">
        <v>8798</v>
      </c>
      <c r="X34" s="96">
        <v>1123906.1000000001</v>
      </c>
      <c r="Y34" s="97">
        <v>1120455.3</v>
      </c>
      <c r="Z34" s="98"/>
      <c r="AA34" s="98">
        <v>183704</v>
      </c>
      <c r="AB34" s="99">
        <v>5776.5</v>
      </c>
      <c r="AC34" s="100">
        <v>3451.3999999999651</v>
      </c>
      <c r="AD34" s="100">
        <v>946.59999999999991</v>
      </c>
      <c r="AE34" s="101"/>
      <c r="AF34" s="95">
        <v>39618</v>
      </c>
      <c r="AG34" s="100">
        <v>1160073.3</v>
      </c>
    </row>
    <row r="35" spans="1:33">
      <c r="A35" s="376">
        <v>28</v>
      </c>
      <c r="B35" s="420" t="s">
        <v>227</v>
      </c>
      <c r="C35" s="421">
        <v>119</v>
      </c>
      <c r="D35" s="422">
        <v>119</v>
      </c>
      <c r="E35" s="422">
        <v>0</v>
      </c>
      <c r="F35" s="422">
        <v>0</v>
      </c>
      <c r="G35" s="422">
        <f t="shared" si="11"/>
        <v>119</v>
      </c>
      <c r="H35" s="423">
        <f t="shared" si="11"/>
        <v>119</v>
      </c>
      <c r="I35" s="424">
        <v>0</v>
      </c>
      <c r="J35" s="424">
        <v>0</v>
      </c>
      <c r="K35" s="421">
        <v>0</v>
      </c>
      <c r="L35" s="425">
        <f t="shared" si="12"/>
        <v>0</v>
      </c>
      <c r="M35" s="425">
        <v>0</v>
      </c>
      <c r="N35" s="426"/>
      <c r="O35" s="427">
        <v>13</v>
      </c>
      <c r="P35" s="425">
        <f t="shared" si="7"/>
        <v>132</v>
      </c>
    </row>
    <row r="36" spans="1:33">
      <c r="A36" s="376">
        <v>29</v>
      </c>
      <c r="B36" s="420" t="s">
        <v>228</v>
      </c>
      <c r="C36" s="421">
        <v>1126</v>
      </c>
      <c r="D36" s="422">
        <v>1126</v>
      </c>
      <c r="E36" s="422">
        <v>0</v>
      </c>
      <c r="F36" s="422">
        <v>0</v>
      </c>
      <c r="G36" s="422">
        <f t="shared" si="11"/>
        <v>1126</v>
      </c>
      <c r="H36" s="423">
        <f t="shared" si="11"/>
        <v>1126</v>
      </c>
      <c r="I36" s="424">
        <v>0</v>
      </c>
      <c r="J36" s="424">
        <v>0</v>
      </c>
      <c r="K36" s="421">
        <v>26.3</v>
      </c>
      <c r="L36" s="425">
        <f t="shared" si="12"/>
        <v>0</v>
      </c>
      <c r="M36" s="425">
        <v>0</v>
      </c>
      <c r="N36" s="426"/>
      <c r="O36" s="427">
        <v>126</v>
      </c>
      <c r="P36" s="425">
        <f t="shared" si="7"/>
        <v>1252</v>
      </c>
    </row>
    <row r="37" spans="1:33">
      <c r="A37" s="376">
        <v>30</v>
      </c>
      <c r="B37" s="420" t="s">
        <v>229</v>
      </c>
      <c r="C37" s="421">
        <v>469</v>
      </c>
      <c r="D37" s="422">
        <v>469</v>
      </c>
      <c r="E37" s="422">
        <v>0</v>
      </c>
      <c r="F37" s="422">
        <v>0</v>
      </c>
      <c r="G37" s="422">
        <f t="shared" si="11"/>
        <v>469</v>
      </c>
      <c r="H37" s="423">
        <f t="shared" si="11"/>
        <v>469</v>
      </c>
      <c r="I37" s="424">
        <v>0</v>
      </c>
      <c r="J37" s="424">
        <v>0</v>
      </c>
      <c r="K37" s="421">
        <v>0</v>
      </c>
      <c r="L37" s="425">
        <f t="shared" si="12"/>
        <v>0</v>
      </c>
      <c r="M37" s="425">
        <v>0</v>
      </c>
      <c r="N37" s="426"/>
      <c r="O37" s="427">
        <v>83</v>
      </c>
      <c r="P37" s="425">
        <f t="shared" si="7"/>
        <v>552</v>
      </c>
    </row>
    <row r="38" spans="1:33">
      <c r="A38" s="376">
        <v>31</v>
      </c>
      <c r="B38" s="129" t="s">
        <v>197</v>
      </c>
      <c r="C38" s="390">
        <f>SUM(C39:C41)</f>
        <v>8337</v>
      </c>
      <c r="D38" s="390">
        <f>SUM(D39:D41)</f>
        <v>8190.2000000000007</v>
      </c>
      <c r="E38" s="390">
        <f t="shared" ref="E38:K38" si="13">SUM(E39:E41)</f>
        <v>0</v>
      </c>
      <c r="F38" s="390">
        <f t="shared" si="13"/>
        <v>0</v>
      </c>
      <c r="G38" s="390">
        <f t="shared" si="13"/>
        <v>8337</v>
      </c>
      <c r="H38" s="390">
        <f t="shared" si="13"/>
        <v>8190.2000000000007</v>
      </c>
      <c r="I38" s="390">
        <v>0</v>
      </c>
      <c r="J38" s="390">
        <f t="shared" si="13"/>
        <v>126</v>
      </c>
      <c r="K38" s="390">
        <f t="shared" si="13"/>
        <v>188.8</v>
      </c>
      <c r="L38" s="390">
        <f t="shared" si="12"/>
        <v>146.79999999999927</v>
      </c>
      <c r="M38" s="391">
        <f>SUM(M39:M41)</f>
        <v>0</v>
      </c>
      <c r="N38" s="382"/>
      <c r="O38" s="392">
        <v>0</v>
      </c>
      <c r="P38" s="391">
        <f t="shared" si="7"/>
        <v>8190.2000000000007</v>
      </c>
    </row>
    <row r="39" spans="1:33">
      <c r="A39" s="376">
        <v>32</v>
      </c>
      <c r="B39" s="420" t="s">
        <v>230</v>
      </c>
      <c r="C39" s="421">
        <v>1124</v>
      </c>
      <c r="D39" s="421">
        <v>1064.4000000000001</v>
      </c>
      <c r="E39" s="421">
        <v>0</v>
      </c>
      <c r="F39" s="421">
        <v>0</v>
      </c>
      <c r="G39" s="421">
        <f t="shared" ref="G39:H41" si="14">C39+E39</f>
        <v>1124</v>
      </c>
      <c r="H39" s="428">
        <f t="shared" si="14"/>
        <v>1064.4000000000001</v>
      </c>
      <c r="I39" s="424">
        <v>0</v>
      </c>
      <c r="J39" s="424">
        <v>0</v>
      </c>
      <c r="K39" s="421">
        <v>7.4</v>
      </c>
      <c r="L39" s="425">
        <f t="shared" si="12"/>
        <v>59.599999999999909</v>
      </c>
      <c r="M39" s="425">
        <v>0</v>
      </c>
      <c r="N39" s="426"/>
      <c r="O39" s="427">
        <v>0</v>
      </c>
      <c r="P39" s="425">
        <f t="shared" si="7"/>
        <v>1064.4000000000001</v>
      </c>
    </row>
    <row r="40" spans="1:33">
      <c r="A40" s="376">
        <v>33</v>
      </c>
      <c r="B40" s="420" t="s">
        <v>231</v>
      </c>
      <c r="C40" s="421">
        <v>2215</v>
      </c>
      <c r="D40" s="421">
        <v>2127.8000000000002</v>
      </c>
      <c r="E40" s="421">
        <v>0</v>
      </c>
      <c r="F40" s="421">
        <v>0</v>
      </c>
      <c r="G40" s="421">
        <f t="shared" si="14"/>
        <v>2215</v>
      </c>
      <c r="H40" s="428">
        <f t="shared" si="14"/>
        <v>2127.8000000000002</v>
      </c>
      <c r="I40" s="424">
        <v>0</v>
      </c>
      <c r="J40" s="424">
        <v>0</v>
      </c>
      <c r="K40" s="421">
        <v>110.7</v>
      </c>
      <c r="L40" s="425">
        <f t="shared" si="12"/>
        <v>87.199999999999818</v>
      </c>
      <c r="M40" s="425">
        <v>0</v>
      </c>
      <c r="N40" s="426"/>
      <c r="O40" s="427">
        <v>0</v>
      </c>
      <c r="P40" s="425">
        <f t="shared" si="7"/>
        <v>2127.8000000000002</v>
      </c>
    </row>
    <row r="41" spans="1:33">
      <c r="A41" s="376">
        <v>34</v>
      </c>
      <c r="B41" s="420" t="s">
        <v>232</v>
      </c>
      <c r="C41" s="421">
        <v>4998</v>
      </c>
      <c r="D41" s="421">
        <v>4998</v>
      </c>
      <c r="E41" s="421">
        <v>0</v>
      </c>
      <c r="F41" s="421">
        <v>0</v>
      </c>
      <c r="G41" s="421">
        <f t="shared" si="14"/>
        <v>4998</v>
      </c>
      <c r="H41" s="428">
        <f t="shared" si="14"/>
        <v>4998</v>
      </c>
      <c r="I41" s="424">
        <v>0</v>
      </c>
      <c r="J41" s="424">
        <v>126</v>
      </c>
      <c r="K41" s="421">
        <v>70.7</v>
      </c>
      <c r="L41" s="425">
        <f t="shared" si="12"/>
        <v>0</v>
      </c>
      <c r="M41" s="425">
        <v>0</v>
      </c>
      <c r="N41" s="426"/>
      <c r="O41" s="427">
        <v>0</v>
      </c>
      <c r="P41" s="425">
        <f t="shared" si="7"/>
        <v>4998</v>
      </c>
    </row>
    <row r="42" spans="1:33">
      <c r="A42" s="376">
        <v>35</v>
      </c>
      <c r="B42" s="129" t="s">
        <v>201</v>
      </c>
      <c r="C42" s="390">
        <f t="shared" ref="C42:M42" si="15">SUM(C43:C46)</f>
        <v>14229</v>
      </c>
      <c r="D42" s="390">
        <f t="shared" si="15"/>
        <v>13003.6</v>
      </c>
      <c r="E42" s="390">
        <f t="shared" si="15"/>
        <v>0</v>
      </c>
      <c r="F42" s="390">
        <f t="shared" si="15"/>
        <v>0</v>
      </c>
      <c r="G42" s="390">
        <f t="shared" si="15"/>
        <v>14229</v>
      </c>
      <c r="H42" s="390">
        <f t="shared" si="15"/>
        <v>13003.6</v>
      </c>
      <c r="I42" s="389">
        <v>0</v>
      </c>
      <c r="J42" s="389">
        <f t="shared" si="15"/>
        <v>3720</v>
      </c>
      <c r="K42" s="390">
        <f t="shared" si="15"/>
        <v>209.8</v>
      </c>
      <c r="L42" s="391">
        <f t="shared" si="12"/>
        <v>1225.3999999999996</v>
      </c>
      <c r="M42" s="429">
        <f t="shared" si="15"/>
        <v>0</v>
      </c>
      <c r="N42" s="382"/>
      <c r="O42" s="392">
        <v>0</v>
      </c>
      <c r="P42" s="391">
        <f t="shared" si="7"/>
        <v>13003.6</v>
      </c>
    </row>
    <row r="43" spans="1:33">
      <c r="A43" s="376">
        <v>36</v>
      </c>
      <c r="B43" s="420" t="s">
        <v>233</v>
      </c>
      <c r="C43" s="421">
        <v>1636</v>
      </c>
      <c r="D43" s="422">
        <v>1212.5999999999999</v>
      </c>
      <c r="E43" s="422">
        <v>0</v>
      </c>
      <c r="F43" s="422">
        <v>0</v>
      </c>
      <c r="G43" s="422">
        <f t="shared" ref="G43:H47" si="16">C43+E43</f>
        <v>1636</v>
      </c>
      <c r="H43" s="423">
        <f t="shared" si="16"/>
        <v>1212.5999999999999</v>
      </c>
      <c r="I43" s="424">
        <v>0</v>
      </c>
      <c r="J43" s="424">
        <v>0</v>
      </c>
      <c r="K43" s="421">
        <v>0</v>
      </c>
      <c r="L43" s="425">
        <f t="shared" si="12"/>
        <v>423.40000000000009</v>
      </c>
      <c r="M43" s="425">
        <v>0</v>
      </c>
      <c r="N43" s="426"/>
      <c r="O43" s="427">
        <v>0</v>
      </c>
      <c r="P43" s="425">
        <f>H43+O43</f>
        <v>1212.5999999999999</v>
      </c>
    </row>
    <row r="44" spans="1:33">
      <c r="A44" s="376">
        <v>37</v>
      </c>
      <c r="B44" s="420" t="s">
        <v>234</v>
      </c>
      <c r="C44" s="421">
        <v>4397</v>
      </c>
      <c r="D44" s="422">
        <v>3595</v>
      </c>
      <c r="E44" s="422">
        <v>0</v>
      </c>
      <c r="F44" s="422">
        <v>0</v>
      </c>
      <c r="G44" s="422">
        <f t="shared" si="16"/>
        <v>4397</v>
      </c>
      <c r="H44" s="423">
        <f t="shared" si="16"/>
        <v>3595</v>
      </c>
      <c r="I44" s="424">
        <v>0</v>
      </c>
      <c r="J44" s="424">
        <v>0</v>
      </c>
      <c r="K44" s="421">
        <v>110.5</v>
      </c>
      <c r="L44" s="425">
        <f t="shared" si="12"/>
        <v>802</v>
      </c>
      <c r="M44" s="425">
        <v>0</v>
      </c>
      <c r="N44" s="426"/>
      <c r="O44" s="427">
        <v>0</v>
      </c>
      <c r="P44" s="425">
        <f>H44+O44</f>
        <v>3595</v>
      </c>
    </row>
    <row r="45" spans="1:33">
      <c r="A45" s="376">
        <v>38</v>
      </c>
      <c r="B45" s="420" t="s">
        <v>235</v>
      </c>
      <c r="C45" s="421">
        <v>7961</v>
      </c>
      <c r="D45" s="422">
        <v>7961</v>
      </c>
      <c r="E45" s="422">
        <v>0</v>
      </c>
      <c r="F45" s="422">
        <v>0</v>
      </c>
      <c r="G45" s="422">
        <f t="shared" si="16"/>
        <v>7961</v>
      </c>
      <c r="H45" s="423">
        <f t="shared" si="16"/>
        <v>7961</v>
      </c>
      <c r="I45" s="424">
        <v>0</v>
      </c>
      <c r="J45" s="424">
        <v>3720</v>
      </c>
      <c r="K45" s="421">
        <v>99.3</v>
      </c>
      <c r="L45" s="425">
        <f t="shared" si="12"/>
        <v>0</v>
      </c>
      <c r="M45" s="425">
        <v>0</v>
      </c>
      <c r="N45" s="426"/>
      <c r="O45" s="427">
        <v>0</v>
      </c>
      <c r="P45" s="425">
        <f>H45+O45</f>
        <v>7961</v>
      </c>
    </row>
    <row r="46" spans="1:33">
      <c r="A46" s="376">
        <v>39</v>
      </c>
      <c r="B46" s="420" t="s">
        <v>236</v>
      </c>
      <c r="C46" s="421">
        <v>235</v>
      </c>
      <c r="D46" s="422">
        <v>235</v>
      </c>
      <c r="E46" s="422">
        <v>0</v>
      </c>
      <c r="F46" s="422">
        <v>0</v>
      </c>
      <c r="G46" s="422">
        <f t="shared" si="16"/>
        <v>235</v>
      </c>
      <c r="H46" s="423">
        <f t="shared" si="16"/>
        <v>235</v>
      </c>
      <c r="I46" s="424">
        <v>0</v>
      </c>
      <c r="J46" s="424">
        <v>0</v>
      </c>
      <c r="K46" s="421">
        <v>0</v>
      </c>
      <c r="L46" s="425">
        <f t="shared" si="12"/>
        <v>0</v>
      </c>
      <c r="M46" s="425">
        <v>0</v>
      </c>
      <c r="N46" s="426"/>
      <c r="O46" s="427">
        <v>0</v>
      </c>
      <c r="P46" s="425">
        <f>H46+O46</f>
        <v>235</v>
      </c>
    </row>
    <row r="47" spans="1:33">
      <c r="A47" s="376">
        <v>40</v>
      </c>
      <c r="B47" s="430" t="s">
        <v>59</v>
      </c>
      <c r="C47" s="386">
        <v>128834</v>
      </c>
      <c r="D47" s="386">
        <v>127940.9</v>
      </c>
      <c r="E47" s="386">
        <v>30</v>
      </c>
      <c r="F47" s="386">
        <v>0</v>
      </c>
      <c r="G47" s="386">
        <f t="shared" si="16"/>
        <v>128864</v>
      </c>
      <c r="H47" s="387">
        <f t="shared" si="16"/>
        <v>127940.9</v>
      </c>
      <c r="I47" s="389">
        <v>0</v>
      </c>
      <c r="J47" s="389">
        <v>19036</v>
      </c>
      <c r="K47" s="390">
        <v>1731.8</v>
      </c>
      <c r="L47" s="391">
        <f t="shared" si="12"/>
        <v>923.10000000000582</v>
      </c>
      <c r="M47" s="391">
        <v>735.3</v>
      </c>
      <c r="N47" s="382"/>
      <c r="O47" s="392">
        <v>0</v>
      </c>
      <c r="P47" s="391">
        <f t="shared" si="7"/>
        <v>127940.9</v>
      </c>
    </row>
    <row r="48" spans="1:33">
      <c r="A48" s="376">
        <v>41</v>
      </c>
      <c r="B48" s="430" t="s">
        <v>54</v>
      </c>
      <c r="C48" s="386">
        <f>SUM(C49:C57)</f>
        <v>105377.29999999999</v>
      </c>
      <c r="D48" s="386">
        <f t="shared" ref="D48:O48" si="17">SUM(D49:D57)</f>
        <v>105355.6</v>
      </c>
      <c r="E48" s="386">
        <f t="shared" si="17"/>
        <v>0</v>
      </c>
      <c r="F48" s="386">
        <f t="shared" si="17"/>
        <v>0</v>
      </c>
      <c r="G48" s="386">
        <f t="shared" si="17"/>
        <v>105377.29999999999</v>
      </c>
      <c r="H48" s="386">
        <f t="shared" si="17"/>
        <v>105355.6</v>
      </c>
      <c r="I48" s="386">
        <f t="shared" si="17"/>
        <v>0</v>
      </c>
      <c r="J48" s="386">
        <f t="shared" si="17"/>
        <v>70706</v>
      </c>
      <c r="K48" s="386">
        <f t="shared" si="17"/>
        <v>845.3</v>
      </c>
      <c r="L48" s="386">
        <f t="shared" si="12"/>
        <v>21.699999999982538</v>
      </c>
      <c r="M48" s="391">
        <f t="shared" si="17"/>
        <v>0</v>
      </c>
      <c r="N48" s="418"/>
      <c r="O48" s="392">
        <f t="shared" si="17"/>
        <v>8692</v>
      </c>
      <c r="P48" s="391">
        <f>SUM(P49:P57)</f>
        <v>114047.6</v>
      </c>
    </row>
    <row r="49" spans="1:16">
      <c r="A49" s="376">
        <v>42</v>
      </c>
      <c r="B49" s="431" t="s">
        <v>237</v>
      </c>
      <c r="C49" s="432">
        <v>1295</v>
      </c>
      <c r="D49" s="433">
        <v>1295</v>
      </c>
      <c r="E49" s="433">
        <v>0</v>
      </c>
      <c r="F49" s="433">
        <v>0</v>
      </c>
      <c r="G49" s="422">
        <f>C49+E49</f>
        <v>1295</v>
      </c>
      <c r="H49" s="423">
        <f>D49+F50</f>
        <v>1295</v>
      </c>
      <c r="I49" s="434">
        <v>0</v>
      </c>
      <c r="J49" s="434">
        <v>0</v>
      </c>
      <c r="K49" s="432">
        <v>0</v>
      </c>
      <c r="L49" s="425">
        <f t="shared" si="12"/>
        <v>0</v>
      </c>
      <c r="M49" s="425">
        <v>0</v>
      </c>
      <c r="N49" s="426"/>
      <c r="O49" s="435">
        <v>0</v>
      </c>
      <c r="P49" s="425">
        <f>H49+O49</f>
        <v>1295</v>
      </c>
    </row>
    <row r="50" spans="1:16">
      <c r="A50" s="376">
        <v>43</v>
      </c>
      <c r="B50" s="431" t="s">
        <v>238</v>
      </c>
      <c r="C50" s="432">
        <v>1319.5</v>
      </c>
      <c r="D50" s="433">
        <v>1319.5</v>
      </c>
      <c r="E50" s="433">
        <v>0</v>
      </c>
      <c r="F50" s="433">
        <v>0</v>
      </c>
      <c r="G50" s="422">
        <f t="shared" ref="G50:G57" si="18">C50+E50</f>
        <v>1319.5</v>
      </c>
      <c r="H50" s="423">
        <f t="shared" ref="H50:H57" si="19">D50+F51</f>
        <v>1319.5</v>
      </c>
      <c r="I50" s="434">
        <v>0</v>
      </c>
      <c r="J50" s="434">
        <v>412</v>
      </c>
      <c r="K50" s="432">
        <v>0</v>
      </c>
      <c r="L50" s="425">
        <f t="shared" si="12"/>
        <v>0</v>
      </c>
      <c r="M50" s="425">
        <v>0</v>
      </c>
      <c r="N50" s="426"/>
      <c r="O50" s="435">
        <v>0</v>
      </c>
      <c r="P50" s="425">
        <f t="shared" ref="P50:P57" si="20">H50+O50</f>
        <v>1319.5</v>
      </c>
    </row>
    <row r="51" spans="1:16">
      <c r="A51" s="376">
        <v>44</v>
      </c>
      <c r="B51" s="431" t="s">
        <v>239</v>
      </c>
      <c r="C51" s="432">
        <v>3179.7</v>
      </c>
      <c r="D51" s="433">
        <v>3179.7</v>
      </c>
      <c r="E51" s="433">
        <v>0</v>
      </c>
      <c r="F51" s="433">
        <v>0</v>
      </c>
      <c r="G51" s="422">
        <f t="shared" si="18"/>
        <v>3179.7</v>
      </c>
      <c r="H51" s="423">
        <f t="shared" si="19"/>
        <v>3179.7</v>
      </c>
      <c r="I51" s="434">
        <v>0</v>
      </c>
      <c r="J51" s="434">
        <v>2481</v>
      </c>
      <c r="K51" s="432">
        <v>0</v>
      </c>
      <c r="L51" s="425">
        <f t="shared" si="12"/>
        <v>0</v>
      </c>
      <c r="M51" s="425">
        <v>0</v>
      </c>
      <c r="N51" s="426"/>
      <c r="O51" s="435">
        <v>376</v>
      </c>
      <c r="P51" s="425">
        <f t="shared" si="20"/>
        <v>3555.7</v>
      </c>
    </row>
    <row r="52" spans="1:16">
      <c r="A52" s="376">
        <v>45</v>
      </c>
      <c r="B52" s="431" t="s">
        <v>240</v>
      </c>
      <c r="C52" s="432">
        <v>3646.4</v>
      </c>
      <c r="D52" s="433">
        <v>3646.4</v>
      </c>
      <c r="E52" s="433">
        <v>0</v>
      </c>
      <c r="F52" s="433">
        <v>0</v>
      </c>
      <c r="G52" s="422">
        <f t="shared" si="18"/>
        <v>3646.4</v>
      </c>
      <c r="H52" s="423">
        <f t="shared" si="19"/>
        <v>3646.4</v>
      </c>
      <c r="I52" s="434">
        <v>0</v>
      </c>
      <c r="J52" s="434">
        <v>976</v>
      </c>
      <c r="K52" s="432">
        <v>0</v>
      </c>
      <c r="L52" s="425">
        <f t="shared" si="12"/>
        <v>0</v>
      </c>
      <c r="M52" s="425">
        <v>0</v>
      </c>
      <c r="N52" s="426"/>
      <c r="O52" s="435">
        <v>399</v>
      </c>
      <c r="P52" s="425">
        <f t="shared" si="20"/>
        <v>4045.4</v>
      </c>
    </row>
    <row r="53" spans="1:16">
      <c r="A53" s="376">
        <v>46</v>
      </c>
      <c r="B53" s="431" t="s">
        <v>241</v>
      </c>
      <c r="C53" s="432">
        <v>4240</v>
      </c>
      <c r="D53" s="433">
        <v>4240</v>
      </c>
      <c r="E53" s="433">
        <v>0</v>
      </c>
      <c r="F53" s="433">
        <v>0</v>
      </c>
      <c r="G53" s="422">
        <f t="shared" si="18"/>
        <v>4240</v>
      </c>
      <c r="H53" s="423">
        <f t="shared" si="19"/>
        <v>4240</v>
      </c>
      <c r="I53" s="434">
        <v>0</v>
      </c>
      <c r="J53" s="434">
        <v>0</v>
      </c>
      <c r="K53" s="432">
        <v>84.6</v>
      </c>
      <c r="L53" s="425">
        <f t="shared" si="12"/>
        <v>0</v>
      </c>
      <c r="M53" s="425">
        <v>0</v>
      </c>
      <c r="N53" s="426"/>
      <c r="O53" s="435">
        <v>0</v>
      </c>
      <c r="P53" s="425">
        <f t="shared" si="20"/>
        <v>4240</v>
      </c>
    </row>
    <row r="54" spans="1:16">
      <c r="A54" s="376">
        <v>47</v>
      </c>
      <c r="B54" s="431" t="s">
        <v>242</v>
      </c>
      <c r="C54" s="432">
        <v>34389.199999999997</v>
      </c>
      <c r="D54" s="433">
        <v>34367.5</v>
      </c>
      <c r="E54" s="433">
        <v>0</v>
      </c>
      <c r="F54" s="433">
        <v>0</v>
      </c>
      <c r="G54" s="422">
        <f t="shared" si="18"/>
        <v>34389.199999999997</v>
      </c>
      <c r="H54" s="423">
        <f t="shared" si="19"/>
        <v>34367.5</v>
      </c>
      <c r="I54" s="434">
        <v>0</v>
      </c>
      <c r="J54" s="434">
        <v>26252</v>
      </c>
      <c r="K54" s="432">
        <v>272.7</v>
      </c>
      <c r="L54" s="425">
        <f t="shared" si="12"/>
        <v>21.69999999999709</v>
      </c>
      <c r="M54" s="425">
        <v>0</v>
      </c>
      <c r="N54" s="426"/>
      <c r="O54" s="435">
        <v>6566</v>
      </c>
      <c r="P54" s="425">
        <f t="shared" si="20"/>
        <v>40933.5</v>
      </c>
    </row>
    <row r="55" spans="1:16">
      <c r="A55" s="376">
        <v>48</v>
      </c>
      <c r="B55" s="431" t="s">
        <v>243</v>
      </c>
      <c r="C55" s="432">
        <v>2723</v>
      </c>
      <c r="D55" s="433">
        <v>2723</v>
      </c>
      <c r="E55" s="433">
        <v>0</v>
      </c>
      <c r="F55" s="433">
        <v>0</v>
      </c>
      <c r="G55" s="422">
        <f t="shared" si="18"/>
        <v>2723</v>
      </c>
      <c r="H55" s="423">
        <f t="shared" si="19"/>
        <v>2723</v>
      </c>
      <c r="I55" s="434">
        <v>0</v>
      </c>
      <c r="J55" s="434">
        <v>0</v>
      </c>
      <c r="K55" s="432">
        <v>0</v>
      </c>
      <c r="L55" s="425">
        <f t="shared" si="12"/>
        <v>0</v>
      </c>
      <c r="M55" s="425">
        <v>0</v>
      </c>
      <c r="N55" s="426"/>
      <c r="O55" s="435">
        <v>0</v>
      </c>
      <c r="P55" s="425">
        <f t="shared" si="20"/>
        <v>2723</v>
      </c>
    </row>
    <row r="56" spans="1:16">
      <c r="A56" s="376">
        <v>49</v>
      </c>
      <c r="B56" s="431" t="s">
        <v>244</v>
      </c>
      <c r="C56" s="432">
        <v>26000</v>
      </c>
      <c r="D56" s="433">
        <v>26000</v>
      </c>
      <c r="E56" s="433">
        <v>0</v>
      </c>
      <c r="F56" s="433">
        <v>0</v>
      </c>
      <c r="G56" s="422">
        <f t="shared" si="18"/>
        <v>26000</v>
      </c>
      <c r="H56" s="423">
        <f t="shared" si="19"/>
        <v>26000</v>
      </c>
      <c r="I56" s="434">
        <v>0</v>
      </c>
      <c r="J56" s="434">
        <v>21000</v>
      </c>
      <c r="K56" s="432">
        <v>166.8</v>
      </c>
      <c r="L56" s="425">
        <f t="shared" si="12"/>
        <v>0</v>
      </c>
      <c r="M56" s="425">
        <v>0</v>
      </c>
      <c r="N56" s="426"/>
      <c r="O56" s="435">
        <v>0</v>
      </c>
      <c r="P56" s="425">
        <f t="shared" si="20"/>
        <v>26000</v>
      </c>
    </row>
    <row r="57" spans="1:16">
      <c r="A57" s="376">
        <v>50</v>
      </c>
      <c r="B57" s="431" t="s">
        <v>245</v>
      </c>
      <c r="C57" s="432">
        <v>28584.5</v>
      </c>
      <c r="D57" s="433">
        <v>28584.5</v>
      </c>
      <c r="E57" s="433">
        <v>0</v>
      </c>
      <c r="F57" s="433">
        <v>0</v>
      </c>
      <c r="G57" s="422">
        <f t="shared" si="18"/>
        <v>28584.5</v>
      </c>
      <c r="H57" s="423">
        <f t="shared" si="19"/>
        <v>28584.5</v>
      </c>
      <c r="I57" s="434">
        <v>0</v>
      </c>
      <c r="J57" s="434">
        <v>19585</v>
      </c>
      <c r="K57" s="432">
        <v>321.2</v>
      </c>
      <c r="L57" s="425">
        <f t="shared" si="12"/>
        <v>0</v>
      </c>
      <c r="M57" s="425">
        <v>0</v>
      </c>
      <c r="N57" s="426"/>
      <c r="O57" s="435">
        <v>1351</v>
      </c>
      <c r="P57" s="425">
        <f t="shared" si="20"/>
        <v>29935.5</v>
      </c>
    </row>
    <row r="58" spans="1:16">
      <c r="A58" s="376">
        <v>51</v>
      </c>
      <c r="B58" s="129" t="s">
        <v>27</v>
      </c>
      <c r="C58" s="392">
        <v>0</v>
      </c>
      <c r="D58" s="386">
        <v>0</v>
      </c>
      <c r="E58" s="386">
        <v>0</v>
      </c>
      <c r="F58" s="386">
        <v>0</v>
      </c>
      <c r="G58" s="386">
        <v>0</v>
      </c>
      <c r="H58" s="387">
        <v>0</v>
      </c>
      <c r="I58" s="389">
        <v>0</v>
      </c>
      <c r="J58" s="389">
        <v>0</v>
      </c>
      <c r="K58" s="390">
        <v>0</v>
      </c>
      <c r="L58" s="391">
        <v>0</v>
      </c>
      <c r="M58" s="391">
        <v>0</v>
      </c>
      <c r="N58" s="382"/>
      <c r="O58" s="392">
        <v>0</v>
      </c>
      <c r="P58" s="391">
        <v>0</v>
      </c>
    </row>
    <row r="59" spans="1:16">
      <c r="A59" s="376">
        <v>52</v>
      </c>
      <c r="B59" s="129" t="s">
        <v>32</v>
      </c>
      <c r="C59" s="436">
        <f>C60</f>
        <v>286</v>
      </c>
      <c r="D59" s="437">
        <f t="shared" ref="D59:P59" si="21">D60</f>
        <v>286</v>
      </c>
      <c r="E59" s="437">
        <f t="shared" si="21"/>
        <v>0</v>
      </c>
      <c r="F59" s="437">
        <f t="shared" si="21"/>
        <v>0</v>
      </c>
      <c r="G59" s="437">
        <f t="shared" si="21"/>
        <v>286</v>
      </c>
      <c r="H59" s="437">
        <f t="shared" si="21"/>
        <v>286</v>
      </c>
      <c r="I59" s="437">
        <f t="shared" si="21"/>
        <v>100</v>
      </c>
      <c r="J59" s="437">
        <f t="shared" si="21"/>
        <v>0</v>
      </c>
      <c r="K59" s="437">
        <f t="shared" si="21"/>
        <v>0</v>
      </c>
      <c r="L59" s="437">
        <f t="shared" si="21"/>
        <v>0</v>
      </c>
      <c r="M59" s="438">
        <f t="shared" si="21"/>
        <v>0</v>
      </c>
      <c r="N59" s="428"/>
      <c r="O59" s="439">
        <f t="shared" si="21"/>
        <v>0</v>
      </c>
      <c r="P59" s="440">
        <f t="shared" si="21"/>
        <v>286</v>
      </c>
    </row>
    <row r="60" spans="1:16" ht="15.75" thickBot="1">
      <c r="A60" s="376">
        <v>53</v>
      </c>
      <c r="B60" s="431" t="s">
        <v>246</v>
      </c>
      <c r="C60" s="421">
        <v>286</v>
      </c>
      <c r="D60" s="422">
        <v>286</v>
      </c>
      <c r="E60" s="422">
        <v>0</v>
      </c>
      <c r="F60" s="422">
        <v>0</v>
      </c>
      <c r="G60" s="422">
        <v>286</v>
      </c>
      <c r="H60" s="423">
        <v>286</v>
      </c>
      <c r="I60" s="424">
        <v>100</v>
      </c>
      <c r="J60" s="424">
        <v>0</v>
      </c>
      <c r="K60" s="421">
        <v>0</v>
      </c>
      <c r="L60" s="425">
        <v>0</v>
      </c>
      <c r="M60" s="425">
        <v>0</v>
      </c>
      <c r="N60" s="426"/>
      <c r="O60" s="427">
        <v>0</v>
      </c>
      <c r="P60" s="425">
        <v>286</v>
      </c>
    </row>
    <row r="61" spans="1:16" ht="15.75" thickBot="1">
      <c r="A61" s="441">
        <v>54</v>
      </c>
      <c r="B61" s="442" t="s">
        <v>23</v>
      </c>
      <c r="C61" s="443">
        <f t="shared" ref="C61:H61" si="22">+C7+C31+C58+C59</f>
        <v>1115078.1000000001</v>
      </c>
      <c r="D61" s="444">
        <f t="shared" si="22"/>
        <v>1111657.3</v>
      </c>
      <c r="E61" s="444">
        <f t="shared" si="22"/>
        <v>8828</v>
      </c>
      <c r="F61" s="444">
        <f t="shared" si="22"/>
        <v>8798</v>
      </c>
      <c r="G61" s="444">
        <f t="shared" si="22"/>
        <v>1123906.1000000001</v>
      </c>
      <c r="H61" s="445">
        <f t="shared" si="22"/>
        <v>1120455.3</v>
      </c>
      <c r="I61" s="446"/>
      <c r="J61" s="446">
        <f>+J7+J31+J58+J59</f>
        <v>183704</v>
      </c>
      <c r="K61" s="447">
        <f>+K7+K31+K58+K59</f>
        <v>5776.5</v>
      </c>
      <c r="L61" s="448">
        <f>+L7+L31+L58+L59</f>
        <v>3451.3999999999651</v>
      </c>
      <c r="M61" s="448">
        <f>+M7+M31+M58+M59</f>
        <v>946.59999999999991</v>
      </c>
      <c r="N61" s="449"/>
      <c r="O61" s="443">
        <f>+O7+O31+O58+O59</f>
        <v>39618</v>
      </c>
      <c r="P61" s="448">
        <f>+P7+P31+P58+P59</f>
        <v>1160073.3</v>
      </c>
    </row>
  </sheetData>
  <mergeCells count="24">
    <mergeCell ref="A4:A6"/>
    <mergeCell ref="B4:B6"/>
    <mergeCell ref="C4:D4"/>
    <mergeCell ref="E4:F4"/>
    <mergeCell ref="G4:H4"/>
    <mergeCell ref="I4:I5"/>
    <mergeCell ref="J4:J5"/>
    <mergeCell ref="K4:K5"/>
    <mergeCell ref="L4:L5"/>
    <mergeCell ref="M4:M5"/>
    <mergeCell ref="O4:O5"/>
    <mergeCell ref="P4:P5"/>
    <mergeCell ref="R4:R6"/>
    <mergeCell ref="S4:S6"/>
    <mergeCell ref="T4:U4"/>
    <mergeCell ref="V4:W4"/>
    <mergeCell ref="X4:Y4"/>
    <mergeCell ref="Z4:Z5"/>
    <mergeCell ref="AA4:AA5"/>
    <mergeCell ref="AB4:AB5"/>
    <mergeCell ref="AC4:AC5"/>
    <mergeCell ref="AD4:AD5"/>
    <mergeCell ref="AF4:AF5"/>
    <mergeCell ref="AG4:AG5"/>
  </mergeCell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AG39"/>
  <sheetViews>
    <sheetView zoomScale="85" zoomScaleNormal="85" workbookViewId="0">
      <selection activeCell="R1" sqref="R1:AG65536"/>
    </sheetView>
  </sheetViews>
  <sheetFormatPr defaultRowHeight="15"/>
  <cols>
    <col min="1" max="1" width="5" customWidth="1"/>
    <col min="2" max="2" width="45.85546875" customWidth="1"/>
    <col min="3" max="3" width="12.7109375" customWidth="1"/>
    <col min="4" max="4" width="11.5703125" customWidth="1"/>
    <col min="5" max="8" width="12.7109375" customWidth="1"/>
    <col min="9" max="9" width="10.42578125" customWidth="1"/>
    <col min="10" max="10" width="12.5703125" customWidth="1"/>
    <col min="11" max="11" width="10.5703125" customWidth="1"/>
    <col min="12" max="13" width="11.42578125" customWidth="1"/>
    <col min="14" max="14" width="1.7109375" customWidth="1"/>
    <col min="15" max="15" width="11" customWidth="1"/>
    <col min="16" max="16" width="10.85546875" customWidth="1"/>
    <col min="18" max="18" width="9.42578125" hidden="1" customWidth="1"/>
    <col min="19" max="19" width="45.85546875" hidden="1" customWidth="1"/>
    <col min="20" max="20" width="12.7109375" hidden="1" customWidth="1"/>
    <col min="21" max="21" width="11.5703125" hidden="1" customWidth="1"/>
    <col min="22" max="22" width="11.28515625" hidden="1" customWidth="1"/>
    <col min="23" max="23" width="11.5703125" hidden="1" customWidth="1"/>
    <col min="24" max="25" width="12.140625" hidden="1" customWidth="1"/>
    <col min="26" max="26" width="10.42578125" hidden="1" customWidth="1"/>
    <col min="27" max="27" width="12.5703125" hidden="1" customWidth="1"/>
    <col min="28" max="28" width="10.5703125" hidden="1" customWidth="1"/>
    <col min="29" max="29" width="14" hidden="1" customWidth="1"/>
    <col min="30" max="30" width="12.42578125" hidden="1" customWidth="1"/>
    <col min="31" max="31" width="1.7109375" hidden="1" customWidth="1"/>
    <col min="32" max="32" width="11" hidden="1" customWidth="1"/>
    <col min="33" max="33" width="10.85546875" hidden="1" customWidth="1"/>
  </cols>
  <sheetData>
    <row r="1" spans="1:33" ht="15.75">
      <c r="A1" s="17" t="s">
        <v>247</v>
      </c>
      <c r="B1" s="20"/>
      <c r="C1" s="20"/>
      <c r="D1" s="20"/>
      <c r="E1" s="20"/>
      <c r="F1" s="20"/>
      <c r="G1" s="20"/>
      <c r="H1" s="20"/>
      <c r="I1" s="20"/>
      <c r="J1" s="20"/>
      <c r="K1" s="20"/>
      <c r="L1" s="20"/>
      <c r="M1" s="20"/>
      <c r="N1" s="22"/>
      <c r="O1" s="20"/>
      <c r="P1" s="20"/>
    </row>
    <row r="2" spans="1:33" ht="15.75">
      <c r="A2" s="17"/>
      <c r="B2" s="373" t="s">
        <v>43</v>
      </c>
      <c r="C2" s="20"/>
      <c r="D2" s="20"/>
      <c r="E2" s="20"/>
      <c r="F2" s="20"/>
      <c r="G2" s="20"/>
      <c r="H2" s="20"/>
      <c r="I2" s="20"/>
      <c r="J2" s="20"/>
      <c r="K2" s="20"/>
      <c r="L2" s="20"/>
      <c r="M2" s="20"/>
      <c r="N2" s="22"/>
      <c r="O2" s="20"/>
      <c r="P2" s="20"/>
    </row>
    <row r="3" spans="1:33" ht="16.5" thickBot="1">
      <c r="A3" s="20"/>
      <c r="B3" s="105"/>
      <c r="C3" s="20"/>
      <c r="D3" s="20"/>
      <c r="E3" s="20"/>
      <c r="F3" s="20"/>
      <c r="G3" s="20"/>
      <c r="H3" s="20"/>
      <c r="I3" s="20"/>
      <c r="J3" s="20"/>
      <c r="K3" s="20"/>
      <c r="L3" s="20"/>
      <c r="M3" s="20"/>
      <c r="N3" s="22"/>
      <c r="O3" s="20"/>
      <c r="P3" s="23" t="s">
        <v>2</v>
      </c>
    </row>
    <row r="4" spans="1:33">
      <c r="A4" s="1382" t="s">
        <v>1</v>
      </c>
      <c r="B4" s="1437" t="s">
        <v>46</v>
      </c>
      <c r="C4" s="1388" t="s">
        <v>18</v>
      </c>
      <c r="D4" s="1389"/>
      <c r="E4" s="1389" t="s">
        <v>19</v>
      </c>
      <c r="F4" s="1389"/>
      <c r="G4" s="1390" t="s">
        <v>20</v>
      </c>
      <c r="H4" s="1440"/>
      <c r="I4" s="1372" t="s">
        <v>47</v>
      </c>
      <c r="J4" s="1372" t="s">
        <v>48</v>
      </c>
      <c r="K4" s="1374" t="s">
        <v>49</v>
      </c>
      <c r="L4" s="1432" t="s">
        <v>248</v>
      </c>
      <c r="M4" s="1432" t="s">
        <v>249</v>
      </c>
      <c r="N4" s="450"/>
      <c r="O4" s="1378" t="s">
        <v>65</v>
      </c>
      <c r="P4" s="1380" t="s">
        <v>21</v>
      </c>
      <c r="R4" s="1357" t="s">
        <v>1</v>
      </c>
      <c r="S4" s="1354" t="s">
        <v>46</v>
      </c>
      <c r="T4" s="1360" t="s">
        <v>18</v>
      </c>
      <c r="U4" s="1361"/>
      <c r="V4" s="1361" t="s">
        <v>19</v>
      </c>
      <c r="W4" s="1361"/>
      <c r="X4" s="1364" t="s">
        <v>20</v>
      </c>
      <c r="Y4" s="1365"/>
      <c r="Z4" s="1349" t="s">
        <v>47</v>
      </c>
      <c r="AA4" s="1349" t="s">
        <v>48</v>
      </c>
      <c r="AB4" s="1351" t="s">
        <v>49</v>
      </c>
      <c r="AC4" s="1362" t="s">
        <v>62</v>
      </c>
      <c r="AD4" s="1370" t="s">
        <v>69</v>
      </c>
      <c r="AE4" s="1037"/>
      <c r="AF4" s="1366" t="s">
        <v>65</v>
      </c>
      <c r="AG4" s="1368" t="s">
        <v>21</v>
      </c>
    </row>
    <row r="5" spans="1:33">
      <c r="A5" s="1383"/>
      <c r="B5" s="1438"/>
      <c r="C5" s="15" t="s">
        <v>26</v>
      </c>
      <c r="D5" s="5" t="s">
        <v>50</v>
      </c>
      <c r="E5" s="15" t="s">
        <v>12</v>
      </c>
      <c r="F5" s="5" t="s">
        <v>16</v>
      </c>
      <c r="G5" s="5" t="s">
        <v>12</v>
      </c>
      <c r="H5" s="40" t="s">
        <v>16</v>
      </c>
      <c r="I5" s="1373"/>
      <c r="J5" s="1373"/>
      <c r="K5" s="1375"/>
      <c r="L5" s="1433"/>
      <c r="M5" s="1433"/>
      <c r="N5" s="450"/>
      <c r="O5" s="1379"/>
      <c r="P5" s="1381"/>
      <c r="R5" s="1358"/>
      <c r="S5" s="1355"/>
      <c r="T5" s="1077" t="s">
        <v>26</v>
      </c>
      <c r="U5" s="11" t="s">
        <v>50</v>
      </c>
      <c r="V5" s="10" t="s">
        <v>12</v>
      </c>
      <c r="W5" s="11" t="s">
        <v>16</v>
      </c>
      <c r="X5" s="11" t="s">
        <v>12</v>
      </c>
      <c r="Y5" s="33" t="s">
        <v>16</v>
      </c>
      <c r="Z5" s="1350"/>
      <c r="AA5" s="1350"/>
      <c r="AB5" s="1352"/>
      <c r="AC5" s="1363"/>
      <c r="AD5" s="1371"/>
      <c r="AE5" s="1037"/>
      <c r="AF5" s="1367"/>
      <c r="AG5" s="1369"/>
    </row>
    <row r="6" spans="1:33" ht="15.75" thickBot="1">
      <c r="A6" s="1436"/>
      <c r="B6" s="1439"/>
      <c r="C6" s="6" t="s">
        <v>4</v>
      </c>
      <c r="D6" s="7" t="s">
        <v>5</v>
      </c>
      <c r="E6" s="7" t="s">
        <v>6</v>
      </c>
      <c r="F6" s="7" t="s">
        <v>7</v>
      </c>
      <c r="G6" s="7" t="s">
        <v>13</v>
      </c>
      <c r="H6" s="41" t="s">
        <v>14</v>
      </c>
      <c r="I6" s="374" t="s">
        <v>28</v>
      </c>
      <c r="J6" s="374" t="s">
        <v>31</v>
      </c>
      <c r="K6" s="375" t="s">
        <v>9</v>
      </c>
      <c r="L6" s="8" t="s">
        <v>22</v>
      </c>
      <c r="M6" s="8" t="s">
        <v>63</v>
      </c>
      <c r="N6" s="450"/>
      <c r="O6" s="16" t="s">
        <v>10</v>
      </c>
      <c r="P6" s="8" t="s">
        <v>64</v>
      </c>
      <c r="R6" s="1359"/>
      <c r="S6" s="1356"/>
      <c r="T6" s="1078" t="s">
        <v>4</v>
      </c>
      <c r="U6" s="13" t="s">
        <v>5</v>
      </c>
      <c r="V6" s="13" t="s">
        <v>6</v>
      </c>
      <c r="W6" s="13" t="s">
        <v>7</v>
      </c>
      <c r="X6" s="13" t="s">
        <v>13</v>
      </c>
      <c r="Y6" s="34" t="s">
        <v>14</v>
      </c>
      <c r="Z6" s="45" t="s">
        <v>28</v>
      </c>
      <c r="AA6" s="45" t="s">
        <v>31</v>
      </c>
      <c r="AB6" s="32" t="s">
        <v>9</v>
      </c>
      <c r="AC6" s="14" t="s">
        <v>22</v>
      </c>
      <c r="AD6" s="14" t="s">
        <v>63</v>
      </c>
      <c r="AE6" s="1037"/>
      <c r="AF6" s="44" t="s">
        <v>10</v>
      </c>
      <c r="AG6" s="14" t="s">
        <v>64</v>
      </c>
    </row>
    <row r="7" spans="1:33">
      <c r="A7" s="451">
        <v>1</v>
      </c>
      <c r="B7" s="452" t="s">
        <v>15</v>
      </c>
      <c r="C7" s="453">
        <f t="shared" ref="C7:M7" si="0">+C8+C12</f>
        <v>69807.199999999997</v>
      </c>
      <c r="D7" s="453">
        <f t="shared" si="0"/>
        <v>69807.199999999997</v>
      </c>
      <c r="E7" s="453">
        <f t="shared" si="0"/>
        <v>0</v>
      </c>
      <c r="F7" s="453">
        <f t="shared" si="0"/>
        <v>0</v>
      </c>
      <c r="G7" s="453">
        <f t="shared" si="0"/>
        <v>69807.199999999997</v>
      </c>
      <c r="H7" s="454">
        <f t="shared" si="0"/>
        <v>69807.199999999997</v>
      </c>
      <c r="I7" s="455">
        <f t="shared" si="0"/>
        <v>0</v>
      </c>
      <c r="J7" s="455">
        <f t="shared" si="0"/>
        <v>0</v>
      </c>
      <c r="K7" s="456">
        <f t="shared" si="0"/>
        <v>395.86</v>
      </c>
      <c r="L7" s="457">
        <f t="shared" si="0"/>
        <v>0</v>
      </c>
      <c r="M7" s="457">
        <f t="shared" si="0"/>
        <v>0</v>
      </c>
      <c r="N7" s="458"/>
      <c r="O7" s="459">
        <f>+O8+O12</f>
        <v>0</v>
      </c>
      <c r="P7" s="457">
        <f>+P8+P12</f>
        <v>69807.199999999997</v>
      </c>
      <c r="R7" s="24">
        <v>1</v>
      </c>
      <c r="S7" s="38" t="s">
        <v>15</v>
      </c>
      <c r="T7" s="54">
        <v>69807.199999999997</v>
      </c>
      <c r="U7" s="55">
        <v>69807.199999999997</v>
      </c>
      <c r="V7" s="55">
        <v>0</v>
      </c>
      <c r="W7" s="55">
        <v>0</v>
      </c>
      <c r="X7" s="55">
        <v>69807.199999999997</v>
      </c>
      <c r="Y7" s="56">
        <v>69807.199999999997</v>
      </c>
      <c r="Z7" s="75">
        <v>0</v>
      </c>
      <c r="AA7" s="75">
        <v>0</v>
      </c>
      <c r="AB7" s="57">
        <v>395.86</v>
      </c>
      <c r="AC7" s="58">
        <v>0</v>
      </c>
      <c r="AD7" s="58">
        <v>0</v>
      </c>
      <c r="AE7" s="1036"/>
      <c r="AF7" s="54">
        <v>0</v>
      </c>
      <c r="AG7" s="58">
        <v>69807.199999999997</v>
      </c>
    </row>
    <row r="8" spans="1:33">
      <c r="A8" s="460">
        <f>A7+1</f>
        <v>2</v>
      </c>
      <c r="B8" s="129" t="s">
        <v>35</v>
      </c>
      <c r="C8" s="461">
        <f t="shared" ref="C8:L8" si="1">SUM(C9:C11)</f>
        <v>57290.29</v>
      </c>
      <c r="D8" s="461">
        <f t="shared" si="1"/>
        <v>57290.29</v>
      </c>
      <c r="E8" s="461">
        <f t="shared" si="1"/>
        <v>0</v>
      </c>
      <c r="F8" s="461">
        <f t="shared" si="1"/>
        <v>0</v>
      </c>
      <c r="G8" s="461">
        <f t="shared" si="1"/>
        <v>57290.29</v>
      </c>
      <c r="H8" s="462">
        <f t="shared" si="1"/>
        <v>57290.29</v>
      </c>
      <c r="I8" s="463">
        <f t="shared" si="1"/>
        <v>0</v>
      </c>
      <c r="J8" s="464">
        <f t="shared" si="1"/>
        <v>0</v>
      </c>
      <c r="K8" s="465">
        <f t="shared" si="1"/>
        <v>395.86</v>
      </c>
      <c r="L8" s="466">
        <f t="shared" si="1"/>
        <v>0</v>
      </c>
      <c r="M8" s="466">
        <f>SUM(M9:M11)</f>
        <v>0</v>
      </c>
      <c r="N8" s="458"/>
      <c r="O8" s="467">
        <f>SUM(O9:O11)</f>
        <v>0</v>
      </c>
      <c r="P8" s="466">
        <f>SUM(P9:P11)</f>
        <v>57290.29</v>
      </c>
      <c r="R8" s="48">
        <f>R7+1</f>
        <v>2</v>
      </c>
      <c r="S8" s="35" t="s">
        <v>35</v>
      </c>
      <c r="T8" s="59">
        <v>57290.29</v>
      </c>
      <c r="U8" s="60">
        <v>57290.29</v>
      </c>
      <c r="V8" s="60">
        <v>0</v>
      </c>
      <c r="W8" s="60">
        <v>0</v>
      </c>
      <c r="X8" s="60">
        <v>57290.29</v>
      </c>
      <c r="Y8" s="61">
        <v>57290.29</v>
      </c>
      <c r="Z8" s="77">
        <v>0</v>
      </c>
      <c r="AA8" s="78">
        <v>0</v>
      </c>
      <c r="AB8" s="62">
        <v>395.86</v>
      </c>
      <c r="AC8" s="63">
        <v>0</v>
      </c>
      <c r="AD8" s="63">
        <v>0</v>
      </c>
      <c r="AE8" s="1036"/>
      <c r="AF8" s="59">
        <v>0</v>
      </c>
      <c r="AG8" s="63">
        <v>57290.29</v>
      </c>
    </row>
    <row r="9" spans="1:33">
      <c r="A9" s="18">
        <f>+A8+1</f>
        <v>3</v>
      </c>
      <c r="B9" s="135" t="s">
        <v>58</v>
      </c>
      <c r="C9" s="393">
        <v>57290.29</v>
      </c>
      <c r="D9" s="393">
        <v>57290.29</v>
      </c>
      <c r="E9" s="393">
        <v>0</v>
      </c>
      <c r="F9" s="393">
        <v>0</v>
      </c>
      <c r="G9" s="393">
        <f t="shared" ref="G9:H11" si="2">+C9+E9</f>
        <v>57290.29</v>
      </c>
      <c r="H9" s="394">
        <f t="shared" si="2"/>
        <v>57290.29</v>
      </c>
      <c r="I9" s="395">
        <v>0</v>
      </c>
      <c r="J9" s="396">
        <v>0</v>
      </c>
      <c r="K9" s="397">
        <v>395.86</v>
      </c>
      <c r="L9" s="398">
        <f>+G9-H9</f>
        <v>0</v>
      </c>
      <c r="M9" s="398">
        <v>0</v>
      </c>
      <c r="N9" s="458"/>
      <c r="O9" s="400">
        <v>0</v>
      </c>
      <c r="P9" s="398">
        <f>H9+O9</f>
        <v>57290.29</v>
      </c>
      <c r="R9" s="25">
        <f t="shared" ref="R9:R34" si="3">R8+1</f>
        <v>3</v>
      </c>
      <c r="S9" s="36" t="s">
        <v>58</v>
      </c>
      <c r="T9" s="64">
        <v>57290.29</v>
      </c>
      <c r="U9" s="65">
        <v>57290.29</v>
      </c>
      <c r="V9" s="65">
        <v>0</v>
      </c>
      <c r="W9" s="65">
        <v>0</v>
      </c>
      <c r="X9" s="65">
        <v>57290.29</v>
      </c>
      <c r="Y9" s="66">
        <v>57290.29</v>
      </c>
      <c r="Z9" s="80">
        <v>0</v>
      </c>
      <c r="AA9" s="80">
        <v>0</v>
      </c>
      <c r="AB9" s="67">
        <v>395.86</v>
      </c>
      <c r="AC9" s="68">
        <v>0</v>
      </c>
      <c r="AD9" s="68">
        <v>0</v>
      </c>
      <c r="AE9" s="1036"/>
      <c r="AF9" s="64">
        <v>0</v>
      </c>
      <c r="AG9" s="68">
        <v>57290.29</v>
      </c>
    </row>
    <row r="10" spans="1:33">
      <c r="A10" s="18">
        <f t="shared" ref="A10:A39" si="4">+A9+1</f>
        <v>4</v>
      </c>
      <c r="B10" s="135" t="s">
        <v>36</v>
      </c>
      <c r="C10" s="393">
        <v>0</v>
      </c>
      <c r="D10" s="393">
        <v>0</v>
      </c>
      <c r="E10" s="393">
        <v>0</v>
      </c>
      <c r="F10" s="393">
        <v>0</v>
      </c>
      <c r="G10" s="393">
        <f t="shared" si="2"/>
        <v>0</v>
      </c>
      <c r="H10" s="394">
        <f t="shared" si="2"/>
        <v>0</v>
      </c>
      <c r="I10" s="395">
        <v>0</v>
      </c>
      <c r="J10" s="396">
        <v>0</v>
      </c>
      <c r="K10" s="397">
        <v>0</v>
      </c>
      <c r="L10" s="398">
        <f>+G10-H10</f>
        <v>0</v>
      </c>
      <c r="M10" s="398">
        <v>0</v>
      </c>
      <c r="N10" s="458"/>
      <c r="O10" s="400">
        <v>0</v>
      </c>
      <c r="P10" s="398">
        <f>H10+O10</f>
        <v>0</v>
      </c>
      <c r="R10" s="25">
        <f t="shared" si="3"/>
        <v>4</v>
      </c>
      <c r="S10" s="36" t="s">
        <v>36</v>
      </c>
      <c r="T10" s="64">
        <v>0</v>
      </c>
      <c r="U10" s="65">
        <v>0</v>
      </c>
      <c r="V10" s="65">
        <v>0</v>
      </c>
      <c r="W10" s="65">
        <v>0</v>
      </c>
      <c r="X10" s="65">
        <v>0</v>
      </c>
      <c r="Y10" s="249">
        <v>0</v>
      </c>
      <c r="Z10" s="80">
        <v>0</v>
      </c>
      <c r="AA10" s="80">
        <v>0</v>
      </c>
      <c r="AB10" s="67">
        <v>0</v>
      </c>
      <c r="AC10" s="68">
        <v>0</v>
      </c>
      <c r="AD10" s="68">
        <v>0</v>
      </c>
      <c r="AE10" s="1036"/>
      <c r="AF10" s="64">
        <v>0</v>
      </c>
      <c r="AG10" s="68">
        <v>0</v>
      </c>
    </row>
    <row r="11" spans="1:33">
      <c r="A11" s="18">
        <f t="shared" si="4"/>
        <v>5</v>
      </c>
      <c r="B11" s="468" t="s">
        <v>30</v>
      </c>
      <c r="C11" s="393"/>
      <c r="D11" s="393"/>
      <c r="E11" s="393"/>
      <c r="F11" s="393"/>
      <c r="G11" s="393">
        <f t="shared" si="2"/>
        <v>0</v>
      </c>
      <c r="H11" s="394">
        <f t="shared" si="2"/>
        <v>0</v>
      </c>
      <c r="I11" s="395"/>
      <c r="J11" s="396"/>
      <c r="K11" s="397"/>
      <c r="L11" s="398">
        <f>+G11-H11</f>
        <v>0</v>
      </c>
      <c r="M11" s="398">
        <v>0</v>
      </c>
      <c r="N11" s="458"/>
      <c r="O11" s="400"/>
      <c r="P11" s="398">
        <f>H11+O11</f>
        <v>0</v>
      </c>
      <c r="R11" s="25">
        <f t="shared" si="3"/>
        <v>5</v>
      </c>
      <c r="S11" s="37" t="s">
        <v>30</v>
      </c>
      <c r="T11" s="64"/>
      <c r="U11" s="65"/>
      <c r="V11" s="65"/>
      <c r="W11" s="65"/>
      <c r="X11" s="65">
        <v>0</v>
      </c>
      <c r="Y11" s="66">
        <v>0</v>
      </c>
      <c r="Z11" s="79"/>
      <c r="AA11" s="80"/>
      <c r="AB11" s="67"/>
      <c r="AC11" s="68">
        <v>0</v>
      </c>
      <c r="AD11" s="68">
        <v>0</v>
      </c>
      <c r="AE11" s="1036"/>
      <c r="AF11" s="64"/>
      <c r="AG11" s="68">
        <v>0</v>
      </c>
    </row>
    <row r="12" spans="1:33">
      <c r="A12" s="460">
        <f t="shared" si="4"/>
        <v>6</v>
      </c>
      <c r="B12" s="129" t="s">
        <v>42</v>
      </c>
      <c r="C12" s="461">
        <f>SUM(C13+C16+C19+C20)</f>
        <v>12516.91</v>
      </c>
      <c r="D12" s="461">
        <f t="shared" ref="D12:M12" si="5">SUM(D13+D16+D19+D20)</f>
        <v>12516.91</v>
      </c>
      <c r="E12" s="461">
        <f t="shared" si="5"/>
        <v>0</v>
      </c>
      <c r="F12" s="461">
        <f t="shared" si="5"/>
        <v>0</v>
      </c>
      <c r="G12" s="461">
        <f t="shared" si="5"/>
        <v>12516.91</v>
      </c>
      <c r="H12" s="462">
        <f t="shared" si="5"/>
        <v>12516.91</v>
      </c>
      <c r="I12" s="464">
        <f t="shared" si="5"/>
        <v>0</v>
      </c>
      <c r="J12" s="464">
        <f t="shared" si="5"/>
        <v>0</v>
      </c>
      <c r="K12" s="465">
        <f t="shared" si="5"/>
        <v>0</v>
      </c>
      <c r="L12" s="466">
        <f t="shared" si="5"/>
        <v>0</v>
      </c>
      <c r="M12" s="466">
        <f t="shared" si="5"/>
        <v>0</v>
      </c>
      <c r="N12" s="458"/>
      <c r="O12" s="467">
        <f>SUM(O13+O16+O19+O20)</f>
        <v>0</v>
      </c>
      <c r="P12" s="466">
        <f>SUM(P13+P16+P19+P20)</f>
        <v>12516.91</v>
      </c>
      <c r="R12" s="48">
        <f t="shared" si="3"/>
        <v>6</v>
      </c>
      <c r="S12" s="35" t="s">
        <v>42</v>
      </c>
      <c r="T12" s="59">
        <v>12516.91</v>
      </c>
      <c r="U12" s="60">
        <v>12516.91</v>
      </c>
      <c r="V12" s="60">
        <v>0</v>
      </c>
      <c r="W12" s="60">
        <v>0</v>
      </c>
      <c r="X12" s="60">
        <v>12516.91</v>
      </c>
      <c r="Y12" s="61">
        <v>12516.91</v>
      </c>
      <c r="Z12" s="78">
        <v>0</v>
      </c>
      <c r="AA12" s="78">
        <v>0</v>
      </c>
      <c r="AB12" s="62">
        <v>0</v>
      </c>
      <c r="AC12" s="63">
        <v>0</v>
      </c>
      <c r="AD12" s="63">
        <v>0</v>
      </c>
      <c r="AE12" s="1036"/>
      <c r="AF12" s="59">
        <v>0</v>
      </c>
      <c r="AG12" s="63">
        <v>12516.91</v>
      </c>
    </row>
    <row r="13" spans="1:33">
      <c r="A13" s="401">
        <f t="shared" si="4"/>
        <v>7</v>
      </c>
      <c r="B13" s="177" t="s">
        <v>51</v>
      </c>
      <c r="C13" s="402">
        <f>SUM(C14:C15)</f>
        <v>0</v>
      </c>
      <c r="D13" s="412">
        <f t="shared" ref="D13:M13" si="6">SUM(D14:D15)</f>
        <v>0</v>
      </c>
      <c r="E13" s="412">
        <f t="shared" si="6"/>
        <v>0</v>
      </c>
      <c r="F13" s="412">
        <f t="shared" si="6"/>
        <v>0</v>
      </c>
      <c r="G13" s="413">
        <f t="shared" si="6"/>
        <v>0</v>
      </c>
      <c r="H13" s="414">
        <f t="shared" si="6"/>
        <v>0</v>
      </c>
      <c r="I13" s="469">
        <f t="shared" si="6"/>
        <v>0</v>
      </c>
      <c r="J13" s="407">
        <f t="shared" si="6"/>
        <v>0</v>
      </c>
      <c r="K13" s="402">
        <f t="shared" si="6"/>
        <v>0</v>
      </c>
      <c r="L13" s="415">
        <f t="shared" si="6"/>
        <v>0</v>
      </c>
      <c r="M13" s="415">
        <f t="shared" si="6"/>
        <v>0</v>
      </c>
      <c r="N13" s="470"/>
      <c r="O13" s="405">
        <f>SUM(O14:O15)</f>
        <v>0</v>
      </c>
      <c r="P13" s="415">
        <f>SUM(P14:P15)</f>
        <v>0</v>
      </c>
      <c r="R13" s="29">
        <f t="shared" si="3"/>
        <v>7</v>
      </c>
      <c r="S13" s="36" t="s">
        <v>51</v>
      </c>
      <c r="T13" s="85">
        <v>0</v>
      </c>
      <c r="U13" s="82">
        <v>0</v>
      </c>
      <c r="V13" s="82">
        <v>0</v>
      </c>
      <c r="W13" s="82">
        <v>0</v>
      </c>
      <c r="X13" s="65">
        <v>0</v>
      </c>
      <c r="Y13" s="66">
        <v>0</v>
      </c>
      <c r="Z13" s="79">
        <v>0</v>
      </c>
      <c r="AA13" s="83">
        <v>0</v>
      </c>
      <c r="AB13" s="81">
        <v>0</v>
      </c>
      <c r="AC13" s="68">
        <v>0</v>
      </c>
      <c r="AD13" s="68">
        <v>0</v>
      </c>
      <c r="AE13" s="706"/>
      <c r="AF13" s="85">
        <v>0</v>
      </c>
      <c r="AG13" s="68">
        <v>0</v>
      </c>
    </row>
    <row r="14" spans="1:33">
      <c r="A14" s="18">
        <f t="shared" si="4"/>
        <v>8</v>
      </c>
      <c r="B14" s="135" t="s">
        <v>250</v>
      </c>
      <c r="C14" s="406">
        <v>0</v>
      </c>
      <c r="D14" s="409">
        <v>0</v>
      </c>
      <c r="E14" s="409">
        <v>0</v>
      </c>
      <c r="F14" s="409">
        <v>0</v>
      </c>
      <c r="G14" s="393">
        <f>+C14+E14</f>
        <v>0</v>
      </c>
      <c r="H14" s="394">
        <f>+D14+F14</f>
        <v>0</v>
      </c>
      <c r="I14" s="395">
        <v>0</v>
      </c>
      <c r="J14" s="410">
        <v>0</v>
      </c>
      <c r="K14" s="406">
        <v>0</v>
      </c>
      <c r="L14" s="398">
        <f>+G14-H14</f>
        <v>0</v>
      </c>
      <c r="M14" s="398">
        <v>0</v>
      </c>
      <c r="N14" s="470"/>
      <c r="O14" s="411">
        <v>0</v>
      </c>
      <c r="P14" s="398">
        <f>H14+O14</f>
        <v>0</v>
      </c>
      <c r="R14" s="29"/>
      <c r="S14" s="36" t="s">
        <v>61</v>
      </c>
      <c r="T14" s="85">
        <v>0</v>
      </c>
      <c r="U14" s="82">
        <v>0</v>
      </c>
      <c r="V14" s="82">
        <v>0</v>
      </c>
      <c r="W14" s="82">
        <v>0</v>
      </c>
      <c r="X14" s="65">
        <v>0</v>
      </c>
      <c r="Y14" s="66">
        <v>0</v>
      </c>
      <c r="Z14" s="79">
        <v>0</v>
      </c>
      <c r="AA14" s="83">
        <v>0</v>
      </c>
      <c r="AB14" s="81">
        <v>0</v>
      </c>
      <c r="AC14" s="68">
        <v>0</v>
      </c>
      <c r="AD14" s="68">
        <v>0</v>
      </c>
      <c r="AE14" s="706"/>
      <c r="AF14" s="85">
        <v>0</v>
      </c>
      <c r="AG14" s="68">
        <v>0</v>
      </c>
    </row>
    <row r="15" spans="1:33">
      <c r="A15" s="18">
        <f t="shared" si="4"/>
        <v>9</v>
      </c>
      <c r="B15" s="468" t="s">
        <v>251</v>
      </c>
      <c r="C15" s="406"/>
      <c r="D15" s="409"/>
      <c r="E15" s="409"/>
      <c r="F15" s="409"/>
      <c r="G15" s="393">
        <f>+C15+E15</f>
        <v>0</v>
      </c>
      <c r="H15" s="394">
        <f>+D15+F15</f>
        <v>0</v>
      </c>
      <c r="I15" s="410"/>
      <c r="J15" s="410"/>
      <c r="K15" s="406"/>
      <c r="L15" s="398">
        <f>+G15-H15</f>
        <v>0</v>
      </c>
      <c r="M15" s="398">
        <v>0</v>
      </c>
      <c r="N15" s="458"/>
      <c r="O15" s="411">
        <v>0</v>
      </c>
      <c r="P15" s="398">
        <f>H15+O15</f>
        <v>0</v>
      </c>
      <c r="R15" s="25">
        <f>R13+1</f>
        <v>8</v>
      </c>
      <c r="S15" s="37" t="s">
        <v>66</v>
      </c>
      <c r="T15" s="89"/>
      <c r="U15" s="87"/>
      <c r="V15" s="87"/>
      <c r="W15" s="87"/>
      <c r="X15" s="65">
        <v>0</v>
      </c>
      <c r="Y15" s="66">
        <v>0</v>
      </c>
      <c r="Z15" s="88"/>
      <c r="AA15" s="88"/>
      <c r="AB15" s="86"/>
      <c r="AC15" s="68">
        <v>0</v>
      </c>
      <c r="AD15" s="68">
        <v>0</v>
      </c>
      <c r="AE15" s="1036"/>
      <c r="AF15" s="89">
        <v>0</v>
      </c>
      <c r="AG15" s="68">
        <v>0</v>
      </c>
    </row>
    <row r="16" spans="1:33">
      <c r="A16" s="401">
        <f>+A15+1</f>
        <v>10</v>
      </c>
      <c r="B16" s="177" t="s">
        <v>52</v>
      </c>
      <c r="C16" s="402">
        <f>SUM(C17:C18)</f>
        <v>218</v>
      </c>
      <c r="D16" s="412">
        <f t="shared" ref="D16:M16" si="7">SUM(D17:D18)</f>
        <v>218</v>
      </c>
      <c r="E16" s="412">
        <f t="shared" si="7"/>
        <v>0</v>
      </c>
      <c r="F16" s="412">
        <f t="shared" si="7"/>
        <v>0</v>
      </c>
      <c r="G16" s="413">
        <f t="shared" si="7"/>
        <v>218</v>
      </c>
      <c r="H16" s="414">
        <f t="shared" si="7"/>
        <v>218</v>
      </c>
      <c r="I16" s="469">
        <f t="shared" si="7"/>
        <v>0</v>
      </c>
      <c r="J16" s="407">
        <f t="shared" si="7"/>
        <v>0</v>
      </c>
      <c r="K16" s="402">
        <f t="shared" si="7"/>
        <v>0</v>
      </c>
      <c r="L16" s="415">
        <f t="shared" si="7"/>
        <v>0</v>
      </c>
      <c r="M16" s="415">
        <f t="shared" si="7"/>
        <v>0</v>
      </c>
      <c r="N16" s="470"/>
      <c r="O16" s="405">
        <f>SUM(O17:O18)</f>
        <v>0</v>
      </c>
      <c r="P16" s="415">
        <f>SUM(P17:P18)</f>
        <v>218</v>
      </c>
      <c r="R16" s="29">
        <f t="shared" si="3"/>
        <v>9</v>
      </c>
      <c r="S16" s="36" t="s">
        <v>52</v>
      </c>
      <c r="T16" s="85">
        <v>218</v>
      </c>
      <c r="U16" s="82">
        <v>218</v>
      </c>
      <c r="V16" s="82">
        <v>0</v>
      </c>
      <c r="W16" s="82">
        <v>0</v>
      </c>
      <c r="X16" s="65">
        <v>218</v>
      </c>
      <c r="Y16" s="66">
        <v>218</v>
      </c>
      <c r="Z16" s="79">
        <v>0</v>
      </c>
      <c r="AA16" s="83">
        <v>0</v>
      </c>
      <c r="AB16" s="81">
        <v>0</v>
      </c>
      <c r="AC16" s="68">
        <v>0</v>
      </c>
      <c r="AD16" s="68">
        <v>0</v>
      </c>
      <c r="AE16" s="706"/>
      <c r="AF16" s="85">
        <v>0</v>
      </c>
      <c r="AG16" s="68">
        <v>218</v>
      </c>
    </row>
    <row r="17" spans="1:33">
      <c r="A17" s="18">
        <f>+A16+1</f>
        <v>11</v>
      </c>
      <c r="B17" s="135" t="s">
        <v>252</v>
      </c>
      <c r="C17" s="406">
        <v>218</v>
      </c>
      <c r="D17" s="409">
        <v>218</v>
      </c>
      <c r="E17" s="409">
        <v>0</v>
      </c>
      <c r="F17" s="409">
        <v>0</v>
      </c>
      <c r="G17" s="393">
        <f t="shared" ref="G17:H21" si="8">+C17+E17</f>
        <v>218</v>
      </c>
      <c r="H17" s="394">
        <f t="shared" si="8"/>
        <v>218</v>
      </c>
      <c r="I17" s="410">
        <v>0</v>
      </c>
      <c r="J17" s="410">
        <v>0</v>
      </c>
      <c r="K17" s="471">
        <v>0</v>
      </c>
      <c r="L17" s="398">
        <f>+G17-H17</f>
        <v>0</v>
      </c>
      <c r="M17" s="398">
        <v>0</v>
      </c>
      <c r="N17" s="142"/>
      <c r="O17" s="411">
        <v>0</v>
      </c>
      <c r="P17" s="398">
        <f>H17+O17</f>
        <v>218</v>
      </c>
      <c r="R17" s="25">
        <f t="shared" si="3"/>
        <v>10</v>
      </c>
      <c r="S17" s="37" t="s">
        <v>30</v>
      </c>
      <c r="T17" s="89"/>
      <c r="U17" s="87"/>
      <c r="V17" s="87"/>
      <c r="W17" s="87"/>
      <c r="X17" s="65"/>
      <c r="Y17" s="66"/>
      <c r="Z17" s="88"/>
      <c r="AA17" s="88"/>
      <c r="AB17" s="86"/>
      <c r="AC17" s="68"/>
      <c r="AD17" s="68"/>
      <c r="AE17" s="1036"/>
      <c r="AF17" s="89"/>
      <c r="AG17" s="68"/>
    </row>
    <row r="18" spans="1:33">
      <c r="A18" s="18">
        <f>+A17+1</f>
        <v>12</v>
      </c>
      <c r="B18" s="468" t="s">
        <v>30</v>
      </c>
      <c r="C18" s="406"/>
      <c r="D18" s="409"/>
      <c r="E18" s="409"/>
      <c r="F18" s="409"/>
      <c r="G18" s="393">
        <f t="shared" si="8"/>
        <v>0</v>
      </c>
      <c r="H18" s="394">
        <f t="shared" si="8"/>
        <v>0</v>
      </c>
      <c r="I18" s="410"/>
      <c r="J18" s="410"/>
      <c r="K18" s="471"/>
      <c r="L18" s="398">
        <f>+G18-H18</f>
        <v>0</v>
      </c>
      <c r="M18" s="398">
        <v>0</v>
      </c>
      <c r="N18" s="142"/>
      <c r="O18" s="411">
        <v>0</v>
      </c>
      <c r="P18" s="398">
        <f>H18+O18</f>
        <v>0</v>
      </c>
      <c r="R18" s="29">
        <f t="shared" si="3"/>
        <v>11</v>
      </c>
      <c r="S18" s="36" t="s">
        <v>37</v>
      </c>
      <c r="T18" s="85">
        <v>12298.91</v>
      </c>
      <c r="U18" s="82">
        <v>12298.91</v>
      </c>
      <c r="V18" s="82">
        <v>0</v>
      </c>
      <c r="W18" s="82">
        <v>0</v>
      </c>
      <c r="X18" s="65">
        <v>12298.91</v>
      </c>
      <c r="Y18" s="66">
        <v>12298.91</v>
      </c>
      <c r="Z18" s="83">
        <v>0</v>
      </c>
      <c r="AA18" s="83">
        <v>0</v>
      </c>
      <c r="AB18" s="81">
        <v>0</v>
      </c>
      <c r="AC18" s="68">
        <v>0</v>
      </c>
      <c r="AD18" s="68">
        <v>0</v>
      </c>
      <c r="AE18" s="706"/>
      <c r="AF18" s="85">
        <v>0</v>
      </c>
      <c r="AG18" s="68">
        <v>12298.91</v>
      </c>
    </row>
    <row r="19" spans="1:33">
      <c r="A19" s="401">
        <f t="shared" si="4"/>
        <v>13</v>
      </c>
      <c r="B19" s="177" t="s">
        <v>37</v>
      </c>
      <c r="C19" s="402">
        <v>12298.91</v>
      </c>
      <c r="D19" s="412">
        <v>12298.91</v>
      </c>
      <c r="E19" s="412">
        <v>0</v>
      </c>
      <c r="F19" s="412">
        <v>0</v>
      </c>
      <c r="G19" s="413">
        <f t="shared" si="8"/>
        <v>12298.91</v>
      </c>
      <c r="H19" s="414">
        <f t="shared" si="8"/>
        <v>12298.91</v>
      </c>
      <c r="I19" s="407">
        <v>0</v>
      </c>
      <c r="J19" s="407">
        <v>0</v>
      </c>
      <c r="K19" s="472">
        <v>0</v>
      </c>
      <c r="L19" s="415">
        <f>+G19-H19</f>
        <v>0</v>
      </c>
      <c r="M19" s="415">
        <v>0</v>
      </c>
      <c r="N19" s="126"/>
      <c r="O19" s="405">
        <v>0</v>
      </c>
      <c r="P19" s="415">
        <f>H19+O19</f>
        <v>12298.91</v>
      </c>
      <c r="R19" s="29">
        <f t="shared" si="3"/>
        <v>12</v>
      </c>
      <c r="S19" s="50" t="s">
        <v>38</v>
      </c>
      <c r="T19" s="85">
        <v>0</v>
      </c>
      <c r="U19" s="82">
        <v>0</v>
      </c>
      <c r="V19" s="82">
        <v>0</v>
      </c>
      <c r="W19" s="82">
        <v>0</v>
      </c>
      <c r="X19" s="65">
        <v>0</v>
      </c>
      <c r="Y19" s="66">
        <v>0</v>
      </c>
      <c r="Z19" s="83">
        <v>0</v>
      </c>
      <c r="AA19" s="83">
        <v>0</v>
      </c>
      <c r="AB19" s="81">
        <v>0</v>
      </c>
      <c r="AC19" s="68">
        <v>0</v>
      </c>
      <c r="AD19" s="68">
        <v>0</v>
      </c>
      <c r="AE19" s="706"/>
      <c r="AF19" s="85">
        <v>0</v>
      </c>
      <c r="AG19" s="68">
        <v>0</v>
      </c>
    </row>
    <row r="20" spans="1:33">
      <c r="A20" s="401">
        <f t="shared" si="4"/>
        <v>14</v>
      </c>
      <c r="B20" s="416" t="s">
        <v>38</v>
      </c>
      <c r="C20" s="402">
        <f>SUM(C15:C15)</f>
        <v>0</v>
      </c>
      <c r="D20" s="402">
        <f t="shared" ref="D20:M20" si="9">SUM(D15:D15)</f>
        <v>0</v>
      </c>
      <c r="E20" s="402">
        <f t="shared" si="9"/>
        <v>0</v>
      </c>
      <c r="F20" s="402">
        <f t="shared" si="9"/>
        <v>0</v>
      </c>
      <c r="G20" s="402">
        <f t="shared" si="9"/>
        <v>0</v>
      </c>
      <c r="H20" s="473">
        <f t="shared" si="9"/>
        <v>0</v>
      </c>
      <c r="I20" s="407">
        <f t="shared" si="9"/>
        <v>0</v>
      </c>
      <c r="J20" s="407">
        <f t="shared" si="9"/>
        <v>0</v>
      </c>
      <c r="K20" s="472">
        <f t="shared" si="9"/>
        <v>0</v>
      </c>
      <c r="L20" s="474">
        <f t="shared" si="9"/>
        <v>0</v>
      </c>
      <c r="M20" s="474">
        <f t="shared" si="9"/>
        <v>0</v>
      </c>
      <c r="N20" s="126"/>
      <c r="O20" s="405">
        <f>SUM(O15:O15)</f>
        <v>0</v>
      </c>
      <c r="P20" s="402">
        <f>SUM(P15:P15)</f>
        <v>0</v>
      </c>
      <c r="R20" s="25">
        <f t="shared" si="3"/>
        <v>13</v>
      </c>
      <c r="S20" s="37" t="s">
        <v>30</v>
      </c>
      <c r="T20" s="89"/>
      <c r="U20" s="87"/>
      <c r="V20" s="87"/>
      <c r="W20" s="87"/>
      <c r="X20" s="65">
        <v>0</v>
      </c>
      <c r="Y20" s="66">
        <v>0</v>
      </c>
      <c r="Z20" s="88"/>
      <c r="AA20" s="88"/>
      <c r="AB20" s="86"/>
      <c r="AC20" s="68">
        <v>0</v>
      </c>
      <c r="AD20" s="68">
        <v>0</v>
      </c>
      <c r="AE20" s="1036"/>
      <c r="AF20" s="89"/>
      <c r="AG20" s="68">
        <v>0</v>
      </c>
    </row>
    <row r="21" spans="1:33">
      <c r="A21" s="18">
        <f t="shared" si="4"/>
        <v>15</v>
      </c>
      <c r="B21" s="468" t="s">
        <v>30</v>
      </c>
      <c r="C21" s="406"/>
      <c r="D21" s="409"/>
      <c r="E21" s="409"/>
      <c r="F21" s="409"/>
      <c r="G21" s="393">
        <f t="shared" si="8"/>
        <v>0</v>
      </c>
      <c r="H21" s="394">
        <f t="shared" si="8"/>
        <v>0</v>
      </c>
      <c r="I21" s="410"/>
      <c r="J21" s="410"/>
      <c r="K21" s="471"/>
      <c r="L21" s="398">
        <f>+G21-H21</f>
        <v>0</v>
      </c>
      <c r="M21" s="398">
        <v>0</v>
      </c>
      <c r="N21" s="142"/>
      <c r="O21" s="411"/>
      <c r="P21" s="398">
        <f>H21+O21</f>
        <v>0</v>
      </c>
      <c r="R21" s="24">
        <f t="shared" si="3"/>
        <v>14</v>
      </c>
      <c r="S21" s="38" t="s">
        <v>29</v>
      </c>
      <c r="T21" s="70">
        <v>27260</v>
      </c>
      <c r="U21" s="71">
        <v>27260</v>
      </c>
      <c r="V21" s="71">
        <v>0</v>
      </c>
      <c r="W21" s="71">
        <v>0</v>
      </c>
      <c r="X21" s="71">
        <v>27260</v>
      </c>
      <c r="Y21" s="72">
        <v>27260</v>
      </c>
      <c r="Z21" s="90">
        <v>0</v>
      </c>
      <c r="AA21" s="1252">
        <v>8464</v>
      </c>
      <c r="AB21" s="73">
        <v>178.45999999999998</v>
      </c>
      <c r="AC21" s="74">
        <v>0</v>
      </c>
      <c r="AD21" s="74">
        <v>0</v>
      </c>
      <c r="AE21" s="1036"/>
      <c r="AF21" s="70">
        <v>627</v>
      </c>
      <c r="AG21" s="74">
        <v>27887</v>
      </c>
    </row>
    <row r="22" spans="1:33">
      <c r="A22" s="451">
        <f>+A21+1</f>
        <v>16</v>
      </c>
      <c r="B22" s="452" t="s">
        <v>253</v>
      </c>
      <c r="C22" s="475">
        <f t="shared" ref="C22:M22" si="10">SUM(C23+C25+C27+C29+C31)</f>
        <v>27260</v>
      </c>
      <c r="D22" s="476">
        <f t="shared" si="10"/>
        <v>27260</v>
      </c>
      <c r="E22" s="476">
        <f t="shared" si="10"/>
        <v>0</v>
      </c>
      <c r="F22" s="476">
        <f t="shared" si="10"/>
        <v>0</v>
      </c>
      <c r="G22" s="476">
        <f t="shared" si="10"/>
        <v>27260</v>
      </c>
      <c r="H22" s="477">
        <f t="shared" si="10"/>
        <v>27260</v>
      </c>
      <c r="I22" s="478">
        <f t="shared" si="10"/>
        <v>0</v>
      </c>
      <c r="J22" s="478">
        <f t="shared" si="10"/>
        <v>8464</v>
      </c>
      <c r="K22" s="479">
        <f t="shared" si="10"/>
        <v>178.45999999999998</v>
      </c>
      <c r="L22" s="480">
        <f t="shared" si="10"/>
        <v>0</v>
      </c>
      <c r="M22" s="480">
        <f t="shared" si="10"/>
        <v>0</v>
      </c>
      <c r="N22" s="142"/>
      <c r="O22" s="475">
        <f>SUM(O23+O25+O27+O29+O31)</f>
        <v>627</v>
      </c>
      <c r="P22" s="480">
        <f>SUM(P23+P25+P27+P29+P31)</f>
        <v>27887</v>
      </c>
      <c r="R22" s="46">
        <f t="shared" si="3"/>
        <v>15</v>
      </c>
      <c r="S22" s="43" t="s">
        <v>53</v>
      </c>
      <c r="T22" s="59"/>
      <c r="U22" s="60"/>
      <c r="V22" s="60"/>
      <c r="W22" s="60"/>
      <c r="X22" s="60"/>
      <c r="Y22" s="61"/>
      <c r="Z22" s="78"/>
      <c r="AA22" s="78"/>
      <c r="AB22" s="62"/>
      <c r="AC22" s="63"/>
      <c r="AD22" s="63"/>
      <c r="AE22" s="1036"/>
      <c r="AF22" s="59"/>
      <c r="AG22" s="63"/>
    </row>
    <row r="23" spans="1:33">
      <c r="A23" s="460">
        <f t="shared" si="4"/>
        <v>17</v>
      </c>
      <c r="B23" s="129" t="s">
        <v>254</v>
      </c>
      <c r="C23" s="461">
        <f>SUM(C24)</f>
        <v>6940</v>
      </c>
      <c r="D23" s="461">
        <f t="shared" ref="D23:M23" si="11">SUM(D24)</f>
        <v>6940</v>
      </c>
      <c r="E23" s="461">
        <f t="shared" si="11"/>
        <v>0</v>
      </c>
      <c r="F23" s="461">
        <f t="shared" si="11"/>
        <v>0</v>
      </c>
      <c r="G23" s="461">
        <f t="shared" si="11"/>
        <v>6940</v>
      </c>
      <c r="H23" s="462">
        <f t="shared" si="11"/>
        <v>6940</v>
      </c>
      <c r="I23" s="464">
        <f t="shared" si="11"/>
        <v>0</v>
      </c>
      <c r="J23" s="464">
        <f t="shared" si="11"/>
        <v>639</v>
      </c>
      <c r="K23" s="465">
        <f t="shared" si="11"/>
        <v>0.08</v>
      </c>
      <c r="L23" s="466">
        <f t="shared" si="11"/>
        <v>0</v>
      </c>
      <c r="M23" s="466">
        <f t="shared" si="11"/>
        <v>0</v>
      </c>
      <c r="N23" s="458"/>
      <c r="O23" s="467">
        <f>SUM(O24)</f>
        <v>627</v>
      </c>
      <c r="P23" s="466">
        <f>SUM(P24)</f>
        <v>7567</v>
      </c>
      <c r="R23" s="25">
        <f t="shared" si="3"/>
        <v>16</v>
      </c>
      <c r="S23" s="37" t="s">
        <v>60</v>
      </c>
      <c r="T23" s="89"/>
      <c r="U23" s="87"/>
      <c r="V23" s="87"/>
      <c r="W23" s="87"/>
      <c r="X23" s="65"/>
      <c r="Y23" s="66"/>
      <c r="Z23" s="88"/>
      <c r="AA23" s="88"/>
      <c r="AB23" s="86"/>
      <c r="AC23" s="68"/>
      <c r="AD23" s="68"/>
      <c r="AE23" s="1036"/>
      <c r="AF23" s="89"/>
      <c r="AG23" s="68"/>
    </row>
    <row r="24" spans="1:33">
      <c r="A24" s="18">
        <f t="shared" si="4"/>
        <v>18</v>
      </c>
      <c r="B24" s="135" t="s">
        <v>255</v>
      </c>
      <c r="C24" s="406">
        <v>6940</v>
      </c>
      <c r="D24" s="409">
        <v>6940</v>
      </c>
      <c r="E24" s="409">
        <v>0</v>
      </c>
      <c r="F24" s="409">
        <v>0</v>
      </c>
      <c r="G24" s="393">
        <f>+C24+E24</f>
        <v>6940</v>
      </c>
      <c r="H24" s="394">
        <f>+D24+F24</f>
        <v>6940</v>
      </c>
      <c r="I24" s="410">
        <v>0</v>
      </c>
      <c r="J24" s="410">
        <v>639</v>
      </c>
      <c r="K24" s="406">
        <v>0.08</v>
      </c>
      <c r="L24" s="398">
        <f>+G24-H24</f>
        <v>0</v>
      </c>
      <c r="M24" s="398">
        <v>0</v>
      </c>
      <c r="N24" s="458"/>
      <c r="O24" s="411">
        <v>627</v>
      </c>
      <c r="P24" s="398">
        <f>H24+O24</f>
        <v>7567</v>
      </c>
      <c r="R24" s="46">
        <f t="shared" si="3"/>
        <v>17</v>
      </c>
      <c r="S24" s="47" t="s">
        <v>59</v>
      </c>
      <c r="T24" s="59">
        <v>15449</v>
      </c>
      <c r="U24" s="60">
        <v>15449</v>
      </c>
      <c r="V24" s="60">
        <v>0</v>
      </c>
      <c r="W24" s="60">
        <v>0</v>
      </c>
      <c r="X24" s="60">
        <v>15449</v>
      </c>
      <c r="Y24" s="61">
        <v>15449</v>
      </c>
      <c r="Z24" s="78">
        <v>0</v>
      </c>
      <c r="AA24" s="78">
        <v>6211</v>
      </c>
      <c r="AB24" s="62">
        <v>89.75</v>
      </c>
      <c r="AC24" s="63">
        <v>0</v>
      </c>
      <c r="AD24" s="63">
        <v>0</v>
      </c>
      <c r="AE24" s="1036"/>
      <c r="AF24" s="59">
        <v>0</v>
      </c>
      <c r="AG24" s="63">
        <v>15449</v>
      </c>
    </row>
    <row r="25" spans="1:33">
      <c r="A25" s="460">
        <f t="shared" si="4"/>
        <v>19</v>
      </c>
      <c r="B25" s="129" t="s">
        <v>256</v>
      </c>
      <c r="C25" s="465">
        <f>SUM(C26)</f>
        <v>4871</v>
      </c>
      <c r="D25" s="461">
        <f t="shared" ref="D25:M25" si="12">SUM(D26)</f>
        <v>4871</v>
      </c>
      <c r="E25" s="461">
        <f t="shared" si="12"/>
        <v>0</v>
      </c>
      <c r="F25" s="461">
        <f t="shared" si="12"/>
        <v>0</v>
      </c>
      <c r="G25" s="461">
        <f t="shared" si="12"/>
        <v>4871</v>
      </c>
      <c r="H25" s="462">
        <f t="shared" si="12"/>
        <v>4871</v>
      </c>
      <c r="I25" s="464">
        <f t="shared" si="12"/>
        <v>0</v>
      </c>
      <c r="J25" s="464">
        <f t="shared" si="12"/>
        <v>1614</v>
      </c>
      <c r="K25" s="465">
        <f t="shared" si="12"/>
        <v>88.63</v>
      </c>
      <c r="L25" s="466">
        <f t="shared" si="12"/>
        <v>0</v>
      </c>
      <c r="M25" s="466">
        <f t="shared" si="12"/>
        <v>0</v>
      </c>
      <c r="N25" s="458"/>
      <c r="O25" s="467">
        <f>SUM(O26)</f>
        <v>0</v>
      </c>
      <c r="P25" s="466">
        <f>SUM(P26)</f>
        <v>4871</v>
      </c>
      <c r="R25" s="25">
        <f t="shared" si="3"/>
        <v>18</v>
      </c>
      <c r="S25" s="37" t="s">
        <v>60</v>
      </c>
      <c r="T25" s="89"/>
      <c r="U25" s="87"/>
      <c r="V25" s="87"/>
      <c r="W25" s="87"/>
      <c r="X25" s="65"/>
      <c r="Y25" s="66"/>
      <c r="Z25" s="88"/>
      <c r="AA25" s="88"/>
      <c r="AB25" s="86"/>
      <c r="AC25" s="68"/>
      <c r="AD25" s="68"/>
      <c r="AE25" s="1036"/>
      <c r="AF25" s="89"/>
      <c r="AG25" s="68"/>
    </row>
    <row r="26" spans="1:33">
      <c r="A26" s="18">
        <f t="shared" si="4"/>
        <v>20</v>
      </c>
      <c r="B26" s="135" t="s">
        <v>257</v>
      </c>
      <c r="C26" s="406">
        <v>4871</v>
      </c>
      <c r="D26" s="409">
        <v>4871</v>
      </c>
      <c r="E26" s="409">
        <v>0</v>
      </c>
      <c r="F26" s="409">
        <v>0</v>
      </c>
      <c r="G26" s="393">
        <f>+C26+E26</f>
        <v>4871</v>
      </c>
      <c r="H26" s="394">
        <f>+D26+F26</f>
        <v>4871</v>
      </c>
      <c r="I26" s="410">
        <v>0</v>
      </c>
      <c r="J26" s="410">
        <v>1614</v>
      </c>
      <c r="K26" s="406">
        <v>88.63</v>
      </c>
      <c r="L26" s="398">
        <f>+G26-H26</f>
        <v>0</v>
      </c>
      <c r="M26" s="398">
        <v>0</v>
      </c>
      <c r="N26" s="458"/>
      <c r="O26" s="411">
        <v>0</v>
      </c>
      <c r="P26" s="398">
        <f>H26+O26</f>
        <v>4871</v>
      </c>
      <c r="R26" s="46">
        <f t="shared" si="3"/>
        <v>19</v>
      </c>
      <c r="S26" s="47" t="s">
        <v>54</v>
      </c>
      <c r="T26" s="59"/>
      <c r="U26" s="60"/>
      <c r="V26" s="60"/>
      <c r="W26" s="60"/>
      <c r="X26" s="60"/>
      <c r="Y26" s="61"/>
      <c r="Z26" s="78"/>
      <c r="AA26" s="78"/>
      <c r="AB26" s="62"/>
      <c r="AC26" s="63"/>
      <c r="AD26" s="63"/>
      <c r="AE26" s="1036"/>
      <c r="AF26" s="59"/>
      <c r="AG26" s="63"/>
    </row>
    <row r="27" spans="1:33">
      <c r="A27" s="460">
        <f t="shared" si="4"/>
        <v>21</v>
      </c>
      <c r="B27" s="129" t="s">
        <v>258</v>
      </c>
      <c r="C27" s="465">
        <f>SUM(C28)</f>
        <v>0</v>
      </c>
      <c r="D27" s="461">
        <f t="shared" ref="D27:M27" si="13">SUM(D28)</f>
        <v>0</v>
      </c>
      <c r="E27" s="461">
        <f t="shared" si="13"/>
        <v>0</v>
      </c>
      <c r="F27" s="461">
        <f t="shared" si="13"/>
        <v>0</v>
      </c>
      <c r="G27" s="461">
        <f t="shared" si="13"/>
        <v>0</v>
      </c>
      <c r="H27" s="462">
        <f t="shared" si="13"/>
        <v>0</v>
      </c>
      <c r="I27" s="464">
        <f t="shared" si="13"/>
        <v>0</v>
      </c>
      <c r="J27" s="464">
        <f t="shared" si="13"/>
        <v>0</v>
      </c>
      <c r="K27" s="465">
        <f t="shared" si="13"/>
        <v>0</v>
      </c>
      <c r="L27" s="466">
        <f t="shared" si="13"/>
        <v>0</v>
      </c>
      <c r="M27" s="466">
        <f t="shared" si="13"/>
        <v>0</v>
      </c>
      <c r="N27" s="458"/>
      <c r="O27" s="467">
        <f>SUM(O28)</f>
        <v>0</v>
      </c>
      <c r="P27" s="466">
        <f>SUM(P28)</f>
        <v>0</v>
      </c>
      <c r="R27" s="25">
        <f t="shared" si="3"/>
        <v>20</v>
      </c>
      <c r="S27" s="37" t="s">
        <v>60</v>
      </c>
      <c r="T27" s="94"/>
      <c r="U27" s="92"/>
      <c r="V27" s="92"/>
      <c r="W27" s="92"/>
      <c r="X27" s="65"/>
      <c r="Y27" s="66"/>
      <c r="Z27" s="93"/>
      <c r="AA27" s="93"/>
      <c r="AB27" s="91"/>
      <c r="AC27" s="68"/>
      <c r="AD27" s="68"/>
      <c r="AE27" s="1036"/>
      <c r="AF27" s="94"/>
      <c r="AG27" s="68"/>
    </row>
    <row r="28" spans="1:33">
      <c r="A28" s="18">
        <f t="shared" si="4"/>
        <v>22</v>
      </c>
      <c r="B28" s="135" t="s">
        <v>259</v>
      </c>
      <c r="C28" s="406">
        <v>0</v>
      </c>
      <c r="D28" s="409">
        <v>0</v>
      </c>
      <c r="E28" s="409">
        <v>0</v>
      </c>
      <c r="F28" s="409">
        <v>0</v>
      </c>
      <c r="G28" s="393">
        <f>+C28+E28</f>
        <v>0</v>
      </c>
      <c r="H28" s="394">
        <f>+D28+F28</f>
        <v>0</v>
      </c>
      <c r="I28" s="410">
        <v>0</v>
      </c>
      <c r="J28" s="410">
        <v>0</v>
      </c>
      <c r="K28" s="406">
        <v>0</v>
      </c>
      <c r="L28" s="398">
        <f>+G28-H28</f>
        <v>0</v>
      </c>
      <c r="M28" s="398">
        <v>0</v>
      </c>
      <c r="N28" s="458"/>
      <c r="O28" s="411">
        <v>0</v>
      </c>
      <c r="P28" s="398">
        <f>H28+O28</f>
        <v>0</v>
      </c>
      <c r="R28" s="24">
        <f t="shared" si="3"/>
        <v>21</v>
      </c>
      <c r="S28" s="38" t="s">
        <v>27</v>
      </c>
      <c r="T28" s="70"/>
      <c r="U28" s="71"/>
      <c r="V28" s="71"/>
      <c r="W28" s="71"/>
      <c r="X28" s="71"/>
      <c r="Y28" s="72"/>
      <c r="Z28" s="90"/>
      <c r="AA28" s="90"/>
      <c r="AB28" s="73"/>
      <c r="AC28" s="74"/>
      <c r="AD28" s="74"/>
      <c r="AE28" s="1036"/>
      <c r="AF28" s="70"/>
      <c r="AG28" s="74"/>
    </row>
    <row r="29" spans="1:33">
      <c r="A29" s="460">
        <f t="shared" si="4"/>
        <v>23</v>
      </c>
      <c r="B29" s="481" t="s">
        <v>260</v>
      </c>
      <c r="C29" s="461">
        <f>+C30</f>
        <v>15449</v>
      </c>
      <c r="D29" s="461">
        <f t="shared" ref="D29:O29" si="14">+D30</f>
        <v>15449</v>
      </c>
      <c r="E29" s="461">
        <f t="shared" si="14"/>
        <v>0</v>
      </c>
      <c r="F29" s="461">
        <f t="shared" si="14"/>
        <v>0</v>
      </c>
      <c r="G29" s="461">
        <f t="shared" si="14"/>
        <v>15449</v>
      </c>
      <c r="H29" s="462">
        <f t="shared" si="14"/>
        <v>15449</v>
      </c>
      <c r="I29" s="464">
        <f t="shared" si="14"/>
        <v>0</v>
      </c>
      <c r="J29" s="464">
        <f t="shared" si="14"/>
        <v>6211</v>
      </c>
      <c r="K29" s="465">
        <f t="shared" si="14"/>
        <v>89.75</v>
      </c>
      <c r="L29" s="466">
        <f t="shared" si="14"/>
        <v>0</v>
      </c>
      <c r="M29" s="466">
        <f t="shared" si="14"/>
        <v>0</v>
      </c>
      <c r="N29" s="458"/>
      <c r="O29" s="467">
        <f t="shared" si="14"/>
        <v>0</v>
      </c>
      <c r="P29" s="466">
        <f>H29+O29</f>
        <v>15449</v>
      </c>
      <c r="R29" s="29">
        <f t="shared" si="3"/>
        <v>22</v>
      </c>
      <c r="S29" s="43" t="s">
        <v>34</v>
      </c>
      <c r="T29" s="59"/>
      <c r="U29" s="60"/>
      <c r="V29" s="60"/>
      <c r="W29" s="60"/>
      <c r="X29" s="60"/>
      <c r="Y29" s="61"/>
      <c r="Z29" s="78"/>
      <c r="AA29" s="78"/>
      <c r="AB29" s="62"/>
      <c r="AC29" s="63"/>
      <c r="AD29" s="63"/>
      <c r="AE29" s="1036"/>
      <c r="AF29" s="59"/>
      <c r="AG29" s="63"/>
    </row>
    <row r="30" spans="1:33">
      <c r="A30" s="18">
        <f t="shared" si="4"/>
        <v>24</v>
      </c>
      <c r="B30" s="135" t="s">
        <v>261</v>
      </c>
      <c r="C30" s="406">
        <v>15449</v>
      </c>
      <c r="D30" s="409">
        <v>15449</v>
      </c>
      <c r="E30" s="409">
        <v>0</v>
      </c>
      <c r="F30" s="409">
        <v>0</v>
      </c>
      <c r="G30" s="393">
        <f>+C30+E30</f>
        <v>15449</v>
      </c>
      <c r="H30" s="394">
        <f>+D30+F30</f>
        <v>15449</v>
      </c>
      <c r="I30" s="410">
        <v>0</v>
      </c>
      <c r="J30" s="410">
        <v>6211</v>
      </c>
      <c r="K30" s="406">
        <v>89.75</v>
      </c>
      <c r="L30" s="398">
        <f>+G30-H30</f>
        <v>0</v>
      </c>
      <c r="M30" s="398">
        <v>0</v>
      </c>
      <c r="N30" s="458"/>
      <c r="O30" s="411">
        <v>0</v>
      </c>
      <c r="P30" s="398">
        <f>H30+O30</f>
        <v>15449</v>
      </c>
      <c r="R30" s="25">
        <f t="shared" si="3"/>
        <v>23</v>
      </c>
      <c r="S30" s="37" t="s">
        <v>60</v>
      </c>
      <c r="T30" s="94"/>
      <c r="U30" s="92"/>
      <c r="V30" s="92"/>
      <c r="W30" s="92"/>
      <c r="X30" s="65"/>
      <c r="Y30" s="66"/>
      <c r="Z30" s="93"/>
      <c r="AA30" s="93"/>
      <c r="AB30" s="91"/>
      <c r="AC30" s="68"/>
      <c r="AD30" s="68"/>
      <c r="AE30" s="1036"/>
      <c r="AF30" s="94"/>
      <c r="AG30" s="68"/>
    </row>
    <row r="31" spans="1:33">
      <c r="A31" s="460">
        <f t="shared" si="4"/>
        <v>25</v>
      </c>
      <c r="B31" s="481" t="s">
        <v>262</v>
      </c>
      <c r="C31" s="461">
        <f>+C32</f>
        <v>0</v>
      </c>
      <c r="D31" s="461">
        <f t="shared" ref="D31:O31" si="15">+D32</f>
        <v>0</v>
      </c>
      <c r="E31" s="461">
        <f t="shared" si="15"/>
        <v>0</v>
      </c>
      <c r="F31" s="461">
        <f t="shared" si="15"/>
        <v>0</v>
      </c>
      <c r="G31" s="461">
        <f t="shared" si="15"/>
        <v>0</v>
      </c>
      <c r="H31" s="462">
        <f t="shared" si="15"/>
        <v>0</v>
      </c>
      <c r="I31" s="464">
        <f t="shared" si="15"/>
        <v>0</v>
      </c>
      <c r="J31" s="464">
        <f t="shared" si="15"/>
        <v>0</v>
      </c>
      <c r="K31" s="465">
        <f t="shared" si="15"/>
        <v>0</v>
      </c>
      <c r="L31" s="466">
        <f t="shared" si="15"/>
        <v>0</v>
      </c>
      <c r="M31" s="466">
        <f t="shared" si="15"/>
        <v>0</v>
      </c>
      <c r="N31" s="458"/>
      <c r="O31" s="467">
        <f t="shared" si="15"/>
        <v>0</v>
      </c>
      <c r="P31" s="466">
        <f>H31+O31</f>
        <v>0</v>
      </c>
      <c r="R31" s="24">
        <f t="shared" si="3"/>
        <v>24</v>
      </c>
      <c r="S31" s="38" t="s">
        <v>32</v>
      </c>
      <c r="T31" s="70"/>
      <c r="U31" s="71"/>
      <c r="V31" s="71"/>
      <c r="W31" s="71"/>
      <c r="X31" s="71"/>
      <c r="Y31" s="72"/>
      <c r="Z31" s="90"/>
      <c r="AA31" s="90"/>
      <c r="AB31" s="73"/>
      <c r="AC31" s="74"/>
      <c r="AD31" s="74"/>
      <c r="AE31" s="1036"/>
      <c r="AF31" s="70"/>
      <c r="AG31" s="74"/>
    </row>
    <row r="32" spans="1:33">
      <c r="A32" s="18">
        <f t="shared" si="4"/>
        <v>26</v>
      </c>
      <c r="B32" s="468" t="s">
        <v>17</v>
      </c>
      <c r="C32" s="482"/>
      <c r="D32" s="483"/>
      <c r="E32" s="483"/>
      <c r="F32" s="483"/>
      <c r="G32" s="393">
        <f>+C32+E32</f>
        <v>0</v>
      </c>
      <c r="H32" s="394">
        <f>+D32+F32</f>
        <v>0</v>
      </c>
      <c r="I32" s="484"/>
      <c r="J32" s="484"/>
      <c r="K32" s="482"/>
      <c r="L32" s="398">
        <f>+G32-H32</f>
        <v>0</v>
      </c>
      <c r="M32" s="398">
        <v>0</v>
      </c>
      <c r="N32" s="458"/>
      <c r="O32" s="485"/>
      <c r="P32" s="398">
        <f>H32+O32</f>
        <v>0</v>
      </c>
      <c r="R32" s="46">
        <f t="shared" si="3"/>
        <v>25</v>
      </c>
      <c r="S32" s="47" t="s">
        <v>39</v>
      </c>
      <c r="T32" s="59"/>
      <c r="U32" s="60"/>
      <c r="V32" s="60"/>
      <c r="W32" s="60"/>
      <c r="X32" s="60"/>
      <c r="Y32" s="61"/>
      <c r="Z32" s="78"/>
      <c r="AA32" s="78"/>
      <c r="AB32" s="62"/>
      <c r="AC32" s="63"/>
      <c r="AD32" s="63"/>
      <c r="AE32" s="1036"/>
      <c r="AF32" s="59"/>
      <c r="AG32" s="63"/>
    </row>
    <row r="33" spans="1:33" ht="15.75" thickBot="1">
      <c r="A33" s="451">
        <f t="shared" si="4"/>
        <v>27</v>
      </c>
      <c r="B33" s="452" t="s">
        <v>27</v>
      </c>
      <c r="C33" s="475">
        <f>SUM(C34)</f>
        <v>0</v>
      </c>
      <c r="D33" s="476">
        <f t="shared" ref="D33:M33" si="16">SUM(D34)</f>
        <v>0</v>
      </c>
      <c r="E33" s="476">
        <f t="shared" si="16"/>
        <v>0</v>
      </c>
      <c r="F33" s="476">
        <f t="shared" si="16"/>
        <v>0</v>
      </c>
      <c r="G33" s="476">
        <f t="shared" si="16"/>
        <v>0</v>
      </c>
      <c r="H33" s="477">
        <f t="shared" si="16"/>
        <v>0</v>
      </c>
      <c r="I33" s="478">
        <f t="shared" si="16"/>
        <v>0</v>
      </c>
      <c r="J33" s="478">
        <f t="shared" si="16"/>
        <v>0</v>
      </c>
      <c r="K33" s="479">
        <f t="shared" si="16"/>
        <v>0</v>
      </c>
      <c r="L33" s="480">
        <f t="shared" si="16"/>
        <v>0</v>
      </c>
      <c r="M33" s="480">
        <f t="shared" si="16"/>
        <v>0</v>
      </c>
      <c r="N33" s="458"/>
      <c r="O33" s="475">
        <f>SUM(O34)</f>
        <v>0</v>
      </c>
      <c r="P33" s="480">
        <f>SUM(P34)</f>
        <v>0</v>
      </c>
      <c r="R33" s="25">
        <f t="shared" si="3"/>
        <v>26</v>
      </c>
      <c r="S33" s="37" t="s">
        <v>60</v>
      </c>
      <c r="T33" s="89"/>
      <c r="U33" s="87"/>
      <c r="V33" s="87"/>
      <c r="W33" s="87"/>
      <c r="X33" s="65"/>
      <c r="Y33" s="66"/>
      <c r="Z33" s="88"/>
      <c r="AA33" s="88"/>
      <c r="AB33" s="86"/>
      <c r="AC33" s="68"/>
      <c r="AD33" s="68"/>
      <c r="AE33" s="1036"/>
      <c r="AF33" s="89"/>
      <c r="AG33" s="68"/>
    </row>
    <row r="34" spans="1:33" ht="15.75" thickBot="1">
      <c r="A34" s="460">
        <f t="shared" si="4"/>
        <v>28</v>
      </c>
      <c r="B34" s="129" t="s">
        <v>34</v>
      </c>
      <c r="C34" s="461">
        <f>+C35</f>
        <v>0</v>
      </c>
      <c r="D34" s="461">
        <f t="shared" ref="D34:O34" si="17">+D35</f>
        <v>0</v>
      </c>
      <c r="E34" s="461">
        <f t="shared" si="17"/>
        <v>0</v>
      </c>
      <c r="F34" s="461">
        <f t="shared" si="17"/>
        <v>0</v>
      </c>
      <c r="G34" s="461">
        <f t="shared" si="17"/>
        <v>0</v>
      </c>
      <c r="H34" s="462">
        <f t="shared" si="17"/>
        <v>0</v>
      </c>
      <c r="I34" s="464">
        <f t="shared" si="17"/>
        <v>0</v>
      </c>
      <c r="J34" s="464">
        <f t="shared" si="17"/>
        <v>0</v>
      </c>
      <c r="K34" s="465">
        <f t="shared" si="17"/>
        <v>0</v>
      </c>
      <c r="L34" s="466">
        <f t="shared" si="17"/>
        <v>0</v>
      </c>
      <c r="M34" s="466">
        <f t="shared" si="17"/>
        <v>0</v>
      </c>
      <c r="N34" s="458"/>
      <c r="O34" s="467">
        <f t="shared" si="17"/>
        <v>0</v>
      </c>
      <c r="P34" s="466">
        <f>H34+O34</f>
        <v>0</v>
      </c>
      <c r="R34" s="31">
        <f t="shared" si="3"/>
        <v>27</v>
      </c>
      <c r="S34" s="39" t="s">
        <v>23</v>
      </c>
      <c r="T34" s="95">
        <v>97067.199999999997</v>
      </c>
      <c r="U34" s="96">
        <v>97067.199999999997</v>
      </c>
      <c r="V34" s="96">
        <v>0</v>
      </c>
      <c r="W34" s="96">
        <v>0</v>
      </c>
      <c r="X34" s="96">
        <v>97067.199999999997</v>
      </c>
      <c r="Y34" s="97">
        <v>97067.199999999997</v>
      </c>
      <c r="Z34" s="98">
        <v>0</v>
      </c>
      <c r="AA34" s="98">
        <v>8464</v>
      </c>
      <c r="AB34" s="99">
        <v>574.31999999999994</v>
      </c>
      <c r="AC34" s="100">
        <v>0</v>
      </c>
      <c r="AD34" s="100">
        <v>0</v>
      </c>
      <c r="AE34" s="101"/>
      <c r="AF34" s="95">
        <v>627</v>
      </c>
      <c r="AG34" s="100">
        <v>97694.2</v>
      </c>
    </row>
    <row r="35" spans="1:33">
      <c r="A35" s="18">
        <f t="shared" si="4"/>
        <v>29</v>
      </c>
      <c r="B35" s="468" t="s">
        <v>17</v>
      </c>
      <c r="C35" s="482"/>
      <c r="D35" s="483"/>
      <c r="E35" s="483"/>
      <c r="F35" s="483"/>
      <c r="G35" s="393">
        <f>+C35+E35</f>
        <v>0</v>
      </c>
      <c r="H35" s="394">
        <f>+D35+F35</f>
        <v>0</v>
      </c>
      <c r="I35" s="484"/>
      <c r="J35" s="484"/>
      <c r="K35" s="482"/>
      <c r="L35" s="398">
        <f>+G35-H35</f>
        <v>0</v>
      </c>
      <c r="M35" s="398">
        <v>0</v>
      </c>
      <c r="N35" s="458"/>
      <c r="O35" s="485"/>
      <c r="P35" s="398">
        <f>H35+O35</f>
        <v>0</v>
      </c>
    </row>
    <row r="36" spans="1:33">
      <c r="A36" s="451">
        <f t="shared" si="4"/>
        <v>30</v>
      </c>
      <c r="B36" s="452" t="s">
        <v>32</v>
      </c>
      <c r="C36" s="475">
        <f>SUM(C37)</f>
        <v>0</v>
      </c>
      <c r="D36" s="476">
        <f t="shared" ref="D36:M36" si="18">SUM(D37)</f>
        <v>0</v>
      </c>
      <c r="E36" s="476">
        <f t="shared" si="18"/>
        <v>0</v>
      </c>
      <c r="F36" s="476">
        <f t="shared" si="18"/>
        <v>0</v>
      </c>
      <c r="G36" s="476">
        <f t="shared" si="18"/>
        <v>0</v>
      </c>
      <c r="H36" s="477">
        <f t="shared" si="18"/>
        <v>0</v>
      </c>
      <c r="I36" s="478">
        <f t="shared" si="18"/>
        <v>0</v>
      </c>
      <c r="J36" s="478">
        <f t="shared" si="18"/>
        <v>0</v>
      </c>
      <c r="K36" s="479">
        <f t="shared" si="18"/>
        <v>0</v>
      </c>
      <c r="L36" s="480">
        <f t="shared" si="18"/>
        <v>0</v>
      </c>
      <c r="M36" s="480">
        <f t="shared" si="18"/>
        <v>0</v>
      </c>
      <c r="N36" s="458"/>
      <c r="O36" s="475">
        <f>SUM(O37)</f>
        <v>0</v>
      </c>
      <c r="P36" s="480">
        <f>SUM(P37)</f>
        <v>0</v>
      </c>
    </row>
    <row r="37" spans="1:33">
      <c r="A37" s="460">
        <f t="shared" si="4"/>
        <v>31</v>
      </c>
      <c r="B37" s="481" t="s">
        <v>39</v>
      </c>
      <c r="C37" s="461">
        <f>+C38</f>
        <v>0</v>
      </c>
      <c r="D37" s="461">
        <f t="shared" ref="D37:O37" si="19">+D38</f>
        <v>0</v>
      </c>
      <c r="E37" s="461">
        <f t="shared" si="19"/>
        <v>0</v>
      </c>
      <c r="F37" s="461">
        <f t="shared" si="19"/>
        <v>0</v>
      </c>
      <c r="G37" s="461">
        <f t="shared" si="19"/>
        <v>0</v>
      </c>
      <c r="H37" s="462">
        <f t="shared" si="19"/>
        <v>0</v>
      </c>
      <c r="I37" s="464">
        <f t="shared" si="19"/>
        <v>0</v>
      </c>
      <c r="J37" s="464">
        <f t="shared" si="19"/>
        <v>0</v>
      </c>
      <c r="K37" s="465">
        <f t="shared" si="19"/>
        <v>0</v>
      </c>
      <c r="L37" s="466">
        <f t="shared" si="19"/>
        <v>0</v>
      </c>
      <c r="M37" s="466">
        <f t="shared" si="19"/>
        <v>0</v>
      </c>
      <c r="N37" s="458"/>
      <c r="O37" s="467">
        <f t="shared" si="19"/>
        <v>0</v>
      </c>
      <c r="P37" s="466">
        <f>H37+O37</f>
        <v>0</v>
      </c>
    </row>
    <row r="38" spans="1:33" ht="15.75" thickBot="1">
      <c r="A38" s="18">
        <f t="shared" si="4"/>
        <v>32</v>
      </c>
      <c r="B38" s="486" t="s">
        <v>17</v>
      </c>
      <c r="C38" s="406"/>
      <c r="D38" s="409"/>
      <c r="E38" s="409"/>
      <c r="F38" s="409"/>
      <c r="G38" s="393">
        <f>+C38+E38</f>
        <v>0</v>
      </c>
      <c r="H38" s="394">
        <f>+D38+F38</f>
        <v>0</v>
      </c>
      <c r="I38" s="410"/>
      <c r="J38" s="410"/>
      <c r="K38" s="406"/>
      <c r="L38" s="398">
        <f>+G38-H38</f>
        <v>0</v>
      </c>
      <c r="M38" s="398">
        <v>0</v>
      </c>
      <c r="N38" s="458"/>
      <c r="O38" s="411"/>
      <c r="P38" s="398">
        <f>H38+O38</f>
        <v>0</v>
      </c>
    </row>
    <row r="39" spans="1:33" ht="15.75" thickBot="1">
      <c r="A39" s="487">
        <f t="shared" si="4"/>
        <v>33</v>
      </c>
      <c r="B39" s="488" t="s">
        <v>23</v>
      </c>
      <c r="C39" s="489">
        <f t="shared" ref="C39:M39" si="20">+C7+C22+C33+C36</f>
        <v>97067.199999999997</v>
      </c>
      <c r="D39" s="490">
        <f t="shared" si="20"/>
        <v>97067.199999999997</v>
      </c>
      <c r="E39" s="490">
        <f t="shared" si="20"/>
        <v>0</v>
      </c>
      <c r="F39" s="490">
        <f t="shared" si="20"/>
        <v>0</v>
      </c>
      <c r="G39" s="490">
        <f t="shared" si="20"/>
        <v>97067.199999999997</v>
      </c>
      <c r="H39" s="491">
        <f t="shared" si="20"/>
        <v>97067.199999999997</v>
      </c>
      <c r="I39" s="492">
        <f t="shared" si="20"/>
        <v>0</v>
      </c>
      <c r="J39" s="492">
        <f t="shared" si="20"/>
        <v>8464</v>
      </c>
      <c r="K39" s="493">
        <f t="shared" si="20"/>
        <v>574.31999999999994</v>
      </c>
      <c r="L39" s="494">
        <f t="shared" si="20"/>
        <v>0</v>
      </c>
      <c r="M39" s="494">
        <f t="shared" si="20"/>
        <v>0</v>
      </c>
      <c r="N39" s="495"/>
      <c r="O39" s="489">
        <f>+O7+O22+O33+O36</f>
        <v>627</v>
      </c>
      <c r="P39" s="494">
        <f>+P7+P22+P33+P36</f>
        <v>97694.2</v>
      </c>
    </row>
  </sheetData>
  <mergeCells count="24">
    <mergeCell ref="A4:A6"/>
    <mergeCell ref="B4:B6"/>
    <mergeCell ref="C4:D4"/>
    <mergeCell ref="E4:F4"/>
    <mergeCell ref="G4:H4"/>
    <mergeCell ref="I4:I5"/>
    <mergeCell ref="J4:J5"/>
    <mergeCell ref="K4:K5"/>
    <mergeCell ref="L4:L5"/>
    <mergeCell ref="M4:M5"/>
    <mergeCell ref="O4:O5"/>
    <mergeCell ref="P4:P5"/>
    <mergeCell ref="R4:R6"/>
    <mergeCell ref="S4:S6"/>
    <mergeCell ref="T4:U4"/>
    <mergeCell ref="V4:W4"/>
    <mergeCell ref="X4:Y4"/>
    <mergeCell ref="Z4:Z5"/>
    <mergeCell ref="AA4:AA5"/>
    <mergeCell ref="AB4:AB5"/>
    <mergeCell ref="AC4:AC5"/>
    <mergeCell ref="AD4:AD5"/>
    <mergeCell ref="AF4:AF5"/>
    <mergeCell ref="AG4:AG5"/>
  </mergeCell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AG41"/>
  <sheetViews>
    <sheetView zoomScale="85" zoomScaleNormal="85" workbookViewId="0">
      <selection activeCell="R1" sqref="R1:AG65536"/>
    </sheetView>
  </sheetViews>
  <sheetFormatPr defaultRowHeight="15"/>
  <cols>
    <col min="1" max="1" width="5" customWidth="1"/>
    <col min="2" max="2" width="45.85546875" customWidth="1"/>
    <col min="3" max="3" width="12.7109375" customWidth="1"/>
    <col min="4" max="4" width="11.5703125" customWidth="1"/>
    <col min="5" max="5" width="11.28515625" customWidth="1"/>
    <col min="6" max="6" width="11.5703125" customWidth="1"/>
    <col min="7" max="7" width="10.85546875" customWidth="1"/>
    <col min="8" max="9" width="10.42578125" customWidth="1"/>
    <col min="10" max="10" width="12.5703125" customWidth="1"/>
    <col min="11" max="11" width="10.5703125" customWidth="1"/>
    <col min="12" max="13" width="11.42578125" customWidth="1"/>
    <col min="14" max="14" width="1.7109375" customWidth="1"/>
    <col min="15" max="15" width="11" customWidth="1"/>
    <col min="16" max="16" width="10.85546875" customWidth="1"/>
    <col min="18" max="18" width="9.42578125" hidden="1" customWidth="1"/>
    <col min="19" max="19" width="45.85546875" hidden="1" customWidth="1"/>
    <col min="20" max="20" width="12.7109375" hidden="1" customWidth="1"/>
    <col min="21" max="21" width="11.5703125" hidden="1" customWidth="1"/>
    <col min="22" max="22" width="11.28515625" hidden="1" customWidth="1"/>
    <col min="23" max="23" width="11.5703125" hidden="1" customWidth="1"/>
    <col min="24" max="25" width="12.140625" hidden="1" customWidth="1"/>
    <col min="26" max="26" width="10.42578125" hidden="1" customWidth="1"/>
    <col min="27" max="27" width="12.5703125" hidden="1" customWidth="1"/>
    <col min="28" max="28" width="10.5703125" hidden="1" customWidth="1"/>
    <col min="29" max="29" width="14" hidden="1" customWidth="1"/>
    <col min="30" max="30" width="12.42578125" hidden="1" customWidth="1"/>
    <col min="31" max="31" width="1.7109375" hidden="1" customWidth="1"/>
    <col min="32" max="32" width="11" hidden="1" customWidth="1"/>
    <col min="33" max="33" width="10.85546875" hidden="1" customWidth="1"/>
  </cols>
  <sheetData>
    <row r="1" spans="1:33" ht="15.75">
      <c r="A1" s="496" t="s">
        <v>72</v>
      </c>
      <c r="B1" s="497"/>
      <c r="C1" s="497"/>
      <c r="D1" s="497"/>
      <c r="E1" s="497"/>
      <c r="F1" s="497"/>
      <c r="G1" s="497"/>
      <c r="H1" s="497"/>
      <c r="I1" s="497"/>
      <c r="J1" s="497"/>
      <c r="K1" s="497"/>
      <c r="L1" s="497"/>
      <c r="M1" s="497"/>
      <c r="N1" s="498"/>
      <c r="O1" s="497"/>
      <c r="P1" s="499"/>
    </row>
    <row r="2" spans="1:33" ht="15.75">
      <c r="A2" s="496"/>
      <c r="B2" s="500" t="s">
        <v>43</v>
      </c>
      <c r="C2" s="497"/>
      <c r="D2" s="497"/>
      <c r="E2" s="497"/>
      <c r="F2" s="497"/>
      <c r="G2" s="497"/>
      <c r="H2" s="497"/>
      <c r="I2" s="497"/>
      <c r="J2" s="497"/>
      <c r="K2" s="497"/>
      <c r="L2" s="497"/>
      <c r="M2" s="497"/>
      <c r="N2" s="498"/>
      <c r="O2" s="497"/>
      <c r="P2" s="497"/>
    </row>
    <row r="3" spans="1:33" ht="16.5" thickBot="1">
      <c r="A3" s="497"/>
      <c r="B3" s="501"/>
      <c r="C3" s="497"/>
      <c r="D3" s="497"/>
      <c r="E3" s="497"/>
      <c r="F3" s="497"/>
      <c r="G3" s="497"/>
      <c r="H3" s="497"/>
      <c r="I3" s="497"/>
      <c r="J3" s="497"/>
      <c r="K3" s="497"/>
      <c r="L3" s="497"/>
      <c r="M3" s="497"/>
      <c r="N3" s="498"/>
      <c r="O3" s="497"/>
      <c r="P3" s="502" t="s">
        <v>2</v>
      </c>
    </row>
    <row r="4" spans="1:33" ht="15" customHeight="1">
      <c r="A4" s="1453" t="s">
        <v>1</v>
      </c>
      <c r="B4" s="1456" t="s">
        <v>263</v>
      </c>
      <c r="C4" s="1459" t="s">
        <v>264</v>
      </c>
      <c r="D4" s="1460"/>
      <c r="E4" s="1460" t="s">
        <v>265</v>
      </c>
      <c r="F4" s="1460"/>
      <c r="G4" s="1461" t="s">
        <v>266</v>
      </c>
      <c r="H4" s="1462"/>
      <c r="I4" s="1463" t="s">
        <v>267</v>
      </c>
      <c r="J4" s="1441" t="s">
        <v>268</v>
      </c>
      <c r="K4" s="1443" t="s">
        <v>269</v>
      </c>
      <c r="L4" s="1445" t="s">
        <v>270</v>
      </c>
      <c r="M4" s="1447" t="s">
        <v>271</v>
      </c>
      <c r="N4" s="503"/>
      <c r="O4" s="1449" t="s">
        <v>272</v>
      </c>
      <c r="P4" s="1451" t="s">
        <v>21</v>
      </c>
      <c r="R4" s="1357" t="s">
        <v>1</v>
      </c>
      <c r="S4" s="1354" t="s">
        <v>46</v>
      </c>
      <c r="T4" s="1360" t="s">
        <v>18</v>
      </c>
      <c r="U4" s="1361"/>
      <c r="V4" s="1361" t="s">
        <v>19</v>
      </c>
      <c r="W4" s="1361"/>
      <c r="X4" s="1364" t="s">
        <v>20</v>
      </c>
      <c r="Y4" s="1365"/>
      <c r="Z4" s="1349" t="s">
        <v>47</v>
      </c>
      <c r="AA4" s="1349" t="s">
        <v>48</v>
      </c>
      <c r="AB4" s="1351" t="s">
        <v>49</v>
      </c>
      <c r="AC4" s="1362" t="s">
        <v>62</v>
      </c>
      <c r="AD4" s="1370" t="s">
        <v>69</v>
      </c>
      <c r="AE4" s="1037"/>
      <c r="AF4" s="1366" t="s">
        <v>65</v>
      </c>
      <c r="AG4" s="1368" t="s">
        <v>21</v>
      </c>
    </row>
    <row r="5" spans="1:33">
      <c r="A5" s="1454"/>
      <c r="B5" s="1457"/>
      <c r="C5" s="504" t="s">
        <v>273</v>
      </c>
      <c r="D5" s="505" t="s">
        <v>274</v>
      </c>
      <c r="E5" s="504" t="s">
        <v>12</v>
      </c>
      <c r="F5" s="505" t="s">
        <v>16</v>
      </c>
      <c r="G5" s="505" t="s">
        <v>12</v>
      </c>
      <c r="H5" s="506" t="s">
        <v>16</v>
      </c>
      <c r="I5" s="1464"/>
      <c r="J5" s="1442"/>
      <c r="K5" s="1444"/>
      <c r="L5" s="1446"/>
      <c r="M5" s="1448"/>
      <c r="N5" s="503"/>
      <c r="O5" s="1450"/>
      <c r="P5" s="1452"/>
      <c r="R5" s="1358"/>
      <c r="S5" s="1355"/>
      <c r="T5" s="1077" t="s">
        <v>26</v>
      </c>
      <c r="U5" s="11" t="s">
        <v>50</v>
      </c>
      <c r="V5" s="10" t="s">
        <v>12</v>
      </c>
      <c r="W5" s="11" t="s">
        <v>16</v>
      </c>
      <c r="X5" s="11" t="s">
        <v>12</v>
      </c>
      <c r="Y5" s="33" t="s">
        <v>16</v>
      </c>
      <c r="Z5" s="1350"/>
      <c r="AA5" s="1350"/>
      <c r="AB5" s="1352"/>
      <c r="AC5" s="1363"/>
      <c r="AD5" s="1371"/>
      <c r="AE5" s="1037"/>
      <c r="AF5" s="1367"/>
      <c r="AG5" s="1369"/>
    </row>
    <row r="6" spans="1:33" ht="15.75" thickBot="1">
      <c r="A6" s="1455"/>
      <c r="B6" s="1458"/>
      <c r="C6" s="507" t="s">
        <v>4</v>
      </c>
      <c r="D6" s="508" t="s">
        <v>5</v>
      </c>
      <c r="E6" s="508" t="s">
        <v>6</v>
      </c>
      <c r="F6" s="508" t="s">
        <v>7</v>
      </c>
      <c r="G6" s="508" t="s">
        <v>13</v>
      </c>
      <c r="H6" s="509" t="s">
        <v>14</v>
      </c>
      <c r="I6" s="510" t="s">
        <v>28</v>
      </c>
      <c r="J6" s="511" t="s">
        <v>31</v>
      </c>
      <c r="K6" s="511" t="s">
        <v>9</v>
      </c>
      <c r="L6" s="512" t="s">
        <v>22</v>
      </c>
      <c r="M6" s="513" t="s">
        <v>63</v>
      </c>
      <c r="N6" s="503"/>
      <c r="O6" s="514" t="s">
        <v>10</v>
      </c>
      <c r="P6" s="512" t="s">
        <v>64</v>
      </c>
      <c r="R6" s="1359"/>
      <c r="S6" s="1356"/>
      <c r="T6" s="1078" t="s">
        <v>4</v>
      </c>
      <c r="U6" s="13" t="s">
        <v>5</v>
      </c>
      <c r="V6" s="13" t="s">
        <v>6</v>
      </c>
      <c r="W6" s="13" t="s">
        <v>7</v>
      </c>
      <c r="X6" s="13" t="s">
        <v>13</v>
      </c>
      <c r="Y6" s="34" t="s">
        <v>14</v>
      </c>
      <c r="Z6" s="45" t="s">
        <v>28</v>
      </c>
      <c r="AA6" s="45" t="s">
        <v>31</v>
      </c>
      <c r="AB6" s="32" t="s">
        <v>9</v>
      </c>
      <c r="AC6" s="14" t="s">
        <v>22</v>
      </c>
      <c r="AD6" s="14" t="s">
        <v>63</v>
      </c>
      <c r="AE6" s="1037"/>
      <c r="AF6" s="44" t="s">
        <v>10</v>
      </c>
      <c r="AG6" s="14" t="s">
        <v>64</v>
      </c>
    </row>
    <row r="7" spans="1:33" ht="15.75" customHeight="1">
      <c r="A7" s="515">
        <v>1</v>
      </c>
      <c r="B7" s="516" t="s">
        <v>15</v>
      </c>
      <c r="C7" s="517">
        <f t="shared" ref="C7:H7" si="0">+C8+C13</f>
        <v>126678</v>
      </c>
      <c r="D7" s="517">
        <f t="shared" si="0"/>
        <v>126146</v>
      </c>
      <c r="E7" s="517">
        <f t="shared" si="0"/>
        <v>0</v>
      </c>
      <c r="F7" s="517">
        <f t="shared" si="0"/>
        <v>0</v>
      </c>
      <c r="G7" s="517">
        <f t="shared" si="0"/>
        <v>126678</v>
      </c>
      <c r="H7" s="518">
        <f t="shared" si="0"/>
        <v>126146</v>
      </c>
      <c r="I7" s="519"/>
      <c r="J7" s="517">
        <f>+J8+J13</f>
        <v>0</v>
      </c>
      <c r="K7" s="517">
        <f>+K8+K13</f>
        <v>1555.2073600000001</v>
      </c>
      <c r="L7" s="520">
        <f>+L8+L13</f>
        <v>532</v>
      </c>
      <c r="M7" s="520">
        <f>+M8+M13</f>
        <v>532</v>
      </c>
      <c r="N7" s="521"/>
      <c r="O7" s="522">
        <f>+O8+O13</f>
        <v>0</v>
      </c>
      <c r="P7" s="517">
        <f>+P8+P13</f>
        <v>126146</v>
      </c>
      <c r="R7" s="24">
        <v>1</v>
      </c>
      <c r="S7" s="38" t="s">
        <v>15</v>
      </c>
      <c r="T7" s="54">
        <v>126678</v>
      </c>
      <c r="U7" s="55">
        <v>126146</v>
      </c>
      <c r="V7" s="55">
        <v>0</v>
      </c>
      <c r="W7" s="55">
        <v>0</v>
      </c>
      <c r="X7" s="55">
        <v>126678</v>
      </c>
      <c r="Y7" s="56">
        <v>126146</v>
      </c>
      <c r="Z7" s="75"/>
      <c r="AA7" s="75">
        <v>0</v>
      </c>
      <c r="AB7" s="57">
        <v>1555.2073600000001</v>
      </c>
      <c r="AC7" s="58">
        <v>532</v>
      </c>
      <c r="AD7" s="58">
        <v>532</v>
      </c>
      <c r="AE7" s="1036"/>
      <c r="AF7" s="54">
        <v>0</v>
      </c>
      <c r="AG7" s="58">
        <v>126146</v>
      </c>
    </row>
    <row r="8" spans="1:33" ht="15.75" customHeight="1">
      <c r="A8" s="523">
        <f>A7+1</f>
        <v>2</v>
      </c>
      <c r="B8" s="516" t="s">
        <v>35</v>
      </c>
      <c r="C8" s="131">
        <f t="shared" ref="C8:H8" si="1">SUM(C9:C10)</f>
        <v>98257</v>
      </c>
      <c r="D8" s="131">
        <f t="shared" si="1"/>
        <v>98236</v>
      </c>
      <c r="E8" s="131">
        <f t="shared" si="1"/>
        <v>0</v>
      </c>
      <c r="F8" s="131">
        <f t="shared" si="1"/>
        <v>0</v>
      </c>
      <c r="G8" s="131">
        <f t="shared" si="1"/>
        <v>98257</v>
      </c>
      <c r="H8" s="524">
        <f t="shared" si="1"/>
        <v>98236</v>
      </c>
      <c r="I8" s="525"/>
      <c r="J8" s="131">
        <f>SUM(J9:J10)</f>
        <v>0</v>
      </c>
      <c r="K8" s="131">
        <f>SUM(K9:K10)</f>
        <v>1405.4124300000001</v>
      </c>
      <c r="L8" s="133">
        <f>SUM(L9:L10)</f>
        <v>21</v>
      </c>
      <c r="M8" s="133">
        <f>SUM(M9:M10)</f>
        <v>21</v>
      </c>
      <c r="N8" s="521"/>
      <c r="O8" s="134">
        <f>SUM(O9:O10)</f>
        <v>0</v>
      </c>
      <c r="P8" s="133">
        <f>SUM(P9:P10)</f>
        <v>98236</v>
      </c>
      <c r="R8" s="48">
        <f>R7+1</f>
        <v>2</v>
      </c>
      <c r="S8" s="35" t="s">
        <v>35</v>
      </c>
      <c r="T8" s="59">
        <v>98257</v>
      </c>
      <c r="U8" s="60">
        <v>98236</v>
      </c>
      <c r="V8" s="60">
        <v>0</v>
      </c>
      <c r="W8" s="60">
        <v>0</v>
      </c>
      <c r="X8" s="60">
        <v>98257</v>
      </c>
      <c r="Y8" s="61">
        <v>98236</v>
      </c>
      <c r="Z8" s="77"/>
      <c r="AA8" s="78">
        <v>0</v>
      </c>
      <c r="AB8" s="62">
        <v>1405.4124300000001</v>
      </c>
      <c r="AC8" s="63">
        <v>21</v>
      </c>
      <c r="AD8" s="63">
        <v>21</v>
      </c>
      <c r="AE8" s="1036"/>
      <c r="AF8" s="59">
        <v>0</v>
      </c>
      <c r="AG8" s="63">
        <v>98236</v>
      </c>
    </row>
    <row r="9" spans="1:33" ht="15.75" customHeight="1">
      <c r="A9" s="526">
        <f>A8+1</f>
        <v>3</v>
      </c>
      <c r="B9" s="527" t="s">
        <v>82</v>
      </c>
      <c r="C9" s="131">
        <v>98184</v>
      </c>
      <c r="D9" s="131">
        <f>C9</f>
        <v>98184</v>
      </c>
      <c r="E9" s="131">
        <v>0</v>
      </c>
      <c r="F9" s="131">
        <f>E9</f>
        <v>0</v>
      </c>
      <c r="G9" s="131">
        <f>+C9+E9</f>
        <v>98184</v>
      </c>
      <c r="H9" s="524">
        <f>+D9+F9</f>
        <v>98184</v>
      </c>
      <c r="I9" s="130">
        <v>0</v>
      </c>
      <c r="J9" s="131">
        <v>0</v>
      </c>
      <c r="K9" s="131">
        <v>1405.4124300000001</v>
      </c>
      <c r="L9" s="133">
        <f>+G9-H9</f>
        <v>0</v>
      </c>
      <c r="M9" s="133">
        <f>L9</f>
        <v>0</v>
      </c>
      <c r="N9" s="521"/>
      <c r="O9" s="134">
        <v>0</v>
      </c>
      <c r="P9" s="133">
        <f>H9+O9</f>
        <v>98184</v>
      </c>
      <c r="R9" s="25">
        <f t="shared" ref="R9:R34" si="2">R8+1</f>
        <v>3</v>
      </c>
      <c r="S9" s="36" t="s">
        <v>58</v>
      </c>
      <c r="T9" s="64">
        <v>98184</v>
      </c>
      <c r="U9" s="65">
        <v>98184</v>
      </c>
      <c r="V9" s="65">
        <v>0</v>
      </c>
      <c r="W9" s="65">
        <v>0</v>
      </c>
      <c r="X9" s="65">
        <v>98184</v>
      </c>
      <c r="Y9" s="66">
        <v>98184</v>
      </c>
      <c r="Z9" s="80">
        <v>0</v>
      </c>
      <c r="AA9" s="80">
        <v>0</v>
      </c>
      <c r="AB9" s="67">
        <v>1405.4124300000001</v>
      </c>
      <c r="AC9" s="68">
        <v>0</v>
      </c>
      <c r="AD9" s="68">
        <v>0</v>
      </c>
      <c r="AE9" s="1036"/>
      <c r="AF9" s="64">
        <v>0</v>
      </c>
      <c r="AG9" s="68">
        <v>98184</v>
      </c>
    </row>
    <row r="10" spans="1:33" ht="15.75" customHeight="1">
      <c r="A10" s="526">
        <f>+A9+1</f>
        <v>4</v>
      </c>
      <c r="B10" s="527" t="s">
        <v>36</v>
      </c>
      <c r="C10" s="131">
        <f>SUM(C11:C12)</f>
        <v>73</v>
      </c>
      <c r="D10" s="131">
        <f>SUM(D11:D12)</f>
        <v>52</v>
      </c>
      <c r="E10" s="131">
        <f t="shared" ref="E10:K10" si="3">SUM(E11:E12)</f>
        <v>0</v>
      </c>
      <c r="F10" s="131">
        <f t="shared" si="3"/>
        <v>0</v>
      </c>
      <c r="G10" s="131">
        <f t="shared" si="3"/>
        <v>73</v>
      </c>
      <c r="H10" s="131">
        <f t="shared" si="3"/>
        <v>52</v>
      </c>
      <c r="I10" s="528"/>
      <c r="J10" s="131">
        <f t="shared" si="3"/>
        <v>0</v>
      </c>
      <c r="K10" s="131">
        <f t="shared" si="3"/>
        <v>0</v>
      </c>
      <c r="L10" s="133">
        <f>SUM(L11:L12)</f>
        <v>21</v>
      </c>
      <c r="M10" s="133">
        <f>SUM(M11:M12)</f>
        <v>21</v>
      </c>
      <c r="N10" s="521"/>
      <c r="O10" s="134">
        <f>SUM(O11:O12)</f>
        <v>0</v>
      </c>
      <c r="P10" s="133">
        <f>H10+O10</f>
        <v>52</v>
      </c>
      <c r="R10" s="25">
        <f t="shared" si="2"/>
        <v>4</v>
      </c>
      <c r="S10" s="36" t="s">
        <v>36</v>
      </c>
      <c r="T10" s="64">
        <v>73</v>
      </c>
      <c r="U10" s="65">
        <v>52</v>
      </c>
      <c r="V10" s="65">
        <v>0</v>
      </c>
      <c r="W10" s="65">
        <v>0</v>
      </c>
      <c r="X10" s="65">
        <v>73</v>
      </c>
      <c r="Y10" s="249">
        <v>52</v>
      </c>
      <c r="Z10" s="80"/>
      <c r="AA10" s="80">
        <v>0</v>
      </c>
      <c r="AB10" s="67">
        <v>0</v>
      </c>
      <c r="AC10" s="68">
        <v>21</v>
      </c>
      <c r="AD10" s="68">
        <v>21</v>
      </c>
      <c r="AE10" s="1036"/>
      <c r="AF10" s="64">
        <v>0</v>
      </c>
      <c r="AG10" s="68">
        <v>52</v>
      </c>
    </row>
    <row r="11" spans="1:33" ht="15.75" customHeight="1">
      <c r="A11" s="526">
        <f>A10+1</f>
        <v>5</v>
      </c>
      <c r="B11" s="529" t="s">
        <v>275</v>
      </c>
      <c r="C11" s="530">
        <v>38</v>
      </c>
      <c r="D11" s="531">
        <v>17</v>
      </c>
      <c r="E11" s="531">
        <v>0</v>
      </c>
      <c r="F11" s="531">
        <v>0</v>
      </c>
      <c r="G11" s="532">
        <f>C11+E11</f>
        <v>38</v>
      </c>
      <c r="H11" s="533">
        <f>D11+F11</f>
        <v>17</v>
      </c>
      <c r="I11" s="530">
        <v>0</v>
      </c>
      <c r="J11" s="531">
        <v>0</v>
      </c>
      <c r="K11" s="531">
        <v>0</v>
      </c>
      <c r="L11" s="141">
        <f>G11-H11</f>
        <v>21</v>
      </c>
      <c r="M11" s="141">
        <f>L11</f>
        <v>21</v>
      </c>
      <c r="N11" s="534"/>
      <c r="O11" s="535">
        <v>0</v>
      </c>
      <c r="P11" s="141">
        <f>H11+O11</f>
        <v>17</v>
      </c>
      <c r="R11" s="25">
        <f t="shared" si="2"/>
        <v>5</v>
      </c>
      <c r="S11" s="37" t="s">
        <v>30</v>
      </c>
      <c r="T11" s="64"/>
      <c r="U11" s="65"/>
      <c r="V11" s="65"/>
      <c r="W11" s="65"/>
      <c r="X11" s="65"/>
      <c r="Y11" s="66"/>
      <c r="Z11" s="79"/>
      <c r="AA11" s="80"/>
      <c r="AB11" s="67"/>
      <c r="AC11" s="68"/>
      <c r="AD11" s="68"/>
      <c r="AE11" s="1036"/>
      <c r="AF11" s="64"/>
      <c r="AG11" s="68"/>
    </row>
    <row r="12" spans="1:33" ht="15.75" customHeight="1">
      <c r="A12" s="526">
        <f>A11+1</f>
        <v>6</v>
      </c>
      <c r="B12" s="529" t="s">
        <v>276</v>
      </c>
      <c r="C12" s="530">
        <v>35</v>
      </c>
      <c r="D12" s="531">
        <f>C12</f>
        <v>35</v>
      </c>
      <c r="E12" s="531">
        <v>0</v>
      </c>
      <c r="F12" s="531">
        <v>0</v>
      </c>
      <c r="G12" s="532">
        <f>C12+E12</f>
        <v>35</v>
      </c>
      <c r="H12" s="533">
        <f>D12+F12</f>
        <v>35</v>
      </c>
      <c r="I12" s="530">
        <v>0</v>
      </c>
      <c r="J12" s="531">
        <v>0</v>
      </c>
      <c r="K12" s="531">
        <v>0</v>
      </c>
      <c r="L12" s="141">
        <f>G12-H12</f>
        <v>0</v>
      </c>
      <c r="M12" s="141">
        <f>L12</f>
        <v>0</v>
      </c>
      <c r="N12" s="534"/>
      <c r="O12" s="535">
        <v>0</v>
      </c>
      <c r="P12" s="141">
        <f>H12+O12</f>
        <v>35</v>
      </c>
      <c r="R12" s="48">
        <f t="shared" si="2"/>
        <v>6</v>
      </c>
      <c r="S12" s="35" t="s">
        <v>42</v>
      </c>
      <c r="T12" s="59">
        <v>28421</v>
      </c>
      <c r="U12" s="60">
        <v>27910</v>
      </c>
      <c r="V12" s="60">
        <v>0</v>
      </c>
      <c r="W12" s="60">
        <v>0</v>
      </c>
      <c r="X12" s="60">
        <v>28421</v>
      </c>
      <c r="Y12" s="61">
        <v>27910</v>
      </c>
      <c r="Z12" s="78"/>
      <c r="AA12" s="78">
        <v>0</v>
      </c>
      <c r="AB12" s="62">
        <v>149.79492999999999</v>
      </c>
      <c r="AC12" s="63">
        <v>511</v>
      </c>
      <c r="AD12" s="63">
        <v>511</v>
      </c>
      <c r="AE12" s="1036"/>
      <c r="AF12" s="59">
        <v>0</v>
      </c>
      <c r="AG12" s="63">
        <v>27910</v>
      </c>
    </row>
    <row r="13" spans="1:33" ht="15.75" customHeight="1">
      <c r="A13" s="536">
        <f>+A12+1</f>
        <v>7</v>
      </c>
      <c r="B13" s="516" t="s">
        <v>277</v>
      </c>
      <c r="C13" s="134">
        <f t="shared" ref="C13:H13" si="4">C17+C14+C19+C20</f>
        <v>28421</v>
      </c>
      <c r="D13" s="131">
        <f t="shared" si="4"/>
        <v>27910</v>
      </c>
      <c r="E13" s="131">
        <f t="shared" si="4"/>
        <v>0</v>
      </c>
      <c r="F13" s="131">
        <f t="shared" si="4"/>
        <v>0</v>
      </c>
      <c r="G13" s="131">
        <f t="shared" si="4"/>
        <v>28421</v>
      </c>
      <c r="H13" s="131">
        <f t="shared" si="4"/>
        <v>27910</v>
      </c>
      <c r="I13" s="528"/>
      <c r="J13" s="131">
        <f>J17+J14+J19+J20</f>
        <v>0</v>
      </c>
      <c r="K13" s="131">
        <f>K17+K14+K19+K20</f>
        <v>149.79492999999999</v>
      </c>
      <c r="L13" s="133">
        <f>L17+L14+L19+L20</f>
        <v>511</v>
      </c>
      <c r="M13" s="133">
        <f>M17+M14+M19+M20</f>
        <v>511</v>
      </c>
      <c r="N13" s="537"/>
      <c r="O13" s="134">
        <f>O17+O14+O19+O20</f>
        <v>0</v>
      </c>
      <c r="P13" s="131">
        <f>P17+P14+P19+P20</f>
        <v>27910</v>
      </c>
      <c r="R13" s="29">
        <f t="shared" si="2"/>
        <v>7</v>
      </c>
      <c r="S13" s="36" t="s">
        <v>51</v>
      </c>
      <c r="T13" s="85">
        <v>6054</v>
      </c>
      <c r="U13" s="82">
        <v>5543</v>
      </c>
      <c r="V13" s="82">
        <v>0</v>
      </c>
      <c r="W13" s="82">
        <v>0</v>
      </c>
      <c r="X13" s="65">
        <v>6054</v>
      </c>
      <c r="Y13" s="66">
        <v>5543</v>
      </c>
      <c r="Z13" s="79"/>
      <c r="AA13" s="83">
        <v>0</v>
      </c>
      <c r="AB13" s="81">
        <v>5</v>
      </c>
      <c r="AC13" s="68">
        <v>511</v>
      </c>
      <c r="AD13" s="68">
        <v>511</v>
      </c>
      <c r="AE13" s="706"/>
      <c r="AF13" s="85">
        <v>0</v>
      </c>
      <c r="AG13" s="68">
        <v>5543</v>
      </c>
    </row>
    <row r="14" spans="1:33" ht="15.75" customHeight="1">
      <c r="A14" s="536">
        <f t="shared" ref="A14:A19" si="5">A13+1</f>
        <v>8</v>
      </c>
      <c r="B14" s="538" t="s">
        <v>51</v>
      </c>
      <c r="C14" s="131">
        <f>SUM(C15:C16)</f>
        <v>6054</v>
      </c>
      <c r="D14" s="131">
        <f>SUM(D15:D16)</f>
        <v>5543</v>
      </c>
      <c r="E14" s="131">
        <f t="shared" ref="E14:K14" si="6">SUM(E15:E16)</f>
        <v>0</v>
      </c>
      <c r="F14" s="131">
        <f t="shared" si="6"/>
        <v>0</v>
      </c>
      <c r="G14" s="131">
        <f t="shared" si="6"/>
        <v>6054</v>
      </c>
      <c r="H14" s="131">
        <f t="shared" si="6"/>
        <v>5543</v>
      </c>
      <c r="I14" s="528"/>
      <c r="J14" s="131">
        <f t="shared" si="6"/>
        <v>0</v>
      </c>
      <c r="K14" s="131">
        <f t="shared" si="6"/>
        <v>5</v>
      </c>
      <c r="L14" s="133">
        <f>SUM(L15:L16)</f>
        <v>511</v>
      </c>
      <c r="M14" s="133">
        <f>SUM(M15:M16)</f>
        <v>511</v>
      </c>
      <c r="N14" s="521"/>
      <c r="O14" s="134">
        <f>SUM(O15:O16)</f>
        <v>0</v>
      </c>
      <c r="P14" s="133">
        <f t="shared" ref="P14:P20" si="7">H14+O14</f>
        <v>5543</v>
      </c>
      <c r="R14" s="29"/>
      <c r="S14" s="36" t="s">
        <v>61</v>
      </c>
      <c r="T14" s="85">
        <v>6054</v>
      </c>
      <c r="U14" s="82">
        <v>5543</v>
      </c>
      <c r="V14" s="82">
        <v>0</v>
      </c>
      <c r="W14" s="82">
        <v>0</v>
      </c>
      <c r="X14" s="65">
        <v>6054</v>
      </c>
      <c r="Y14" s="66">
        <v>5543</v>
      </c>
      <c r="Z14" s="79">
        <v>0</v>
      </c>
      <c r="AA14" s="83">
        <v>0</v>
      </c>
      <c r="AB14" s="81">
        <v>5</v>
      </c>
      <c r="AC14" s="68">
        <v>511</v>
      </c>
      <c r="AD14" s="68">
        <v>511</v>
      </c>
      <c r="AE14" s="706">
        <v>0</v>
      </c>
      <c r="AF14" s="85">
        <v>0</v>
      </c>
      <c r="AG14" s="68">
        <v>5543</v>
      </c>
    </row>
    <row r="15" spans="1:33" ht="15.75" customHeight="1">
      <c r="A15" s="526">
        <f t="shared" si="5"/>
        <v>9</v>
      </c>
      <c r="B15" s="539" t="s">
        <v>278</v>
      </c>
      <c r="C15" s="530">
        <v>3260</v>
      </c>
      <c r="D15" s="531">
        <f>C15</f>
        <v>3260</v>
      </c>
      <c r="E15" s="531">
        <v>0</v>
      </c>
      <c r="F15" s="531">
        <v>0</v>
      </c>
      <c r="G15" s="532">
        <f>C15+E15</f>
        <v>3260</v>
      </c>
      <c r="H15" s="533">
        <f>D15+F15</f>
        <v>3260</v>
      </c>
      <c r="I15" s="530">
        <v>0</v>
      </c>
      <c r="J15" s="531">
        <v>0</v>
      </c>
      <c r="K15" s="531">
        <v>5</v>
      </c>
      <c r="L15" s="141">
        <f>G15-H15</f>
        <v>0</v>
      </c>
      <c r="M15" s="141">
        <f>L15</f>
        <v>0</v>
      </c>
      <c r="N15" s="534"/>
      <c r="O15" s="535">
        <v>0</v>
      </c>
      <c r="P15" s="141">
        <f t="shared" si="7"/>
        <v>3260</v>
      </c>
      <c r="R15" s="25">
        <f>R13+1</f>
        <v>8</v>
      </c>
      <c r="S15" s="37" t="s">
        <v>66</v>
      </c>
      <c r="T15" s="89"/>
      <c r="U15" s="87"/>
      <c r="V15" s="87"/>
      <c r="W15" s="87"/>
      <c r="X15" s="65"/>
      <c r="Y15" s="66"/>
      <c r="Z15" s="88"/>
      <c r="AA15" s="88"/>
      <c r="AB15" s="86"/>
      <c r="AC15" s="68"/>
      <c r="AD15" s="68"/>
      <c r="AE15" s="1036"/>
      <c r="AF15" s="89"/>
      <c r="AG15" s="68"/>
    </row>
    <row r="16" spans="1:33" ht="15.75" customHeight="1">
      <c r="A16" s="526">
        <f t="shared" si="5"/>
        <v>10</v>
      </c>
      <c r="B16" s="539" t="s">
        <v>279</v>
      </c>
      <c r="C16" s="530">
        <v>2794</v>
      </c>
      <c r="D16" s="531">
        <v>2283</v>
      </c>
      <c r="E16" s="531">
        <v>0</v>
      </c>
      <c r="F16" s="531">
        <v>0</v>
      </c>
      <c r="G16" s="532">
        <f>C16+E16</f>
        <v>2794</v>
      </c>
      <c r="H16" s="533">
        <f>D16+F16</f>
        <v>2283</v>
      </c>
      <c r="I16" s="530">
        <v>0</v>
      </c>
      <c r="J16" s="531">
        <v>0</v>
      </c>
      <c r="K16" s="531">
        <v>0</v>
      </c>
      <c r="L16" s="141">
        <f>G16-H16</f>
        <v>511</v>
      </c>
      <c r="M16" s="141">
        <f>L16</f>
        <v>511</v>
      </c>
      <c r="N16" s="534"/>
      <c r="O16" s="535">
        <v>0</v>
      </c>
      <c r="P16" s="141">
        <f t="shared" si="7"/>
        <v>2283</v>
      </c>
      <c r="R16" s="29">
        <f t="shared" si="2"/>
        <v>9</v>
      </c>
      <c r="S16" s="36" t="s">
        <v>52</v>
      </c>
      <c r="T16" s="85">
        <v>692</v>
      </c>
      <c r="U16" s="82">
        <v>692</v>
      </c>
      <c r="V16" s="82">
        <v>0</v>
      </c>
      <c r="W16" s="82">
        <v>0</v>
      </c>
      <c r="X16" s="65">
        <v>692</v>
      </c>
      <c r="Y16" s="66">
        <v>692</v>
      </c>
      <c r="Z16" s="79"/>
      <c r="AA16" s="83">
        <v>0</v>
      </c>
      <c r="AB16" s="81">
        <v>0</v>
      </c>
      <c r="AC16" s="68">
        <v>0</v>
      </c>
      <c r="AD16" s="68">
        <v>0</v>
      </c>
      <c r="AE16" s="706"/>
      <c r="AF16" s="85">
        <v>0</v>
      </c>
      <c r="AG16" s="68">
        <v>692</v>
      </c>
    </row>
    <row r="17" spans="1:33" ht="15.75" customHeight="1">
      <c r="A17" s="536">
        <f t="shared" si="5"/>
        <v>11</v>
      </c>
      <c r="B17" s="538" t="s">
        <v>52</v>
      </c>
      <c r="C17" s="131">
        <f>+C18</f>
        <v>692</v>
      </c>
      <c r="D17" s="131">
        <f t="shared" ref="D17:O17" si="8">+D18</f>
        <v>692</v>
      </c>
      <c r="E17" s="131">
        <f t="shared" si="8"/>
        <v>0</v>
      </c>
      <c r="F17" s="131">
        <f t="shared" si="8"/>
        <v>0</v>
      </c>
      <c r="G17" s="131">
        <f t="shared" si="8"/>
        <v>692</v>
      </c>
      <c r="H17" s="524">
        <f t="shared" si="8"/>
        <v>692</v>
      </c>
      <c r="I17" s="528"/>
      <c r="J17" s="131">
        <f t="shared" si="8"/>
        <v>0</v>
      </c>
      <c r="K17" s="131">
        <f t="shared" si="8"/>
        <v>0</v>
      </c>
      <c r="L17" s="133">
        <f t="shared" si="8"/>
        <v>0</v>
      </c>
      <c r="M17" s="133">
        <f t="shared" si="8"/>
        <v>0</v>
      </c>
      <c r="N17" s="521"/>
      <c r="O17" s="134">
        <f t="shared" si="8"/>
        <v>0</v>
      </c>
      <c r="P17" s="133">
        <f t="shared" si="7"/>
        <v>692</v>
      </c>
      <c r="R17" s="25">
        <f t="shared" si="2"/>
        <v>10</v>
      </c>
      <c r="S17" s="37" t="s">
        <v>30</v>
      </c>
      <c r="T17" s="89"/>
      <c r="U17" s="87"/>
      <c r="V17" s="87"/>
      <c r="W17" s="87"/>
      <c r="X17" s="65"/>
      <c r="Y17" s="66"/>
      <c r="Z17" s="88"/>
      <c r="AA17" s="88"/>
      <c r="AB17" s="86"/>
      <c r="AC17" s="68"/>
      <c r="AD17" s="68"/>
      <c r="AE17" s="1036"/>
      <c r="AF17" s="89"/>
      <c r="AG17" s="68"/>
    </row>
    <row r="18" spans="1:33" ht="15.75" customHeight="1">
      <c r="A18" s="526">
        <f t="shared" si="5"/>
        <v>12</v>
      </c>
      <c r="B18" s="539" t="s">
        <v>280</v>
      </c>
      <c r="C18" s="530">
        <v>692</v>
      </c>
      <c r="D18" s="531">
        <f>C18</f>
        <v>692</v>
      </c>
      <c r="E18" s="531">
        <v>0</v>
      </c>
      <c r="F18" s="531">
        <v>0</v>
      </c>
      <c r="G18" s="532">
        <f>C18+E18</f>
        <v>692</v>
      </c>
      <c r="H18" s="533">
        <f>D18+F18</f>
        <v>692</v>
      </c>
      <c r="I18" s="530">
        <v>0</v>
      </c>
      <c r="J18" s="531">
        <v>0</v>
      </c>
      <c r="K18" s="531">
        <v>0</v>
      </c>
      <c r="L18" s="141">
        <f>G18-H18</f>
        <v>0</v>
      </c>
      <c r="M18" s="141">
        <f>L18</f>
        <v>0</v>
      </c>
      <c r="N18" s="534"/>
      <c r="O18" s="535">
        <v>0</v>
      </c>
      <c r="P18" s="141">
        <f t="shared" si="7"/>
        <v>692</v>
      </c>
      <c r="R18" s="29">
        <f t="shared" si="2"/>
        <v>11</v>
      </c>
      <c r="S18" s="36" t="s">
        <v>37</v>
      </c>
      <c r="T18" s="85">
        <v>21675</v>
      </c>
      <c r="U18" s="82">
        <v>21675</v>
      </c>
      <c r="V18" s="82">
        <v>0</v>
      </c>
      <c r="W18" s="82">
        <v>0</v>
      </c>
      <c r="X18" s="65">
        <v>21675</v>
      </c>
      <c r="Y18" s="66">
        <v>21675</v>
      </c>
      <c r="Z18" s="83"/>
      <c r="AA18" s="83">
        <v>0</v>
      </c>
      <c r="AB18" s="81">
        <v>144.79492999999999</v>
      </c>
      <c r="AC18" s="68">
        <v>0</v>
      </c>
      <c r="AD18" s="68">
        <v>0</v>
      </c>
      <c r="AE18" s="706"/>
      <c r="AF18" s="85">
        <v>0</v>
      </c>
      <c r="AG18" s="68">
        <v>21675</v>
      </c>
    </row>
    <row r="19" spans="1:33" ht="15.75" customHeight="1">
      <c r="A19" s="536">
        <f t="shared" si="5"/>
        <v>13</v>
      </c>
      <c r="B19" s="538" t="s">
        <v>37</v>
      </c>
      <c r="C19" s="540">
        <v>21675</v>
      </c>
      <c r="D19" s="541">
        <f>C19</f>
        <v>21675</v>
      </c>
      <c r="E19" s="541">
        <v>0</v>
      </c>
      <c r="F19" s="541">
        <v>0</v>
      </c>
      <c r="G19" s="131">
        <f>+C19+E19</f>
        <v>21675</v>
      </c>
      <c r="H19" s="524">
        <f>+D19+F19</f>
        <v>21675</v>
      </c>
      <c r="I19" s="542"/>
      <c r="J19" s="541">
        <v>0</v>
      </c>
      <c r="K19" s="541">
        <v>144.79492999999999</v>
      </c>
      <c r="L19" s="133">
        <f>G19-H19</f>
        <v>0</v>
      </c>
      <c r="M19" s="133">
        <f>L19</f>
        <v>0</v>
      </c>
      <c r="N19" s="521"/>
      <c r="O19" s="543">
        <v>0</v>
      </c>
      <c r="P19" s="133">
        <f t="shared" si="7"/>
        <v>21675</v>
      </c>
      <c r="R19" s="29">
        <f t="shared" si="2"/>
        <v>12</v>
      </c>
      <c r="S19" s="50" t="s">
        <v>38</v>
      </c>
      <c r="T19" s="85">
        <v>0</v>
      </c>
      <c r="U19" s="82">
        <v>0</v>
      </c>
      <c r="V19" s="82">
        <v>0</v>
      </c>
      <c r="W19" s="82">
        <v>0</v>
      </c>
      <c r="X19" s="65">
        <v>0</v>
      </c>
      <c r="Y19" s="66">
        <v>0</v>
      </c>
      <c r="Z19" s="83"/>
      <c r="AA19" s="83">
        <v>0</v>
      </c>
      <c r="AB19" s="81">
        <v>0</v>
      </c>
      <c r="AC19" s="68">
        <v>0</v>
      </c>
      <c r="AD19" s="68">
        <v>0</v>
      </c>
      <c r="AE19" s="706"/>
      <c r="AF19" s="85">
        <v>0</v>
      </c>
      <c r="AG19" s="68">
        <v>0</v>
      </c>
    </row>
    <row r="20" spans="1:33" ht="15.75" customHeight="1">
      <c r="A20" s="536">
        <f>+A19+1</f>
        <v>14</v>
      </c>
      <c r="B20" s="544" t="s">
        <v>281</v>
      </c>
      <c r="C20" s="540">
        <v>0</v>
      </c>
      <c r="D20" s="541">
        <v>0</v>
      </c>
      <c r="E20" s="541">
        <v>0</v>
      </c>
      <c r="F20" s="541">
        <v>0</v>
      </c>
      <c r="G20" s="131">
        <f>+C20+E20</f>
        <v>0</v>
      </c>
      <c r="H20" s="524">
        <f>+D20+F20</f>
        <v>0</v>
      </c>
      <c r="I20" s="528"/>
      <c r="J20" s="541">
        <v>0</v>
      </c>
      <c r="K20" s="541">
        <v>0</v>
      </c>
      <c r="L20" s="133">
        <f>+G20-H20</f>
        <v>0</v>
      </c>
      <c r="M20" s="133">
        <f>L20</f>
        <v>0</v>
      </c>
      <c r="N20" s="521"/>
      <c r="O20" s="543">
        <v>0</v>
      </c>
      <c r="P20" s="133">
        <f t="shared" si="7"/>
        <v>0</v>
      </c>
      <c r="R20" s="25">
        <f t="shared" si="2"/>
        <v>13</v>
      </c>
      <c r="S20" s="37" t="s">
        <v>30</v>
      </c>
      <c r="T20" s="89"/>
      <c r="U20" s="87"/>
      <c r="V20" s="87"/>
      <c r="W20" s="87"/>
      <c r="X20" s="65"/>
      <c r="Y20" s="66"/>
      <c r="Z20" s="88"/>
      <c r="AA20" s="88"/>
      <c r="AB20" s="86"/>
      <c r="AC20" s="68"/>
      <c r="AD20" s="68"/>
      <c r="AE20" s="1036"/>
      <c r="AF20" s="89"/>
      <c r="AG20" s="68"/>
    </row>
    <row r="21" spans="1:33" ht="15.75" customHeight="1">
      <c r="A21" s="515">
        <f>A20+1</f>
        <v>15</v>
      </c>
      <c r="B21" s="538" t="s">
        <v>29</v>
      </c>
      <c r="C21" s="134">
        <f>C22+C25+C30</f>
        <v>32715</v>
      </c>
      <c r="D21" s="131">
        <f>D22+D25+D30</f>
        <v>32192</v>
      </c>
      <c r="E21" s="131">
        <f t="shared" ref="E21:K21" si="9">E22+E25+E30</f>
        <v>0</v>
      </c>
      <c r="F21" s="131">
        <f t="shared" si="9"/>
        <v>0</v>
      </c>
      <c r="G21" s="131">
        <f t="shared" si="9"/>
        <v>32715</v>
      </c>
      <c r="H21" s="131">
        <f t="shared" si="9"/>
        <v>32192</v>
      </c>
      <c r="I21" s="545"/>
      <c r="J21" s="131">
        <f t="shared" si="9"/>
        <v>6071</v>
      </c>
      <c r="K21" s="131">
        <f t="shared" si="9"/>
        <v>648</v>
      </c>
      <c r="L21" s="133">
        <f>L22+L25+L30</f>
        <v>523</v>
      </c>
      <c r="M21" s="133">
        <f>M22+M25+M30</f>
        <v>523</v>
      </c>
      <c r="N21" s="537"/>
      <c r="O21" s="134">
        <f>O22+O25+O30</f>
        <v>218</v>
      </c>
      <c r="P21" s="133">
        <f>P22+P25+P30</f>
        <v>32410</v>
      </c>
      <c r="R21" s="24">
        <f t="shared" si="2"/>
        <v>14</v>
      </c>
      <c r="S21" s="38" t="s">
        <v>29</v>
      </c>
      <c r="T21" s="70">
        <v>32715</v>
      </c>
      <c r="U21" s="71">
        <v>32192</v>
      </c>
      <c r="V21" s="71">
        <v>0</v>
      </c>
      <c r="W21" s="71">
        <v>0</v>
      </c>
      <c r="X21" s="71">
        <v>32715</v>
      </c>
      <c r="Y21" s="72">
        <v>32192</v>
      </c>
      <c r="Z21" s="90"/>
      <c r="AA21" s="1252">
        <v>6071</v>
      </c>
      <c r="AB21" s="73">
        <v>648</v>
      </c>
      <c r="AC21" s="74">
        <v>523</v>
      </c>
      <c r="AD21" s="74">
        <v>523</v>
      </c>
      <c r="AE21" s="1036"/>
      <c r="AF21" s="70">
        <v>218</v>
      </c>
      <c r="AG21" s="74">
        <v>32410</v>
      </c>
    </row>
    <row r="22" spans="1:33" ht="15.75" customHeight="1">
      <c r="A22" s="546">
        <f>A21+1</f>
        <v>16</v>
      </c>
      <c r="B22" s="538" t="s">
        <v>282</v>
      </c>
      <c r="C22" s="131">
        <f>SUM(C23:C24)</f>
        <v>7888</v>
      </c>
      <c r="D22" s="131">
        <f>SUM(D23:D24)</f>
        <v>7585</v>
      </c>
      <c r="E22" s="131">
        <f t="shared" ref="E22:K22" si="10">SUM(E23:E24)</f>
        <v>0</v>
      </c>
      <c r="F22" s="131">
        <f t="shared" si="10"/>
        <v>0</v>
      </c>
      <c r="G22" s="131">
        <f t="shared" si="10"/>
        <v>7888</v>
      </c>
      <c r="H22" s="131">
        <f t="shared" si="10"/>
        <v>7585</v>
      </c>
      <c r="I22" s="528"/>
      <c r="J22" s="131">
        <f t="shared" si="10"/>
        <v>2348</v>
      </c>
      <c r="K22" s="131">
        <f t="shared" si="10"/>
        <v>188</v>
      </c>
      <c r="L22" s="133">
        <f>SUM(L23:L24)</f>
        <v>303</v>
      </c>
      <c r="M22" s="133">
        <f>SUM(M23:M24)</f>
        <v>303</v>
      </c>
      <c r="N22" s="521"/>
      <c r="O22" s="134">
        <f>SUM(O23:O24)</f>
        <v>0</v>
      </c>
      <c r="P22" s="133">
        <f>H22+O22</f>
        <v>7585</v>
      </c>
      <c r="R22" s="46">
        <f t="shared" si="2"/>
        <v>15</v>
      </c>
      <c r="S22" s="43" t="s">
        <v>53</v>
      </c>
      <c r="T22" s="59"/>
      <c r="U22" s="60"/>
      <c r="V22" s="60"/>
      <c r="W22" s="60"/>
      <c r="X22" s="60"/>
      <c r="Y22" s="61"/>
      <c r="Z22" s="78"/>
      <c r="AA22" s="78"/>
      <c r="AB22" s="62"/>
      <c r="AC22" s="63"/>
      <c r="AD22" s="63"/>
      <c r="AE22" s="1036"/>
      <c r="AF22" s="59"/>
      <c r="AG22" s="63"/>
    </row>
    <row r="23" spans="1:33" ht="15.75" customHeight="1">
      <c r="A23" s="547">
        <f>A22+1</f>
        <v>17</v>
      </c>
      <c r="B23" s="548" t="s">
        <v>283</v>
      </c>
      <c r="C23" s="530">
        <f>2292+2079+2314+802</f>
        <v>7487</v>
      </c>
      <c r="D23" s="531">
        <f>2292+1926+2183+802</f>
        <v>7203</v>
      </c>
      <c r="E23" s="531">
        <v>0</v>
      </c>
      <c r="F23" s="531">
        <v>0</v>
      </c>
      <c r="G23" s="532">
        <f>C23+E23</f>
        <v>7487</v>
      </c>
      <c r="H23" s="533">
        <f>D23+F23</f>
        <v>7203</v>
      </c>
      <c r="I23" s="530">
        <v>0</v>
      </c>
      <c r="J23" s="531">
        <f>0+1021+1130+197</f>
        <v>2348</v>
      </c>
      <c r="K23" s="531">
        <f>69+53+59+7</f>
        <v>188</v>
      </c>
      <c r="L23" s="141">
        <f>G23-H23</f>
        <v>284</v>
      </c>
      <c r="M23" s="141">
        <f>L23</f>
        <v>284</v>
      </c>
      <c r="N23" s="534"/>
      <c r="O23" s="535">
        <v>0</v>
      </c>
      <c r="P23" s="141">
        <f>H23+O23</f>
        <v>7203</v>
      </c>
      <c r="R23" s="25">
        <f t="shared" si="2"/>
        <v>16</v>
      </c>
      <c r="S23" s="37" t="s">
        <v>60</v>
      </c>
      <c r="T23" s="89"/>
      <c r="U23" s="87"/>
      <c r="V23" s="87"/>
      <c r="W23" s="87"/>
      <c r="X23" s="65"/>
      <c r="Y23" s="66"/>
      <c r="Z23" s="88"/>
      <c r="AA23" s="88"/>
      <c r="AB23" s="86"/>
      <c r="AC23" s="68"/>
      <c r="AD23" s="68"/>
      <c r="AE23" s="1036"/>
      <c r="AF23" s="89"/>
      <c r="AG23" s="68"/>
    </row>
    <row r="24" spans="1:33" ht="15.75" customHeight="1">
      <c r="A24" s="547">
        <f>A23+1</f>
        <v>18</v>
      </c>
      <c r="B24" s="548" t="s">
        <v>284</v>
      </c>
      <c r="C24" s="530">
        <v>401</v>
      </c>
      <c r="D24" s="531">
        <v>382</v>
      </c>
      <c r="E24" s="531">
        <v>0</v>
      </c>
      <c r="F24" s="531">
        <v>0</v>
      </c>
      <c r="G24" s="532">
        <f>C24+E24</f>
        <v>401</v>
      </c>
      <c r="H24" s="533">
        <f>D24+F24</f>
        <v>382</v>
      </c>
      <c r="I24" s="530">
        <v>0</v>
      </c>
      <c r="J24" s="531">
        <v>0</v>
      </c>
      <c r="K24" s="531">
        <v>0</v>
      </c>
      <c r="L24" s="141">
        <f>G24-H24</f>
        <v>19</v>
      </c>
      <c r="M24" s="141">
        <f>L24</f>
        <v>19</v>
      </c>
      <c r="N24" s="534"/>
      <c r="O24" s="535">
        <v>0</v>
      </c>
      <c r="P24" s="141">
        <f>H24+O24</f>
        <v>382</v>
      </c>
      <c r="R24" s="46">
        <f t="shared" si="2"/>
        <v>17</v>
      </c>
      <c r="S24" s="47" t="s">
        <v>59</v>
      </c>
      <c r="T24" s="59">
        <v>21559</v>
      </c>
      <c r="U24" s="60">
        <v>21356</v>
      </c>
      <c r="V24" s="60">
        <v>0</v>
      </c>
      <c r="W24" s="60">
        <v>0</v>
      </c>
      <c r="X24" s="60">
        <v>21559</v>
      </c>
      <c r="Y24" s="61">
        <v>21356</v>
      </c>
      <c r="Z24" s="78"/>
      <c r="AA24" s="78">
        <v>1616</v>
      </c>
      <c r="AB24" s="62">
        <v>460</v>
      </c>
      <c r="AC24" s="63">
        <v>203</v>
      </c>
      <c r="AD24" s="63">
        <v>203</v>
      </c>
      <c r="AE24" s="1036"/>
      <c r="AF24" s="59">
        <v>0</v>
      </c>
      <c r="AG24" s="63">
        <v>21356</v>
      </c>
    </row>
    <row r="25" spans="1:33" ht="15.75" customHeight="1">
      <c r="A25" s="546">
        <f>A24+1</f>
        <v>19</v>
      </c>
      <c r="B25" s="549" t="s">
        <v>260</v>
      </c>
      <c r="C25" s="131">
        <f>C26+C27+C28+C29</f>
        <v>21559</v>
      </c>
      <c r="D25" s="131">
        <f>D26+D27+D28+D29</f>
        <v>21356</v>
      </c>
      <c r="E25" s="131">
        <f t="shared" ref="E25:K25" si="11">E26+E27+E28+E29</f>
        <v>0</v>
      </c>
      <c r="F25" s="131">
        <f t="shared" si="11"/>
        <v>0</v>
      </c>
      <c r="G25" s="131">
        <f t="shared" si="11"/>
        <v>21559</v>
      </c>
      <c r="H25" s="131">
        <f t="shared" si="11"/>
        <v>21356</v>
      </c>
      <c r="I25" s="528"/>
      <c r="J25" s="131">
        <f t="shared" si="11"/>
        <v>1616</v>
      </c>
      <c r="K25" s="131">
        <f t="shared" si="11"/>
        <v>460</v>
      </c>
      <c r="L25" s="133">
        <f>L26+L27+L28+L29</f>
        <v>203</v>
      </c>
      <c r="M25" s="133">
        <f>M26+M27+M28+M29</f>
        <v>203</v>
      </c>
      <c r="N25" s="521"/>
      <c r="O25" s="134">
        <f>O26+O27+O28+O29</f>
        <v>0</v>
      </c>
      <c r="P25" s="133">
        <f>P26+P27+P28+P29</f>
        <v>21356</v>
      </c>
      <c r="R25" s="25">
        <f t="shared" si="2"/>
        <v>18</v>
      </c>
      <c r="S25" s="37" t="s">
        <v>60</v>
      </c>
      <c r="T25" s="89"/>
      <c r="U25" s="87"/>
      <c r="V25" s="87"/>
      <c r="W25" s="87"/>
      <c r="X25" s="65"/>
      <c r="Y25" s="66"/>
      <c r="Z25" s="88"/>
      <c r="AA25" s="88"/>
      <c r="AB25" s="86"/>
      <c r="AC25" s="68"/>
      <c r="AD25" s="68"/>
      <c r="AE25" s="1036"/>
      <c r="AF25" s="89"/>
      <c r="AG25" s="68"/>
    </row>
    <row r="26" spans="1:33" ht="15.75" customHeight="1">
      <c r="A26" s="526">
        <f t="shared" ref="A26:A37" si="12">+A25+1</f>
        <v>20</v>
      </c>
      <c r="B26" s="539" t="s">
        <v>285</v>
      </c>
      <c r="C26" s="530">
        <f>17312-C27-C28</f>
        <v>15657</v>
      </c>
      <c r="D26" s="531">
        <f>17109-D27-D28</f>
        <v>15454</v>
      </c>
      <c r="E26" s="531">
        <v>0</v>
      </c>
      <c r="F26" s="531">
        <v>0</v>
      </c>
      <c r="G26" s="532">
        <f t="shared" ref="G26:H28" si="13">C26+E26</f>
        <v>15657</v>
      </c>
      <c r="H26" s="533">
        <f t="shared" si="13"/>
        <v>15454</v>
      </c>
      <c r="I26" s="530">
        <v>0</v>
      </c>
      <c r="J26" s="531">
        <f>545+1071</f>
        <v>1616</v>
      </c>
      <c r="K26" s="531">
        <f>3+13+20+30+16+(187+100)</f>
        <v>369</v>
      </c>
      <c r="L26" s="141">
        <f>G26-H26</f>
        <v>203</v>
      </c>
      <c r="M26" s="141">
        <f>L26</f>
        <v>203</v>
      </c>
      <c r="N26" s="534"/>
      <c r="O26" s="535">
        <v>0</v>
      </c>
      <c r="P26" s="141">
        <f t="shared" ref="P26:P32" si="14">H26+O26</f>
        <v>15454</v>
      </c>
      <c r="R26" s="46">
        <f t="shared" si="2"/>
        <v>19</v>
      </c>
      <c r="S26" s="47" t="s">
        <v>54</v>
      </c>
      <c r="T26" s="59">
        <v>3268</v>
      </c>
      <c r="U26" s="60">
        <v>3251</v>
      </c>
      <c r="V26" s="60">
        <v>0</v>
      </c>
      <c r="W26" s="60">
        <v>0</v>
      </c>
      <c r="X26" s="60">
        <v>3268</v>
      </c>
      <c r="Y26" s="61">
        <v>3251</v>
      </c>
      <c r="Z26" s="78"/>
      <c r="AA26" s="78">
        <v>2107</v>
      </c>
      <c r="AB26" s="62">
        <v>0</v>
      </c>
      <c r="AC26" s="63">
        <v>17</v>
      </c>
      <c r="AD26" s="63">
        <v>17</v>
      </c>
      <c r="AE26" s="1036"/>
      <c r="AF26" s="59">
        <v>218</v>
      </c>
      <c r="AG26" s="63">
        <v>3469</v>
      </c>
    </row>
    <row r="27" spans="1:33" ht="15.75" customHeight="1">
      <c r="A27" s="526">
        <f>A26+1</f>
        <v>21</v>
      </c>
      <c r="B27" s="539" t="s">
        <v>286</v>
      </c>
      <c r="C27" s="530">
        <f>667+535</f>
        <v>1202</v>
      </c>
      <c r="D27" s="531">
        <f>C27</f>
        <v>1202</v>
      </c>
      <c r="E27" s="531">
        <v>0</v>
      </c>
      <c r="F27" s="531">
        <v>0</v>
      </c>
      <c r="G27" s="532">
        <f t="shared" si="13"/>
        <v>1202</v>
      </c>
      <c r="H27" s="533">
        <f t="shared" si="13"/>
        <v>1202</v>
      </c>
      <c r="I27" s="530">
        <v>0</v>
      </c>
      <c r="J27" s="531">
        <v>0</v>
      </c>
      <c r="K27" s="531">
        <f>28+25</f>
        <v>53</v>
      </c>
      <c r="L27" s="141">
        <f>G27-H27</f>
        <v>0</v>
      </c>
      <c r="M27" s="141">
        <f>L27</f>
        <v>0</v>
      </c>
      <c r="N27" s="534"/>
      <c r="O27" s="535">
        <v>0</v>
      </c>
      <c r="P27" s="141">
        <f t="shared" si="14"/>
        <v>1202</v>
      </c>
      <c r="R27" s="25">
        <f t="shared" si="2"/>
        <v>20</v>
      </c>
      <c r="S27" s="37" t="s">
        <v>60</v>
      </c>
      <c r="T27" s="94"/>
      <c r="U27" s="92"/>
      <c r="V27" s="92"/>
      <c r="W27" s="92"/>
      <c r="X27" s="65"/>
      <c r="Y27" s="66"/>
      <c r="Z27" s="93"/>
      <c r="AA27" s="93"/>
      <c r="AB27" s="91"/>
      <c r="AC27" s="68"/>
      <c r="AD27" s="68"/>
      <c r="AE27" s="1036"/>
      <c r="AF27" s="94"/>
      <c r="AG27" s="68"/>
    </row>
    <row r="28" spans="1:33" ht="15.75" customHeight="1">
      <c r="A28" s="526">
        <f>A27+1</f>
        <v>22</v>
      </c>
      <c r="B28" s="539" t="s">
        <v>287</v>
      </c>
      <c r="C28" s="530">
        <v>453</v>
      </c>
      <c r="D28" s="531">
        <f>C28</f>
        <v>453</v>
      </c>
      <c r="E28" s="531">
        <v>0</v>
      </c>
      <c r="F28" s="531">
        <v>0</v>
      </c>
      <c r="G28" s="532">
        <f t="shared" si="13"/>
        <v>453</v>
      </c>
      <c r="H28" s="533">
        <f t="shared" si="13"/>
        <v>453</v>
      </c>
      <c r="I28" s="530">
        <v>0</v>
      </c>
      <c r="J28" s="531">
        <v>0</v>
      </c>
      <c r="K28" s="531">
        <v>7</v>
      </c>
      <c r="L28" s="141">
        <f>G28-H28</f>
        <v>0</v>
      </c>
      <c r="M28" s="141">
        <f>L28</f>
        <v>0</v>
      </c>
      <c r="N28" s="534"/>
      <c r="O28" s="535">
        <v>0</v>
      </c>
      <c r="P28" s="141">
        <f t="shared" si="14"/>
        <v>453</v>
      </c>
      <c r="R28" s="24">
        <f t="shared" si="2"/>
        <v>21</v>
      </c>
      <c r="S28" s="38" t="s">
        <v>27</v>
      </c>
      <c r="T28" s="70"/>
      <c r="U28" s="71"/>
      <c r="V28" s="71"/>
      <c r="W28" s="71"/>
      <c r="X28" s="71"/>
      <c r="Y28" s="72"/>
      <c r="Z28" s="90"/>
      <c r="AA28" s="90"/>
      <c r="AB28" s="73"/>
      <c r="AC28" s="74"/>
      <c r="AD28" s="74"/>
      <c r="AE28" s="1036"/>
      <c r="AF28" s="70"/>
      <c r="AG28" s="74"/>
    </row>
    <row r="29" spans="1:33" ht="15.75" customHeight="1">
      <c r="A29" s="526">
        <f t="shared" si="12"/>
        <v>23</v>
      </c>
      <c r="B29" s="539" t="s">
        <v>288</v>
      </c>
      <c r="C29" s="530">
        <f>212+737+843+744+344+757+610</f>
        <v>4247</v>
      </c>
      <c r="D29" s="531">
        <f>C29</f>
        <v>4247</v>
      </c>
      <c r="E29" s="531">
        <v>0</v>
      </c>
      <c r="F29" s="531">
        <v>0</v>
      </c>
      <c r="G29" s="532">
        <f>C29+E29</f>
        <v>4247</v>
      </c>
      <c r="H29" s="533">
        <f>D29+F29</f>
        <v>4247</v>
      </c>
      <c r="I29" s="530">
        <v>0</v>
      </c>
      <c r="J29" s="531">
        <v>0</v>
      </c>
      <c r="K29" s="531">
        <f>0+0+0+17+0+14</f>
        <v>31</v>
      </c>
      <c r="L29" s="141">
        <v>0</v>
      </c>
      <c r="M29" s="141">
        <f>L29</f>
        <v>0</v>
      </c>
      <c r="N29" s="534"/>
      <c r="O29" s="535">
        <v>0</v>
      </c>
      <c r="P29" s="141">
        <f>H29+O29</f>
        <v>4247</v>
      </c>
      <c r="R29" s="29">
        <f t="shared" si="2"/>
        <v>22</v>
      </c>
      <c r="S29" s="43" t="s">
        <v>34</v>
      </c>
      <c r="T29" s="59"/>
      <c r="U29" s="60"/>
      <c r="V29" s="60"/>
      <c r="W29" s="60"/>
      <c r="X29" s="60"/>
      <c r="Y29" s="61"/>
      <c r="Z29" s="78"/>
      <c r="AA29" s="78"/>
      <c r="AB29" s="62"/>
      <c r="AC29" s="63"/>
      <c r="AD29" s="63"/>
      <c r="AE29" s="1036"/>
      <c r="AF29" s="59"/>
      <c r="AG29" s="63"/>
    </row>
    <row r="30" spans="1:33" ht="15.75" customHeight="1">
      <c r="A30" s="546">
        <f>A29+1</f>
        <v>24</v>
      </c>
      <c r="B30" s="549" t="s">
        <v>262</v>
      </c>
      <c r="C30" s="131">
        <f t="shared" ref="C30:H30" si="15">+C31+C32+C33</f>
        <v>3268</v>
      </c>
      <c r="D30" s="131">
        <f t="shared" si="15"/>
        <v>3251</v>
      </c>
      <c r="E30" s="131">
        <f t="shared" si="15"/>
        <v>0</v>
      </c>
      <c r="F30" s="131">
        <f t="shared" si="15"/>
        <v>0</v>
      </c>
      <c r="G30" s="131">
        <f t="shared" si="15"/>
        <v>3268</v>
      </c>
      <c r="H30" s="524">
        <f t="shared" si="15"/>
        <v>3251</v>
      </c>
      <c r="I30" s="528"/>
      <c r="J30" s="131">
        <f>+J31+J32+J33</f>
        <v>2107</v>
      </c>
      <c r="K30" s="131">
        <f>+K31+K32+K33</f>
        <v>0</v>
      </c>
      <c r="L30" s="133">
        <f>+L31+L32+L33</f>
        <v>17</v>
      </c>
      <c r="M30" s="133">
        <f>+M31+M32+M33</f>
        <v>17</v>
      </c>
      <c r="N30" s="521"/>
      <c r="O30" s="134">
        <f>+O31+O32+O33</f>
        <v>218</v>
      </c>
      <c r="P30" s="133">
        <f>H30+O30</f>
        <v>3469</v>
      </c>
      <c r="R30" s="25">
        <f t="shared" si="2"/>
        <v>23</v>
      </c>
      <c r="S30" s="37" t="s">
        <v>60</v>
      </c>
      <c r="T30" s="94"/>
      <c r="U30" s="92"/>
      <c r="V30" s="92"/>
      <c r="W30" s="92"/>
      <c r="X30" s="65"/>
      <c r="Y30" s="66"/>
      <c r="Z30" s="93"/>
      <c r="AA30" s="93"/>
      <c r="AB30" s="91"/>
      <c r="AC30" s="68"/>
      <c r="AD30" s="68"/>
      <c r="AE30" s="1036"/>
      <c r="AF30" s="94"/>
      <c r="AG30" s="68"/>
    </row>
    <row r="31" spans="1:33" ht="15.75" customHeight="1">
      <c r="A31" s="526">
        <f t="shared" si="12"/>
        <v>25</v>
      </c>
      <c r="B31" s="548" t="s">
        <v>289</v>
      </c>
      <c r="C31" s="550">
        <v>663</v>
      </c>
      <c r="D31" s="551">
        <f>C31</f>
        <v>663</v>
      </c>
      <c r="E31" s="551">
        <v>0</v>
      </c>
      <c r="F31" s="551">
        <v>0</v>
      </c>
      <c r="G31" s="552">
        <f t="shared" ref="G31:H33" si="16">+C31+E31</f>
        <v>663</v>
      </c>
      <c r="H31" s="553">
        <f t="shared" si="16"/>
        <v>663</v>
      </c>
      <c r="I31" s="554">
        <v>0</v>
      </c>
      <c r="J31" s="551">
        <v>521</v>
      </c>
      <c r="K31" s="551">
        <v>0</v>
      </c>
      <c r="L31" s="555">
        <f>+G31-H31</f>
        <v>0</v>
      </c>
      <c r="M31" s="141">
        <f>L31</f>
        <v>0</v>
      </c>
      <c r="N31" s="556"/>
      <c r="O31" s="557">
        <v>0</v>
      </c>
      <c r="P31" s="555">
        <f t="shared" si="14"/>
        <v>663</v>
      </c>
      <c r="R31" s="24">
        <f t="shared" si="2"/>
        <v>24</v>
      </c>
      <c r="S31" s="38" t="s">
        <v>32</v>
      </c>
      <c r="T31" s="70">
        <v>3290</v>
      </c>
      <c r="U31" s="71">
        <v>3290</v>
      </c>
      <c r="V31" s="71">
        <v>0</v>
      </c>
      <c r="W31" s="71">
        <v>0</v>
      </c>
      <c r="X31" s="71">
        <v>3290</v>
      </c>
      <c r="Y31" s="72">
        <v>3290</v>
      </c>
      <c r="Z31" s="90"/>
      <c r="AA31" s="90">
        <v>0</v>
      </c>
      <c r="AB31" s="73">
        <v>0</v>
      </c>
      <c r="AC31" s="74">
        <v>0</v>
      </c>
      <c r="AD31" s="74">
        <v>0</v>
      </c>
      <c r="AE31" s="1036"/>
      <c r="AF31" s="70">
        <v>0</v>
      </c>
      <c r="AG31" s="74">
        <v>3290</v>
      </c>
    </row>
    <row r="32" spans="1:33" ht="15.75" customHeight="1">
      <c r="A32" s="526">
        <f t="shared" si="12"/>
        <v>26</v>
      </c>
      <c r="B32" s="548" t="s">
        <v>290</v>
      </c>
      <c r="C32" s="550">
        <v>2459</v>
      </c>
      <c r="D32" s="551">
        <f>C32</f>
        <v>2459</v>
      </c>
      <c r="E32" s="551">
        <v>0</v>
      </c>
      <c r="F32" s="551">
        <v>0</v>
      </c>
      <c r="G32" s="552">
        <f t="shared" si="16"/>
        <v>2459</v>
      </c>
      <c r="H32" s="553">
        <f t="shared" si="16"/>
        <v>2459</v>
      </c>
      <c r="I32" s="554">
        <v>0</v>
      </c>
      <c r="J32" s="551">
        <v>1586</v>
      </c>
      <c r="K32" s="551">
        <v>0</v>
      </c>
      <c r="L32" s="555">
        <f>+G32-H32</f>
        <v>0</v>
      </c>
      <c r="M32" s="141">
        <f>L32</f>
        <v>0</v>
      </c>
      <c r="N32" s="556"/>
      <c r="O32" s="557">
        <v>218</v>
      </c>
      <c r="P32" s="555">
        <f t="shared" si="14"/>
        <v>2677</v>
      </c>
      <c r="R32" s="46">
        <f t="shared" si="2"/>
        <v>25</v>
      </c>
      <c r="S32" s="47" t="s">
        <v>39</v>
      </c>
      <c r="T32" s="59"/>
      <c r="U32" s="60"/>
      <c r="V32" s="60"/>
      <c r="W32" s="60"/>
      <c r="X32" s="60"/>
      <c r="Y32" s="61"/>
      <c r="Z32" s="78"/>
      <c r="AA32" s="78"/>
      <c r="AB32" s="62"/>
      <c r="AC32" s="63"/>
      <c r="AD32" s="63"/>
      <c r="AE32" s="1036"/>
      <c r="AF32" s="59"/>
      <c r="AG32" s="63"/>
    </row>
    <row r="33" spans="1:33" ht="15.75" customHeight="1" thickBot="1">
      <c r="A33" s="526">
        <f t="shared" si="12"/>
        <v>27</v>
      </c>
      <c r="B33" s="548" t="s">
        <v>291</v>
      </c>
      <c r="C33" s="550">
        <v>146</v>
      </c>
      <c r="D33" s="551">
        <v>129</v>
      </c>
      <c r="E33" s="551">
        <v>0</v>
      </c>
      <c r="F33" s="551">
        <v>0</v>
      </c>
      <c r="G33" s="552">
        <f t="shared" si="16"/>
        <v>146</v>
      </c>
      <c r="H33" s="553">
        <f t="shared" si="16"/>
        <v>129</v>
      </c>
      <c r="I33" s="554">
        <v>0</v>
      </c>
      <c r="J33" s="551">
        <v>0</v>
      </c>
      <c r="K33" s="551">
        <v>0</v>
      </c>
      <c r="L33" s="555">
        <f>+G33-H33</f>
        <v>17</v>
      </c>
      <c r="M33" s="141">
        <f>L33</f>
        <v>17</v>
      </c>
      <c r="N33" s="556"/>
      <c r="O33" s="557">
        <v>0</v>
      </c>
      <c r="P33" s="555">
        <f>H33+O33</f>
        <v>129</v>
      </c>
      <c r="R33" s="25">
        <f t="shared" si="2"/>
        <v>26</v>
      </c>
      <c r="S33" s="37" t="s">
        <v>60</v>
      </c>
      <c r="T33" s="89"/>
      <c r="U33" s="87"/>
      <c r="V33" s="87"/>
      <c r="W33" s="87"/>
      <c r="X33" s="65"/>
      <c r="Y33" s="66"/>
      <c r="Z33" s="88"/>
      <c r="AA33" s="88"/>
      <c r="AB33" s="86"/>
      <c r="AC33" s="68"/>
      <c r="AD33" s="68"/>
      <c r="AE33" s="1036"/>
      <c r="AF33" s="89"/>
      <c r="AG33" s="68"/>
    </row>
    <row r="34" spans="1:33" ht="15.75" customHeight="1" thickBot="1">
      <c r="A34" s="515">
        <f t="shared" si="12"/>
        <v>28</v>
      </c>
      <c r="B34" s="538" t="s">
        <v>27</v>
      </c>
      <c r="C34" s="134">
        <f t="shared" ref="C34:H34" si="17">C35</f>
        <v>0</v>
      </c>
      <c r="D34" s="131">
        <f t="shared" si="17"/>
        <v>0</v>
      </c>
      <c r="E34" s="131">
        <f t="shared" si="17"/>
        <v>0</v>
      </c>
      <c r="F34" s="131">
        <f t="shared" si="17"/>
        <v>0</v>
      </c>
      <c r="G34" s="131">
        <f t="shared" si="17"/>
        <v>0</v>
      </c>
      <c r="H34" s="131">
        <f t="shared" si="17"/>
        <v>0</v>
      </c>
      <c r="I34" s="558"/>
      <c r="J34" s="131">
        <f>J35</f>
        <v>0</v>
      </c>
      <c r="K34" s="131">
        <f>K35</f>
        <v>0</v>
      </c>
      <c r="L34" s="147">
        <f>G34-H34</f>
        <v>0</v>
      </c>
      <c r="M34" s="147">
        <f>H34-I34</f>
        <v>0</v>
      </c>
      <c r="N34" s="521"/>
      <c r="O34" s="134">
        <f>O35</f>
        <v>0</v>
      </c>
      <c r="P34" s="133">
        <f>P35</f>
        <v>0</v>
      </c>
      <c r="R34" s="31">
        <f t="shared" si="2"/>
        <v>27</v>
      </c>
      <c r="S34" s="39" t="s">
        <v>23</v>
      </c>
      <c r="T34" s="95">
        <v>162683</v>
      </c>
      <c r="U34" s="96">
        <v>161628</v>
      </c>
      <c r="V34" s="96">
        <v>0</v>
      </c>
      <c r="W34" s="96">
        <v>0</v>
      </c>
      <c r="X34" s="96">
        <v>162683</v>
      </c>
      <c r="Y34" s="97">
        <v>161628</v>
      </c>
      <c r="Z34" s="98"/>
      <c r="AA34" s="98">
        <v>6071</v>
      </c>
      <c r="AB34" s="99">
        <v>2203.2073600000003</v>
      </c>
      <c r="AC34" s="100">
        <v>1055</v>
      </c>
      <c r="AD34" s="100">
        <v>1055</v>
      </c>
      <c r="AE34" s="101"/>
      <c r="AF34" s="95">
        <v>218</v>
      </c>
      <c r="AG34" s="100">
        <v>161846</v>
      </c>
    </row>
    <row r="35" spans="1:33" ht="15.75" customHeight="1">
      <c r="A35" s="536">
        <f t="shared" si="12"/>
        <v>29</v>
      </c>
      <c r="B35" s="516" t="s">
        <v>34</v>
      </c>
      <c r="C35" s="559">
        <f t="shared" ref="C35:M35" si="18">+C36</f>
        <v>0</v>
      </c>
      <c r="D35" s="559">
        <f t="shared" si="18"/>
        <v>0</v>
      </c>
      <c r="E35" s="559">
        <f t="shared" si="18"/>
        <v>0</v>
      </c>
      <c r="F35" s="559">
        <f t="shared" si="18"/>
        <v>0</v>
      </c>
      <c r="G35" s="559">
        <f t="shared" si="18"/>
        <v>0</v>
      </c>
      <c r="H35" s="560">
        <f t="shared" si="18"/>
        <v>0</v>
      </c>
      <c r="I35" s="561">
        <f t="shared" si="18"/>
        <v>0</v>
      </c>
      <c r="J35" s="559">
        <f t="shared" si="18"/>
        <v>0</v>
      </c>
      <c r="K35" s="559">
        <f t="shared" si="18"/>
        <v>0</v>
      </c>
      <c r="L35" s="147">
        <f t="shared" si="18"/>
        <v>0</v>
      </c>
      <c r="M35" s="147">
        <f t="shared" si="18"/>
        <v>0</v>
      </c>
      <c r="N35" s="534"/>
      <c r="O35" s="148">
        <f>+O36</f>
        <v>0</v>
      </c>
      <c r="P35" s="147">
        <f>H35+O35</f>
        <v>0</v>
      </c>
    </row>
    <row r="36" spans="1:33" ht="15.75" customHeight="1">
      <c r="A36" s="526">
        <f t="shared" si="12"/>
        <v>30</v>
      </c>
      <c r="B36" s="538"/>
      <c r="C36" s="562"/>
      <c r="D36" s="563"/>
      <c r="E36" s="563"/>
      <c r="F36" s="563"/>
      <c r="G36" s="532">
        <f>+C36+E36</f>
        <v>0</v>
      </c>
      <c r="H36" s="533">
        <f>+D36+F36</f>
        <v>0</v>
      </c>
      <c r="I36" s="564"/>
      <c r="J36" s="563"/>
      <c r="K36" s="563"/>
      <c r="L36" s="141">
        <f>+G36-H36</f>
        <v>0</v>
      </c>
      <c r="M36" s="141">
        <f>L36</f>
        <v>0</v>
      </c>
      <c r="N36" s="534"/>
      <c r="O36" s="565"/>
      <c r="P36" s="141">
        <f>H36+O36</f>
        <v>0</v>
      </c>
    </row>
    <row r="37" spans="1:33" ht="15.75" customHeight="1">
      <c r="A37" s="515">
        <f t="shared" si="12"/>
        <v>31</v>
      </c>
      <c r="B37" s="516" t="s">
        <v>109</v>
      </c>
      <c r="C37" s="134">
        <f t="shared" ref="C37:H37" si="19">SUM(C38:C40)</f>
        <v>3290</v>
      </c>
      <c r="D37" s="131">
        <f t="shared" si="19"/>
        <v>3290</v>
      </c>
      <c r="E37" s="131">
        <f t="shared" si="19"/>
        <v>0</v>
      </c>
      <c r="F37" s="131">
        <f t="shared" si="19"/>
        <v>0</v>
      </c>
      <c r="G37" s="131">
        <f t="shared" si="19"/>
        <v>3290</v>
      </c>
      <c r="H37" s="524">
        <f t="shared" si="19"/>
        <v>3290</v>
      </c>
      <c r="I37" s="528"/>
      <c r="J37" s="131">
        <f>SUM(J38:J40)</f>
        <v>0</v>
      </c>
      <c r="K37" s="131">
        <f>SUM(K38:K40)</f>
        <v>0</v>
      </c>
      <c r="L37" s="133">
        <f>SUM(L38:L40)</f>
        <v>0</v>
      </c>
      <c r="M37" s="133">
        <f>SUM(M38:M40)</f>
        <v>0</v>
      </c>
      <c r="N37" s="521"/>
      <c r="O37" s="134">
        <f>SUM(O38:O40)</f>
        <v>0</v>
      </c>
      <c r="P37" s="133">
        <f>SUM(P38:P40)</f>
        <v>3290</v>
      </c>
    </row>
    <row r="38" spans="1:33" ht="15.75" customHeight="1">
      <c r="A38" s="546">
        <f>A37+1</f>
        <v>32</v>
      </c>
      <c r="B38" s="566" t="s">
        <v>292</v>
      </c>
      <c r="C38" s="559">
        <v>818</v>
      </c>
      <c r="D38" s="559">
        <f>C38</f>
        <v>818</v>
      </c>
      <c r="E38" s="559">
        <v>0</v>
      </c>
      <c r="F38" s="559">
        <v>0</v>
      </c>
      <c r="G38" s="559">
        <f t="shared" ref="G38:H40" si="20">C38+E38</f>
        <v>818</v>
      </c>
      <c r="H38" s="560">
        <f t="shared" si="20"/>
        <v>818</v>
      </c>
      <c r="I38" s="561">
        <v>100</v>
      </c>
      <c r="J38" s="559">
        <v>0</v>
      </c>
      <c r="K38" s="559">
        <v>0</v>
      </c>
      <c r="L38" s="147">
        <f>G38-H38</f>
        <v>0</v>
      </c>
      <c r="M38" s="147">
        <f>L38</f>
        <v>0</v>
      </c>
      <c r="N38" s="534"/>
      <c r="O38" s="148">
        <v>0</v>
      </c>
      <c r="P38" s="147">
        <f>H38+O38</f>
        <v>818</v>
      </c>
    </row>
    <row r="39" spans="1:33" ht="15.75" customHeight="1">
      <c r="A39" s="546">
        <f>A38+1</f>
        <v>33</v>
      </c>
      <c r="B39" s="566" t="s">
        <v>293</v>
      </c>
      <c r="C39" s="559">
        <f>0+38+2134</f>
        <v>2172</v>
      </c>
      <c r="D39" s="559">
        <f>C39</f>
        <v>2172</v>
      </c>
      <c r="E39" s="559">
        <v>0</v>
      </c>
      <c r="F39" s="559">
        <v>0</v>
      </c>
      <c r="G39" s="559">
        <f t="shared" si="20"/>
        <v>2172</v>
      </c>
      <c r="H39" s="560">
        <f t="shared" si="20"/>
        <v>2172</v>
      </c>
      <c r="I39" s="561">
        <v>100</v>
      </c>
      <c r="J39" s="559">
        <v>0</v>
      </c>
      <c r="K39" s="559">
        <v>0</v>
      </c>
      <c r="L39" s="147">
        <f>G39-H39</f>
        <v>0</v>
      </c>
      <c r="M39" s="147">
        <f>L39</f>
        <v>0</v>
      </c>
      <c r="N39" s="534"/>
      <c r="O39" s="148">
        <v>0</v>
      </c>
      <c r="P39" s="147">
        <f>H39+O39</f>
        <v>2172</v>
      </c>
    </row>
    <row r="40" spans="1:33" ht="15.75" customHeight="1" thickBot="1">
      <c r="A40" s="546">
        <f>A39+1</f>
        <v>34</v>
      </c>
      <c r="B40" s="566" t="s">
        <v>294</v>
      </c>
      <c r="C40" s="559">
        <v>300</v>
      </c>
      <c r="D40" s="559">
        <f>C40</f>
        <v>300</v>
      </c>
      <c r="E40" s="559">
        <v>0</v>
      </c>
      <c r="F40" s="559">
        <v>0</v>
      </c>
      <c r="G40" s="559">
        <f t="shared" si="20"/>
        <v>300</v>
      </c>
      <c r="H40" s="560">
        <f t="shared" si="20"/>
        <v>300</v>
      </c>
      <c r="I40" s="561">
        <v>100</v>
      </c>
      <c r="J40" s="559">
        <v>0</v>
      </c>
      <c r="K40" s="559">
        <v>0</v>
      </c>
      <c r="L40" s="147">
        <f>G40-H40</f>
        <v>0</v>
      </c>
      <c r="M40" s="147">
        <f>L40</f>
        <v>0</v>
      </c>
      <c r="N40" s="534"/>
      <c r="O40" s="148">
        <v>0</v>
      </c>
      <c r="P40" s="147">
        <f>H40+O40</f>
        <v>300</v>
      </c>
    </row>
    <row r="41" spans="1:33" ht="15.75" customHeight="1" thickBot="1">
      <c r="A41" s="567">
        <f>A40+1</f>
        <v>35</v>
      </c>
      <c r="B41" s="568" t="s">
        <v>23</v>
      </c>
      <c r="C41" s="569">
        <f t="shared" ref="C41:H41" si="21">+C7+C21+C34+C37</f>
        <v>162683</v>
      </c>
      <c r="D41" s="570">
        <f t="shared" si="21"/>
        <v>161628</v>
      </c>
      <c r="E41" s="570">
        <f t="shared" si="21"/>
        <v>0</v>
      </c>
      <c r="F41" s="570">
        <f t="shared" si="21"/>
        <v>0</v>
      </c>
      <c r="G41" s="570">
        <f t="shared" si="21"/>
        <v>162683</v>
      </c>
      <c r="H41" s="571">
        <f t="shared" si="21"/>
        <v>161628</v>
      </c>
      <c r="I41" s="572"/>
      <c r="J41" s="570">
        <f>+J7+J21+J34+J37</f>
        <v>6071</v>
      </c>
      <c r="K41" s="570">
        <f>+K7+K21+K34+K37</f>
        <v>2203.2073600000003</v>
      </c>
      <c r="L41" s="573">
        <f>+L7+L21+L34+L37</f>
        <v>1055</v>
      </c>
      <c r="M41" s="573">
        <f>+M7+M21+M34+M37</f>
        <v>1055</v>
      </c>
      <c r="N41" s="574"/>
      <c r="O41" s="569">
        <f>+O7+O21+O34+O37</f>
        <v>218</v>
      </c>
      <c r="P41" s="573">
        <f>+P7+P21+P34+P37</f>
        <v>161846</v>
      </c>
    </row>
  </sheetData>
  <mergeCells count="24">
    <mergeCell ref="A4:A6"/>
    <mergeCell ref="B4:B6"/>
    <mergeCell ref="C4:D4"/>
    <mergeCell ref="E4:F4"/>
    <mergeCell ref="G4:H4"/>
    <mergeCell ref="I4:I5"/>
    <mergeCell ref="J4:J5"/>
    <mergeCell ref="K4:K5"/>
    <mergeCell ref="L4:L5"/>
    <mergeCell ref="M4:M5"/>
    <mergeCell ref="O4:O5"/>
    <mergeCell ref="P4:P5"/>
    <mergeCell ref="R4:R6"/>
    <mergeCell ref="S4:S6"/>
    <mergeCell ref="T4:U4"/>
    <mergeCell ref="V4:W4"/>
    <mergeCell ref="X4:Y4"/>
    <mergeCell ref="Z4:Z5"/>
    <mergeCell ref="AA4:AA5"/>
    <mergeCell ref="AB4:AB5"/>
    <mergeCell ref="AC4:AC5"/>
    <mergeCell ref="AD4:AD5"/>
    <mergeCell ref="AF4:AF5"/>
    <mergeCell ref="AG4:AG5"/>
  </mergeCell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AG34"/>
  <sheetViews>
    <sheetView zoomScale="85" zoomScaleNormal="85" workbookViewId="0">
      <selection activeCell="R1" sqref="R1:AG65536"/>
    </sheetView>
  </sheetViews>
  <sheetFormatPr defaultRowHeight="15"/>
  <cols>
    <col min="1" max="1" width="6.5703125" customWidth="1"/>
    <col min="2" max="2" width="54.42578125" customWidth="1"/>
    <col min="3" max="3" width="12.7109375" customWidth="1"/>
    <col min="4" max="4" width="11.5703125" customWidth="1"/>
    <col min="5" max="5" width="11.28515625" customWidth="1"/>
    <col min="6" max="6" width="11.5703125" customWidth="1"/>
    <col min="7" max="7" width="10.85546875" customWidth="1"/>
    <col min="8" max="9" width="10.42578125" customWidth="1"/>
    <col min="10" max="10" width="12.5703125" customWidth="1"/>
    <col min="11" max="11" width="10.5703125" customWidth="1"/>
    <col min="12" max="12" width="15" customWidth="1"/>
    <col min="13" max="13" width="12.42578125" customWidth="1"/>
    <col min="14" max="14" width="1.7109375" customWidth="1"/>
    <col min="15" max="15" width="11" customWidth="1"/>
    <col min="16" max="16" width="10.85546875" customWidth="1"/>
    <col min="18" max="18" width="9.42578125" hidden="1" customWidth="1"/>
    <col min="19" max="19" width="45.85546875" hidden="1" customWidth="1"/>
    <col min="20" max="20" width="12.7109375" hidden="1" customWidth="1"/>
    <col min="21" max="21" width="11.5703125" hidden="1" customWidth="1"/>
    <col min="22" max="22" width="11.28515625" hidden="1" customWidth="1"/>
    <col min="23" max="23" width="11.5703125" hidden="1" customWidth="1"/>
    <col min="24" max="25" width="12.140625" hidden="1" customWidth="1"/>
    <col min="26" max="26" width="10.42578125" hidden="1" customWidth="1"/>
    <col min="27" max="27" width="12.5703125" hidden="1" customWidth="1"/>
    <col min="28" max="28" width="10.5703125" hidden="1" customWidth="1"/>
    <col min="29" max="29" width="14" hidden="1" customWidth="1"/>
    <col min="30" max="30" width="12.42578125" hidden="1" customWidth="1"/>
    <col min="31" max="31" width="1.7109375" hidden="1" customWidth="1"/>
    <col min="32" max="32" width="11" hidden="1" customWidth="1"/>
    <col min="33" max="33" width="10.85546875" hidden="1" customWidth="1"/>
  </cols>
  <sheetData>
    <row r="1" spans="1:33" ht="15.75">
      <c r="A1" s="575" t="s">
        <v>295</v>
      </c>
      <c r="B1" s="576"/>
      <c r="C1" s="576"/>
      <c r="D1" s="576"/>
      <c r="E1" s="576"/>
      <c r="F1" s="576"/>
      <c r="G1" s="576"/>
      <c r="H1" s="576"/>
      <c r="I1" s="576"/>
      <c r="J1" s="576"/>
      <c r="K1" s="576"/>
      <c r="L1" s="576"/>
      <c r="M1" s="576"/>
      <c r="N1" s="577"/>
      <c r="O1" s="576"/>
      <c r="P1" s="576"/>
    </row>
    <row r="2" spans="1:33" ht="15.75">
      <c r="A2" s="575"/>
      <c r="B2" s="576" t="s">
        <v>296</v>
      </c>
      <c r="C2" s="576"/>
      <c r="D2" s="576"/>
      <c r="E2" s="576"/>
      <c r="F2" s="576"/>
      <c r="G2" s="576"/>
      <c r="H2" s="576"/>
      <c r="I2" s="576"/>
      <c r="J2" s="576"/>
      <c r="K2" s="576"/>
      <c r="L2" s="576"/>
      <c r="M2" s="576"/>
      <c r="N2" s="577"/>
      <c r="O2" s="576"/>
      <c r="P2" s="576"/>
    </row>
    <row r="3" spans="1:33" ht="15.75" thickBot="1">
      <c r="A3" s="576"/>
      <c r="B3" s="576"/>
      <c r="C3" s="576"/>
      <c r="D3" s="576"/>
      <c r="E3" s="576"/>
      <c r="F3" s="576"/>
      <c r="G3" s="576"/>
      <c r="H3" s="576"/>
      <c r="I3" s="576"/>
      <c r="J3" s="576"/>
      <c r="K3" s="576"/>
      <c r="L3" s="576"/>
      <c r="M3" s="576"/>
      <c r="N3" s="577"/>
      <c r="O3" s="576"/>
      <c r="P3" s="578" t="s">
        <v>2</v>
      </c>
    </row>
    <row r="4" spans="1:33">
      <c r="A4" s="1477" t="s">
        <v>1</v>
      </c>
      <c r="B4" s="1480" t="s">
        <v>297</v>
      </c>
      <c r="C4" s="1483" t="s">
        <v>298</v>
      </c>
      <c r="D4" s="1484"/>
      <c r="E4" s="1484" t="s">
        <v>299</v>
      </c>
      <c r="F4" s="1484"/>
      <c r="G4" s="1485" t="s">
        <v>300</v>
      </c>
      <c r="H4" s="1486"/>
      <c r="I4" s="1465" t="s">
        <v>301</v>
      </c>
      <c r="J4" s="1465" t="s">
        <v>302</v>
      </c>
      <c r="K4" s="1467" t="s">
        <v>303</v>
      </c>
      <c r="L4" s="1469" t="s">
        <v>304</v>
      </c>
      <c r="M4" s="1471" t="s">
        <v>305</v>
      </c>
      <c r="N4" s="579"/>
      <c r="O4" s="1473" t="s">
        <v>306</v>
      </c>
      <c r="P4" s="1475" t="s">
        <v>21</v>
      </c>
      <c r="R4" s="1357" t="s">
        <v>1</v>
      </c>
      <c r="S4" s="1354" t="s">
        <v>46</v>
      </c>
      <c r="T4" s="1360" t="s">
        <v>18</v>
      </c>
      <c r="U4" s="1361"/>
      <c r="V4" s="1361" t="s">
        <v>19</v>
      </c>
      <c r="W4" s="1361"/>
      <c r="X4" s="1364" t="s">
        <v>20</v>
      </c>
      <c r="Y4" s="1365"/>
      <c r="Z4" s="1349" t="s">
        <v>47</v>
      </c>
      <c r="AA4" s="1349" t="s">
        <v>48</v>
      </c>
      <c r="AB4" s="1351" t="s">
        <v>49</v>
      </c>
      <c r="AC4" s="1362" t="s">
        <v>62</v>
      </c>
      <c r="AD4" s="1370" t="s">
        <v>69</v>
      </c>
      <c r="AE4" s="1037"/>
      <c r="AF4" s="1366" t="s">
        <v>65</v>
      </c>
      <c r="AG4" s="1368" t="s">
        <v>21</v>
      </c>
    </row>
    <row r="5" spans="1:33">
      <c r="A5" s="1478"/>
      <c r="B5" s="1481"/>
      <c r="C5" s="580" t="s">
        <v>25</v>
      </c>
      <c r="D5" s="581" t="s">
        <v>16</v>
      </c>
      <c r="E5" s="580" t="s">
        <v>12</v>
      </c>
      <c r="F5" s="581" t="s">
        <v>16</v>
      </c>
      <c r="G5" s="581" t="s">
        <v>12</v>
      </c>
      <c r="H5" s="582" t="s">
        <v>16</v>
      </c>
      <c r="I5" s="1466"/>
      <c r="J5" s="1466"/>
      <c r="K5" s="1468"/>
      <c r="L5" s="1470"/>
      <c r="M5" s="1472"/>
      <c r="N5" s="579"/>
      <c r="O5" s="1474"/>
      <c r="P5" s="1476"/>
      <c r="R5" s="1358"/>
      <c r="S5" s="1355"/>
      <c r="T5" s="1077" t="s">
        <v>26</v>
      </c>
      <c r="U5" s="11" t="s">
        <v>50</v>
      </c>
      <c r="V5" s="10" t="s">
        <v>12</v>
      </c>
      <c r="W5" s="11" t="s">
        <v>16</v>
      </c>
      <c r="X5" s="11" t="s">
        <v>12</v>
      </c>
      <c r="Y5" s="33" t="s">
        <v>16</v>
      </c>
      <c r="Z5" s="1350"/>
      <c r="AA5" s="1350"/>
      <c r="AB5" s="1352"/>
      <c r="AC5" s="1363"/>
      <c r="AD5" s="1371"/>
      <c r="AE5" s="1037"/>
      <c r="AF5" s="1367"/>
      <c r="AG5" s="1369"/>
    </row>
    <row r="6" spans="1:33" ht="15.75" thickBot="1">
      <c r="A6" s="1479"/>
      <c r="B6" s="1482"/>
      <c r="C6" s="583" t="s">
        <v>4</v>
      </c>
      <c r="D6" s="584" t="s">
        <v>5</v>
      </c>
      <c r="E6" s="584" t="s">
        <v>6</v>
      </c>
      <c r="F6" s="584" t="s">
        <v>7</v>
      </c>
      <c r="G6" s="584" t="s">
        <v>13</v>
      </c>
      <c r="H6" s="585" t="s">
        <v>14</v>
      </c>
      <c r="I6" s="586" t="s">
        <v>28</v>
      </c>
      <c r="J6" s="586" t="s">
        <v>31</v>
      </c>
      <c r="K6" s="583" t="s">
        <v>9</v>
      </c>
      <c r="L6" s="587" t="s">
        <v>22</v>
      </c>
      <c r="M6" s="587" t="s">
        <v>63</v>
      </c>
      <c r="N6" s="579"/>
      <c r="O6" s="588" t="s">
        <v>10</v>
      </c>
      <c r="P6" s="587" t="s">
        <v>64</v>
      </c>
      <c r="R6" s="1359"/>
      <c r="S6" s="1356"/>
      <c r="T6" s="1078" t="s">
        <v>4</v>
      </c>
      <c r="U6" s="13" t="s">
        <v>5</v>
      </c>
      <c r="V6" s="13" t="s">
        <v>6</v>
      </c>
      <c r="W6" s="13" t="s">
        <v>7</v>
      </c>
      <c r="X6" s="13" t="s">
        <v>13</v>
      </c>
      <c r="Y6" s="34" t="s">
        <v>14</v>
      </c>
      <c r="Z6" s="45" t="s">
        <v>28</v>
      </c>
      <c r="AA6" s="45" t="s">
        <v>31</v>
      </c>
      <c r="AB6" s="32" t="s">
        <v>9</v>
      </c>
      <c r="AC6" s="14" t="s">
        <v>22</v>
      </c>
      <c r="AD6" s="14" t="s">
        <v>63</v>
      </c>
      <c r="AE6" s="1037"/>
      <c r="AF6" s="44" t="s">
        <v>10</v>
      </c>
      <c r="AG6" s="14" t="s">
        <v>64</v>
      </c>
    </row>
    <row r="7" spans="1:33" ht="15.75">
      <c r="A7" s="589">
        <v>1</v>
      </c>
      <c r="B7" s="590" t="s">
        <v>15</v>
      </c>
      <c r="C7" s="591">
        <f>+C8+C12</f>
        <v>67004</v>
      </c>
      <c r="D7" s="591">
        <f t="shared" ref="D7:L7" si="0">+D8+D12</f>
        <v>67004</v>
      </c>
      <c r="E7" s="591">
        <f t="shared" si="0"/>
        <v>0</v>
      </c>
      <c r="F7" s="591">
        <f t="shared" si="0"/>
        <v>0</v>
      </c>
      <c r="G7" s="591">
        <f t="shared" si="0"/>
        <v>67004</v>
      </c>
      <c r="H7" s="592">
        <f t="shared" si="0"/>
        <v>67004</v>
      </c>
      <c r="I7" s="593"/>
      <c r="J7" s="593">
        <f t="shared" si="0"/>
        <v>0</v>
      </c>
      <c r="K7" s="594">
        <f t="shared" si="0"/>
        <v>0</v>
      </c>
      <c r="L7" s="595">
        <f t="shared" si="0"/>
        <v>0</v>
      </c>
      <c r="M7" s="595">
        <f>+M8+M12</f>
        <v>0</v>
      </c>
      <c r="N7" s="596"/>
      <c r="O7" s="597">
        <f>+O8+O12</f>
        <v>0</v>
      </c>
      <c r="P7" s="591">
        <f>+P8+P12</f>
        <v>67004</v>
      </c>
      <c r="R7" s="24">
        <v>1</v>
      </c>
      <c r="S7" s="38" t="s">
        <v>15</v>
      </c>
      <c r="T7" s="54">
        <v>67004</v>
      </c>
      <c r="U7" s="55">
        <v>67004</v>
      </c>
      <c r="V7" s="55">
        <v>0</v>
      </c>
      <c r="W7" s="55">
        <v>0</v>
      </c>
      <c r="X7" s="55">
        <v>67004</v>
      </c>
      <c r="Y7" s="56">
        <v>67004</v>
      </c>
      <c r="Z7" s="75"/>
      <c r="AA7" s="75">
        <v>0</v>
      </c>
      <c r="AB7" s="57">
        <v>0</v>
      </c>
      <c r="AC7" s="58">
        <v>0</v>
      </c>
      <c r="AD7" s="58">
        <v>0</v>
      </c>
      <c r="AE7" s="1036"/>
      <c r="AF7" s="54">
        <v>0</v>
      </c>
      <c r="AG7" s="58">
        <v>67004</v>
      </c>
    </row>
    <row r="8" spans="1:33" ht="15.75">
      <c r="A8" s="589">
        <f>A7+1</f>
        <v>2</v>
      </c>
      <c r="B8" s="590" t="s">
        <v>35</v>
      </c>
      <c r="C8" s="598">
        <f t="shared" ref="C8:L8" si="1">SUM(C9:C11)</f>
        <v>55828</v>
      </c>
      <c r="D8" s="598">
        <f t="shared" si="1"/>
        <v>55828</v>
      </c>
      <c r="E8" s="598">
        <f t="shared" si="1"/>
        <v>0</v>
      </c>
      <c r="F8" s="598">
        <f t="shared" si="1"/>
        <v>0</v>
      </c>
      <c r="G8" s="598">
        <f t="shared" si="1"/>
        <v>55828</v>
      </c>
      <c r="H8" s="599">
        <f t="shared" si="1"/>
        <v>55828</v>
      </c>
      <c r="I8" s="600"/>
      <c r="J8" s="601">
        <f t="shared" si="1"/>
        <v>0</v>
      </c>
      <c r="K8" s="602">
        <f t="shared" si="1"/>
        <v>0</v>
      </c>
      <c r="L8" s="603">
        <f t="shared" si="1"/>
        <v>0</v>
      </c>
      <c r="M8" s="603">
        <f>SUM(M9:M11)</f>
        <v>0</v>
      </c>
      <c r="N8" s="604"/>
      <c r="O8" s="605">
        <f>SUM(O9:O11)</f>
        <v>0</v>
      </c>
      <c r="P8" s="603">
        <f>SUM(P9:P11)</f>
        <v>55828</v>
      </c>
      <c r="R8" s="48">
        <f>R7+1</f>
        <v>2</v>
      </c>
      <c r="S8" s="35" t="s">
        <v>35</v>
      </c>
      <c r="T8" s="59">
        <v>55828</v>
      </c>
      <c r="U8" s="60">
        <v>55828</v>
      </c>
      <c r="V8" s="60">
        <v>0</v>
      </c>
      <c r="W8" s="60">
        <v>0</v>
      </c>
      <c r="X8" s="60">
        <v>55828</v>
      </c>
      <c r="Y8" s="61">
        <v>55828</v>
      </c>
      <c r="Z8" s="77"/>
      <c r="AA8" s="78">
        <v>0</v>
      </c>
      <c r="AB8" s="62">
        <v>0</v>
      </c>
      <c r="AC8" s="63">
        <v>0</v>
      </c>
      <c r="AD8" s="63">
        <v>0</v>
      </c>
      <c r="AE8" s="1036"/>
      <c r="AF8" s="59">
        <v>0</v>
      </c>
      <c r="AG8" s="63">
        <v>55828</v>
      </c>
    </row>
    <row r="9" spans="1:33">
      <c r="A9" s="606">
        <f t="shared" ref="A9:A34" si="2">A8+1</f>
        <v>3</v>
      </c>
      <c r="B9" s="607" t="s">
        <v>307</v>
      </c>
      <c r="C9" s="608">
        <v>55648</v>
      </c>
      <c r="D9" s="608">
        <v>55648</v>
      </c>
      <c r="E9" s="608">
        <v>0</v>
      </c>
      <c r="F9" s="608">
        <v>0</v>
      </c>
      <c r="G9" s="608">
        <f t="shared" ref="G9:H21" si="3">+C9+E9</f>
        <v>55648</v>
      </c>
      <c r="H9" s="609">
        <f t="shared" si="3"/>
        <v>55648</v>
      </c>
      <c r="I9" s="610"/>
      <c r="J9" s="611"/>
      <c r="K9" s="612"/>
      <c r="L9" s="613">
        <f t="shared" ref="L9:L20" si="4">+G9-H9</f>
        <v>0</v>
      </c>
      <c r="M9" s="613"/>
      <c r="N9" s="596"/>
      <c r="O9" s="614"/>
      <c r="P9" s="613">
        <f t="shared" ref="P9:P33" si="5">H9+O9</f>
        <v>55648</v>
      </c>
      <c r="R9" s="25">
        <f t="shared" ref="R9:R34" si="6">R8+1</f>
        <v>3</v>
      </c>
      <c r="S9" s="36" t="s">
        <v>58</v>
      </c>
      <c r="T9" s="64">
        <v>55648</v>
      </c>
      <c r="U9" s="65">
        <v>55648</v>
      </c>
      <c r="V9" s="65">
        <v>0</v>
      </c>
      <c r="W9" s="65">
        <v>0</v>
      </c>
      <c r="X9" s="65">
        <v>55648</v>
      </c>
      <c r="Y9" s="66">
        <v>55648</v>
      </c>
      <c r="Z9" s="80"/>
      <c r="AA9" s="80"/>
      <c r="AB9" s="67"/>
      <c r="AC9" s="68">
        <v>0</v>
      </c>
      <c r="AD9" s="68"/>
      <c r="AE9" s="1036"/>
      <c r="AF9" s="64"/>
      <c r="AG9" s="68">
        <v>55648</v>
      </c>
    </row>
    <row r="10" spans="1:33">
      <c r="A10" s="606">
        <f t="shared" si="2"/>
        <v>4</v>
      </c>
      <c r="B10" s="607" t="s">
        <v>308</v>
      </c>
      <c r="C10" s="608">
        <v>180</v>
      </c>
      <c r="D10" s="608">
        <v>180</v>
      </c>
      <c r="E10" s="608"/>
      <c r="F10" s="608"/>
      <c r="G10" s="608">
        <f t="shared" si="3"/>
        <v>180</v>
      </c>
      <c r="H10" s="609">
        <f t="shared" si="3"/>
        <v>180</v>
      </c>
      <c r="I10" s="610"/>
      <c r="J10" s="611"/>
      <c r="K10" s="612"/>
      <c r="L10" s="613">
        <f t="shared" si="4"/>
        <v>0</v>
      </c>
      <c r="M10" s="613"/>
      <c r="N10" s="596"/>
      <c r="O10" s="614"/>
      <c r="P10" s="613">
        <f t="shared" si="5"/>
        <v>180</v>
      </c>
      <c r="R10" s="25">
        <f t="shared" si="6"/>
        <v>4</v>
      </c>
      <c r="S10" s="36" t="s">
        <v>36</v>
      </c>
      <c r="T10" s="64">
        <v>180</v>
      </c>
      <c r="U10" s="65">
        <v>180</v>
      </c>
      <c r="V10" s="65"/>
      <c r="W10" s="65"/>
      <c r="X10" s="65">
        <v>180</v>
      </c>
      <c r="Y10" s="249">
        <v>180</v>
      </c>
      <c r="Z10" s="80"/>
      <c r="AA10" s="80"/>
      <c r="AB10" s="67"/>
      <c r="AC10" s="68">
        <v>0</v>
      </c>
      <c r="AD10" s="68"/>
      <c r="AE10" s="1036"/>
      <c r="AF10" s="64"/>
      <c r="AG10" s="68">
        <v>180</v>
      </c>
    </row>
    <row r="11" spans="1:33" ht="15.75">
      <c r="A11" s="606">
        <f t="shared" si="2"/>
        <v>5</v>
      </c>
      <c r="B11" s="615" t="s">
        <v>30</v>
      </c>
      <c r="C11" s="608"/>
      <c r="D11" s="608"/>
      <c r="E11" s="608"/>
      <c r="F11" s="608"/>
      <c r="G11" s="608">
        <f t="shared" si="3"/>
        <v>0</v>
      </c>
      <c r="H11" s="609">
        <f t="shared" si="3"/>
        <v>0</v>
      </c>
      <c r="I11" s="610"/>
      <c r="J11" s="611"/>
      <c r="K11" s="612"/>
      <c r="L11" s="613">
        <f t="shared" si="4"/>
        <v>0</v>
      </c>
      <c r="M11" s="613"/>
      <c r="N11" s="596"/>
      <c r="O11" s="614"/>
      <c r="P11" s="613">
        <f t="shared" si="5"/>
        <v>0</v>
      </c>
      <c r="R11" s="25">
        <f t="shared" si="6"/>
        <v>5</v>
      </c>
      <c r="S11" s="37" t="s">
        <v>30</v>
      </c>
      <c r="T11" s="64"/>
      <c r="U11" s="65"/>
      <c r="V11" s="65"/>
      <c r="W11" s="65"/>
      <c r="X11" s="65">
        <v>0</v>
      </c>
      <c r="Y11" s="66">
        <v>0</v>
      </c>
      <c r="Z11" s="79"/>
      <c r="AA11" s="80"/>
      <c r="AB11" s="67"/>
      <c r="AC11" s="68">
        <v>0</v>
      </c>
      <c r="AD11" s="68"/>
      <c r="AE11" s="1036"/>
      <c r="AF11" s="64"/>
      <c r="AG11" s="68">
        <v>0</v>
      </c>
    </row>
    <row r="12" spans="1:33" ht="15.75">
      <c r="A12" s="589">
        <f t="shared" si="2"/>
        <v>6</v>
      </c>
      <c r="B12" s="590" t="s">
        <v>42</v>
      </c>
      <c r="C12" s="598">
        <f>+C13+C16+C18+C19</f>
        <v>11176</v>
      </c>
      <c r="D12" s="598">
        <f>+D13+D16+D18+D19</f>
        <v>11176</v>
      </c>
      <c r="E12" s="598">
        <f>+E13+E16+E18+E19</f>
        <v>0</v>
      </c>
      <c r="F12" s="598">
        <f>+F13+F16+F18+F19</f>
        <v>0</v>
      </c>
      <c r="G12" s="598">
        <f t="shared" si="3"/>
        <v>11176</v>
      </c>
      <c r="H12" s="599">
        <f t="shared" si="3"/>
        <v>11176</v>
      </c>
      <c r="I12" s="601"/>
      <c r="J12" s="601">
        <f>+J13+J16+J18+J19</f>
        <v>0</v>
      </c>
      <c r="K12" s="602">
        <f>+K13+K16+K18+K19</f>
        <v>0</v>
      </c>
      <c r="L12" s="603">
        <f t="shared" si="4"/>
        <v>0</v>
      </c>
      <c r="M12" s="603">
        <f>+M13+M16+M18+M19</f>
        <v>0</v>
      </c>
      <c r="N12" s="604"/>
      <c r="O12" s="605">
        <f>+O13+O16+O18+O19</f>
        <v>0</v>
      </c>
      <c r="P12" s="603">
        <f t="shared" si="5"/>
        <v>11176</v>
      </c>
      <c r="R12" s="48">
        <f t="shared" si="6"/>
        <v>6</v>
      </c>
      <c r="S12" s="35" t="s">
        <v>42</v>
      </c>
      <c r="T12" s="59">
        <v>11176</v>
      </c>
      <c r="U12" s="60">
        <v>11176</v>
      </c>
      <c r="V12" s="60">
        <v>0</v>
      </c>
      <c r="W12" s="60">
        <v>0</v>
      </c>
      <c r="X12" s="60">
        <v>11176</v>
      </c>
      <c r="Y12" s="61">
        <v>11176</v>
      </c>
      <c r="Z12" s="78"/>
      <c r="AA12" s="78">
        <v>0</v>
      </c>
      <c r="AB12" s="62">
        <v>0</v>
      </c>
      <c r="AC12" s="63">
        <v>0</v>
      </c>
      <c r="AD12" s="63">
        <v>0</v>
      </c>
      <c r="AE12" s="1036"/>
      <c r="AF12" s="59">
        <v>0</v>
      </c>
      <c r="AG12" s="63">
        <v>11176</v>
      </c>
    </row>
    <row r="13" spans="1:33" ht="15.75">
      <c r="A13" s="589">
        <f t="shared" si="2"/>
        <v>7</v>
      </c>
      <c r="B13" s="607" t="s">
        <v>51</v>
      </c>
      <c r="C13" s="616"/>
      <c r="D13" s="617"/>
      <c r="E13" s="617"/>
      <c r="F13" s="617"/>
      <c r="G13" s="608">
        <f t="shared" si="3"/>
        <v>0</v>
      </c>
      <c r="H13" s="609">
        <f t="shared" si="3"/>
        <v>0</v>
      </c>
      <c r="I13" s="610"/>
      <c r="J13" s="618"/>
      <c r="K13" s="616"/>
      <c r="L13" s="613">
        <f t="shared" si="4"/>
        <v>0</v>
      </c>
      <c r="M13" s="613"/>
      <c r="N13" s="604"/>
      <c r="O13" s="619"/>
      <c r="P13" s="613">
        <f t="shared" si="5"/>
        <v>0</v>
      </c>
      <c r="R13" s="29">
        <f t="shared" si="6"/>
        <v>7</v>
      </c>
      <c r="S13" s="36" t="s">
        <v>51</v>
      </c>
      <c r="T13" s="85"/>
      <c r="U13" s="82"/>
      <c r="V13" s="82"/>
      <c r="W13" s="82"/>
      <c r="X13" s="65">
        <v>0</v>
      </c>
      <c r="Y13" s="66">
        <v>0</v>
      </c>
      <c r="Z13" s="79"/>
      <c r="AA13" s="83"/>
      <c r="AB13" s="81"/>
      <c r="AC13" s="68">
        <v>0</v>
      </c>
      <c r="AD13" s="68"/>
      <c r="AE13" s="706"/>
      <c r="AF13" s="85"/>
      <c r="AG13" s="68">
        <v>0</v>
      </c>
    </row>
    <row r="14" spans="1:33" ht="15.75">
      <c r="A14" s="589"/>
      <c r="B14" s="607" t="s">
        <v>61</v>
      </c>
      <c r="C14" s="616"/>
      <c r="D14" s="617"/>
      <c r="E14" s="617"/>
      <c r="F14" s="617"/>
      <c r="G14" s="608">
        <f t="shared" si="3"/>
        <v>0</v>
      </c>
      <c r="H14" s="609">
        <f t="shared" si="3"/>
        <v>0</v>
      </c>
      <c r="I14" s="610"/>
      <c r="J14" s="618"/>
      <c r="K14" s="616"/>
      <c r="L14" s="613">
        <f t="shared" si="4"/>
        <v>0</v>
      </c>
      <c r="M14" s="613"/>
      <c r="N14" s="604"/>
      <c r="O14" s="619"/>
      <c r="P14" s="613">
        <f t="shared" si="5"/>
        <v>0</v>
      </c>
      <c r="R14" s="29"/>
      <c r="S14" s="36" t="s">
        <v>61</v>
      </c>
      <c r="T14" s="85"/>
      <c r="U14" s="82"/>
      <c r="V14" s="82"/>
      <c r="W14" s="82"/>
      <c r="X14" s="65">
        <v>0</v>
      </c>
      <c r="Y14" s="66">
        <v>0</v>
      </c>
      <c r="Z14" s="79"/>
      <c r="AA14" s="83"/>
      <c r="AB14" s="81"/>
      <c r="AC14" s="68">
        <v>0</v>
      </c>
      <c r="AD14" s="68"/>
      <c r="AE14" s="706"/>
      <c r="AF14" s="85"/>
      <c r="AG14" s="68">
        <v>0</v>
      </c>
    </row>
    <row r="15" spans="1:33" ht="15.75">
      <c r="A15" s="606">
        <f>A13+1</f>
        <v>8</v>
      </c>
      <c r="B15" s="615" t="s">
        <v>309</v>
      </c>
      <c r="C15" s="620"/>
      <c r="D15" s="621"/>
      <c r="E15" s="621"/>
      <c r="F15" s="621"/>
      <c r="G15" s="608">
        <f t="shared" si="3"/>
        <v>0</v>
      </c>
      <c r="H15" s="609">
        <f t="shared" si="3"/>
        <v>0</v>
      </c>
      <c r="I15" s="622"/>
      <c r="J15" s="622"/>
      <c r="K15" s="620"/>
      <c r="L15" s="613">
        <f t="shared" si="4"/>
        <v>0</v>
      </c>
      <c r="M15" s="613"/>
      <c r="N15" s="596"/>
      <c r="O15" s="623"/>
      <c r="P15" s="613">
        <f t="shared" si="5"/>
        <v>0</v>
      </c>
      <c r="R15" s="25">
        <f>R13+1</f>
        <v>8</v>
      </c>
      <c r="S15" s="37" t="s">
        <v>66</v>
      </c>
      <c r="T15" s="89"/>
      <c r="U15" s="87"/>
      <c r="V15" s="87"/>
      <c r="W15" s="87"/>
      <c r="X15" s="65">
        <v>0</v>
      </c>
      <c r="Y15" s="66">
        <v>0</v>
      </c>
      <c r="Z15" s="88"/>
      <c r="AA15" s="88"/>
      <c r="AB15" s="86"/>
      <c r="AC15" s="68">
        <v>0</v>
      </c>
      <c r="AD15" s="68"/>
      <c r="AE15" s="1036"/>
      <c r="AF15" s="89"/>
      <c r="AG15" s="68">
        <v>0</v>
      </c>
    </row>
    <row r="16" spans="1:33" ht="15.75">
      <c r="A16" s="589">
        <f t="shared" si="2"/>
        <v>9</v>
      </c>
      <c r="B16" s="607" t="s">
        <v>52</v>
      </c>
      <c r="C16" s="616"/>
      <c r="D16" s="617"/>
      <c r="E16" s="617"/>
      <c r="F16" s="617"/>
      <c r="G16" s="608">
        <f t="shared" si="3"/>
        <v>0</v>
      </c>
      <c r="H16" s="609">
        <f t="shared" si="3"/>
        <v>0</v>
      </c>
      <c r="I16" s="610"/>
      <c r="J16" s="618"/>
      <c r="K16" s="616"/>
      <c r="L16" s="613">
        <f t="shared" si="4"/>
        <v>0</v>
      </c>
      <c r="M16" s="613"/>
      <c r="N16" s="604"/>
      <c r="O16" s="619"/>
      <c r="P16" s="613">
        <f t="shared" si="5"/>
        <v>0</v>
      </c>
      <c r="R16" s="29">
        <f t="shared" si="6"/>
        <v>9</v>
      </c>
      <c r="S16" s="36" t="s">
        <v>52</v>
      </c>
      <c r="T16" s="85"/>
      <c r="U16" s="82"/>
      <c r="V16" s="82"/>
      <c r="W16" s="82"/>
      <c r="X16" s="65">
        <v>0</v>
      </c>
      <c r="Y16" s="66">
        <v>0</v>
      </c>
      <c r="Z16" s="79"/>
      <c r="AA16" s="83"/>
      <c r="AB16" s="81"/>
      <c r="AC16" s="68">
        <v>0</v>
      </c>
      <c r="AD16" s="68"/>
      <c r="AE16" s="706"/>
      <c r="AF16" s="85"/>
      <c r="AG16" s="68">
        <v>0</v>
      </c>
    </row>
    <row r="17" spans="1:33" ht="15.75">
      <c r="A17" s="606">
        <f t="shared" si="2"/>
        <v>10</v>
      </c>
      <c r="B17" s="615" t="s">
        <v>30</v>
      </c>
      <c r="C17" s="620"/>
      <c r="D17" s="621"/>
      <c r="E17" s="621"/>
      <c r="F17" s="621"/>
      <c r="G17" s="608">
        <f t="shared" si="3"/>
        <v>0</v>
      </c>
      <c r="H17" s="609">
        <f t="shared" si="3"/>
        <v>0</v>
      </c>
      <c r="I17" s="622"/>
      <c r="J17" s="622"/>
      <c r="K17" s="620"/>
      <c r="L17" s="613">
        <f t="shared" si="4"/>
        <v>0</v>
      </c>
      <c r="M17" s="613"/>
      <c r="N17" s="596"/>
      <c r="O17" s="623"/>
      <c r="P17" s="613">
        <f t="shared" si="5"/>
        <v>0</v>
      </c>
      <c r="R17" s="25">
        <f t="shared" si="6"/>
        <v>10</v>
      </c>
      <c r="S17" s="37" t="s">
        <v>30</v>
      </c>
      <c r="T17" s="89"/>
      <c r="U17" s="87"/>
      <c r="V17" s="87"/>
      <c r="W17" s="87"/>
      <c r="X17" s="65">
        <v>0</v>
      </c>
      <c r="Y17" s="66">
        <v>0</v>
      </c>
      <c r="Z17" s="88"/>
      <c r="AA17" s="88"/>
      <c r="AB17" s="86"/>
      <c r="AC17" s="68">
        <v>0</v>
      </c>
      <c r="AD17" s="68"/>
      <c r="AE17" s="1036"/>
      <c r="AF17" s="89"/>
      <c r="AG17" s="68">
        <v>0</v>
      </c>
    </row>
    <row r="18" spans="1:33" ht="15.75">
      <c r="A18" s="589">
        <f t="shared" si="2"/>
        <v>11</v>
      </c>
      <c r="B18" s="607" t="s">
        <v>310</v>
      </c>
      <c r="C18" s="620">
        <v>11176</v>
      </c>
      <c r="D18" s="621">
        <v>11176</v>
      </c>
      <c r="E18" s="617">
        <v>0</v>
      </c>
      <c r="F18" s="617">
        <v>0</v>
      </c>
      <c r="G18" s="608">
        <f t="shared" si="3"/>
        <v>11176</v>
      </c>
      <c r="H18" s="609">
        <f t="shared" si="3"/>
        <v>11176</v>
      </c>
      <c r="I18" s="618"/>
      <c r="J18" s="618"/>
      <c r="K18" s="616"/>
      <c r="L18" s="613">
        <f t="shared" si="4"/>
        <v>0</v>
      </c>
      <c r="M18" s="613"/>
      <c r="N18" s="604"/>
      <c r="O18" s="619"/>
      <c r="P18" s="613">
        <f t="shared" si="5"/>
        <v>11176</v>
      </c>
      <c r="R18" s="29">
        <f t="shared" si="6"/>
        <v>11</v>
      </c>
      <c r="S18" s="36" t="s">
        <v>37</v>
      </c>
      <c r="T18" s="85">
        <v>11176</v>
      </c>
      <c r="U18" s="82">
        <v>11176</v>
      </c>
      <c r="V18" s="82">
        <v>0</v>
      </c>
      <c r="W18" s="82">
        <v>0</v>
      </c>
      <c r="X18" s="65">
        <v>11176</v>
      </c>
      <c r="Y18" s="66">
        <v>11176</v>
      </c>
      <c r="Z18" s="83"/>
      <c r="AA18" s="83"/>
      <c r="AB18" s="81"/>
      <c r="AC18" s="68">
        <v>0</v>
      </c>
      <c r="AD18" s="68"/>
      <c r="AE18" s="706"/>
      <c r="AF18" s="85"/>
      <c r="AG18" s="68">
        <v>11176</v>
      </c>
    </row>
    <row r="19" spans="1:33" ht="15.75">
      <c r="A19" s="589">
        <f t="shared" si="2"/>
        <v>12</v>
      </c>
      <c r="B19" s="624" t="s">
        <v>38</v>
      </c>
      <c r="C19" s="616"/>
      <c r="D19" s="617"/>
      <c r="E19" s="617"/>
      <c r="F19" s="617"/>
      <c r="G19" s="608">
        <f t="shared" si="3"/>
        <v>0</v>
      </c>
      <c r="H19" s="609">
        <f t="shared" si="3"/>
        <v>0</v>
      </c>
      <c r="I19" s="618"/>
      <c r="J19" s="618"/>
      <c r="K19" s="616"/>
      <c r="L19" s="613">
        <f t="shared" si="4"/>
        <v>0</v>
      </c>
      <c r="M19" s="613"/>
      <c r="N19" s="604"/>
      <c r="O19" s="619"/>
      <c r="P19" s="613">
        <f t="shared" si="5"/>
        <v>0</v>
      </c>
      <c r="R19" s="29">
        <f t="shared" si="6"/>
        <v>12</v>
      </c>
      <c r="S19" s="50" t="s">
        <v>38</v>
      </c>
      <c r="T19" s="85"/>
      <c r="U19" s="82"/>
      <c r="V19" s="82"/>
      <c r="W19" s="82"/>
      <c r="X19" s="65">
        <v>0</v>
      </c>
      <c r="Y19" s="66">
        <v>0</v>
      </c>
      <c r="Z19" s="83"/>
      <c r="AA19" s="83"/>
      <c r="AB19" s="81"/>
      <c r="AC19" s="68">
        <v>0</v>
      </c>
      <c r="AD19" s="68"/>
      <c r="AE19" s="706"/>
      <c r="AF19" s="85"/>
      <c r="AG19" s="68">
        <v>0</v>
      </c>
    </row>
    <row r="20" spans="1:33" ht="15.75">
      <c r="A20" s="606">
        <f t="shared" si="2"/>
        <v>13</v>
      </c>
      <c r="B20" s="615" t="s">
        <v>30</v>
      </c>
      <c r="C20" s="620"/>
      <c r="D20" s="621"/>
      <c r="E20" s="621"/>
      <c r="F20" s="621"/>
      <c r="G20" s="608">
        <f t="shared" si="3"/>
        <v>0</v>
      </c>
      <c r="H20" s="609">
        <f t="shared" si="3"/>
        <v>0</v>
      </c>
      <c r="I20" s="622"/>
      <c r="J20" s="622"/>
      <c r="K20" s="620"/>
      <c r="L20" s="613">
        <f t="shared" si="4"/>
        <v>0</v>
      </c>
      <c r="M20" s="613"/>
      <c r="N20" s="596"/>
      <c r="O20" s="623"/>
      <c r="P20" s="613">
        <f t="shared" si="5"/>
        <v>0</v>
      </c>
      <c r="R20" s="25">
        <f t="shared" si="6"/>
        <v>13</v>
      </c>
      <c r="S20" s="37" t="s">
        <v>30</v>
      </c>
      <c r="T20" s="89"/>
      <c r="U20" s="87"/>
      <c r="V20" s="87"/>
      <c r="W20" s="87"/>
      <c r="X20" s="65">
        <v>0</v>
      </c>
      <c r="Y20" s="66">
        <v>0</v>
      </c>
      <c r="Z20" s="88"/>
      <c r="AA20" s="88"/>
      <c r="AB20" s="86"/>
      <c r="AC20" s="68">
        <v>0</v>
      </c>
      <c r="AD20" s="68"/>
      <c r="AE20" s="1036"/>
      <c r="AF20" s="89"/>
      <c r="AG20" s="68">
        <v>0</v>
      </c>
    </row>
    <row r="21" spans="1:33" ht="15.75">
      <c r="A21" s="589">
        <f t="shared" si="2"/>
        <v>14</v>
      </c>
      <c r="B21" s="590" t="s">
        <v>29</v>
      </c>
      <c r="C21" s="605">
        <f>+C22+C24+C26</f>
        <v>10560</v>
      </c>
      <c r="D21" s="598">
        <f>+D22+D24+D26</f>
        <v>10438</v>
      </c>
      <c r="E21" s="598">
        <f>+E22+E24+E26</f>
        <v>0</v>
      </c>
      <c r="F21" s="598">
        <f>+F22+F24+F26</f>
        <v>0</v>
      </c>
      <c r="G21" s="598">
        <f t="shared" si="3"/>
        <v>10560</v>
      </c>
      <c r="H21" s="599">
        <f t="shared" si="3"/>
        <v>10438</v>
      </c>
      <c r="I21" s="601"/>
      <c r="J21" s="601">
        <f>+J22+J24+J26</f>
        <v>2298</v>
      </c>
      <c r="K21" s="602">
        <f>+K22+K24+K26</f>
        <v>135</v>
      </c>
      <c r="L21" s="603"/>
      <c r="M21" s="603">
        <f>+M22+M24+M26</f>
        <v>0</v>
      </c>
      <c r="N21" s="604"/>
      <c r="O21" s="605">
        <f>+O22+O24+O26</f>
        <v>0</v>
      </c>
      <c r="P21" s="603">
        <f>H21+O21</f>
        <v>10438</v>
      </c>
      <c r="R21" s="24">
        <f t="shared" si="6"/>
        <v>14</v>
      </c>
      <c r="S21" s="38" t="s">
        <v>29</v>
      </c>
      <c r="T21" s="70">
        <v>10560</v>
      </c>
      <c r="U21" s="71">
        <v>10438</v>
      </c>
      <c r="V21" s="71">
        <v>0</v>
      </c>
      <c r="W21" s="71">
        <v>0</v>
      </c>
      <c r="X21" s="71">
        <v>10560</v>
      </c>
      <c r="Y21" s="72">
        <v>10438</v>
      </c>
      <c r="Z21" s="90"/>
      <c r="AA21" s="1252">
        <v>2298</v>
      </c>
      <c r="AB21" s="73">
        <v>135</v>
      </c>
      <c r="AC21" s="74"/>
      <c r="AD21" s="74">
        <v>0</v>
      </c>
      <c r="AE21" s="1036"/>
      <c r="AF21" s="70">
        <v>0</v>
      </c>
      <c r="AG21" s="74">
        <v>10438</v>
      </c>
    </row>
    <row r="22" spans="1:33" ht="15.75">
      <c r="A22" s="589">
        <f t="shared" si="2"/>
        <v>15</v>
      </c>
      <c r="B22" s="590" t="s">
        <v>311</v>
      </c>
      <c r="C22" s="608">
        <f>+C23</f>
        <v>0</v>
      </c>
      <c r="D22" s="608">
        <f t="shared" ref="D22:O22" si="7">+D23</f>
        <v>0</v>
      </c>
      <c r="E22" s="608">
        <f t="shared" si="7"/>
        <v>0</v>
      </c>
      <c r="F22" s="608">
        <f t="shared" si="7"/>
        <v>0</v>
      </c>
      <c r="G22" s="608">
        <f t="shared" si="7"/>
        <v>0</v>
      </c>
      <c r="H22" s="609">
        <f t="shared" si="7"/>
        <v>0</v>
      </c>
      <c r="I22" s="611"/>
      <c r="J22" s="611">
        <f t="shared" si="7"/>
        <v>0</v>
      </c>
      <c r="K22" s="612">
        <f t="shared" si="7"/>
        <v>0</v>
      </c>
      <c r="L22" s="613">
        <f t="shared" si="7"/>
        <v>0</v>
      </c>
      <c r="M22" s="613">
        <f t="shared" si="7"/>
        <v>0</v>
      </c>
      <c r="N22" s="596"/>
      <c r="O22" s="614">
        <f t="shared" si="7"/>
        <v>0</v>
      </c>
      <c r="P22" s="613">
        <f t="shared" si="5"/>
        <v>0</v>
      </c>
      <c r="R22" s="46">
        <f t="shared" si="6"/>
        <v>15</v>
      </c>
      <c r="S22" s="43" t="s">
        <v>53</v>
      </c>
      <c r="T22" s="59"/>
      <c r="U22" s="60"/>
      <c r="V22" s="60"/>
      <c r="W22" s="60"/>
      <c r="X22" s="60"/>
      <c r="Y22" s="61"/>
      <c r="Z22" s="78"/>
      <c r="AA22" s="78"/>
      <c r="AB22" s="62"/>
      <c r="AC22" s="63"/>
      <c r="AD22" s="63"/>
      <c r="AE22" s="1036"/>
      <c r="AF22" s="59"/>
      <c r="AG22" s="63"/>
    </row>
    <row r="23" spans="1:33" ht="15.75">
      <c r="A23" s="606">
        <f t="shared" si="2"/>
        <v>16</v>
      </c>
      <c r="B23" s="615" t="s">
        <v>60</v>
      </c>
      <c r="C23" s="620"/>
      <c r="D23" s="621"/>
      <c r="E23" s="621"/>
      <c r="F23" s="621"/>
      <c r="G23" s="608">
        <f>+C23+E23</f>
        <v>0</v>
      </c>
      <c r="H23" s="609">
        <f>+D23+F23</f>
        <v>0</v>
      </c>
      <c r="I23" s="622"/>
      <c r="J23" s="622"/>
      <c r="K23" s="620"/>
      <c r="L23" s="613">
        <f>+G23-H23</f>
        <v>0</v>
      </c>
      <c r="M23" s="613"/>
      <c r="N23" s="596"/>
      <c r="O23" s="623"/>
      <c r="P23" s="613">
        <f t="shared" si="5"/>
        <v>0</v>
      </c>
      <c r="R23" s="25">
        <f t="shared" si="6"/>
        <v>16</v>
      </c>
      <c r="S23" s="37" t="s">
        <v>60</v>
      </c>
      <c r="T23" s="89"/>
      <c r="U23" s="87"/>
      <c r="V23" s="87"/>
      <c r="W23" s="87"/>
      <c r="X23" s="65"/>
      <c r="Y23" s="66"/>
      <c r="Z23" s="88"/>
      <c r="AA23" s="88"/>
      <c r="AB23" s="86"/>
      <c r="AC23" s="68"/>
      <c r="AD23" s="68"/>
      <c r="AE23" s="1036"/>
      <c r="AF23" s="89"/>
      <c r="AG23" s="68"/>
    </row>
    <row r="24" spans="1:33" ht="15.75">
      <c r="A24" s="589">
        <f t="shared" si="2"/>
        <v>17</v>
      </c>
      <c r="B24" s="625" t="s">
        <v>59</v>
      </c>
      <c r="C24" s="608">
        <f>+C25</f>
        <v>10560</v>
      </c>
      <c r="D24" s="608">
        <f t="shared" ref="D24:O24" si="8">+D25</f>
        <v>10438</v>
      </c>
      <c r="E24" s="608">
        <f t="shared" si="8"/>
        <v>0</v>
      </c>
      <c r="F24" s="608">
        <f t="shared" si="8"/>
        <v>0</v>
      </c>
      <c r="G24" s="608">
        <f t="shared" si="8"/>
        <v>10560</v>
      </c>
      <c r="H24" s="609">
        <f t="shared" si="8"/>
        <v>10438</v>
      </c>
      <c r="I24" s="611"/>
      <c r="J24" s="611">
        <f t="shared" si="8"/>
        <v>2298</v>
      </c>
      <c r="K24" s="612">
        <f t="shared" si="8"/>
        <v>135</v>
      </c>
      <c r="L24" s="613">
        <f t="shared" si="8"/>
        <v>122</v>
      </c>
      <c r="M24" s="613">
        <f t="shared" si="8"/>
        <v>0</v>
      </c>
      <c r="N24" s="596"/>
      <c r="O24" s="614">
        <f t="shared" si="8"/>
        <v>0</v>
      </c>
      <c r="P24" s="613">
        <f t="shared" si="5"/>
        <v>10438</v>
      </c>
      <c r="R24" s="46">
        <f t="shared" si="6"/>
        <v>17</v>
      </c>
      <c r="S24" s="47" t="s">
        <v>59</v>
      </c>
      <c r="T24" s="59">
        <v>10560</v>
      </c>
      <c r="U24" s="60">
        <v>10438</v>
      </c>
      <c r="V24" s="60">
        <v>0</v>
      </c>
      <c r="W24" s="60">
        <v>0</v>
      </c>
      <c r="X24" s="60">
        <v>10560</v>
      </c>
      <c r="Y24" s="61">
        <v>10438</v>
      </c>
      <c r="Z24" s="78"/>
      <c r="AA24" s="78">
        <v>2298</v>
      </c>
      <c r="AB24" s="62">
        <v>135</v>
      </c>
      <c r="AC24" s="63">
        <v>122</v>
      </c>
      <c r="AD24" s="63">
        <v>0</v>
      </c>
      <c r="AE24" s="1036"/>
      <c r="AF24" s="59">
        <v>0</v>
      </c>
      <c r="AG24" s="63">
        <v>10438</v>
      </c>
    </row>
    <row r="25" spans="1:33" ht="15.75">
      <c r="A25" s="606">
        <f t="shared" si="2"/>
        <v>18</v>
      </c>
      <c r="B25" s="615" t="s">
        <v>312</v>
      </c>
      <c r="C25" s="620">
        <v>10560</v>
      </c>
      <c r="D25" s="621">
        <v>10438</v>
      </c>
      <c r="E25" s="621"/>
      <c r="F25" s="621"/>
      <c r="G25" s="608">
        <f>+C25+E25</f>
        <v>10560</v>
      </c>
      <c r="H25" s="609">
        <f>+D25+F25</f>
        <v>10438</v>
      </c>
      <c r="I25" s="622"/>
      <c r="J25" s="622">
        <v>2298</v>
      </c>
      <c r="K25" s="620">
        <v>135</v>
      </c>
      <c r="L25" s="613">
        <f>+G25-H25</f>
        <v>122</v>
      </c>
      <c r="M25" s="613"/>
      <c r="N25" s="596"/>
      <c r="O25" s="623"/>
      <c r="P25" s="613">
        <f t="shared" si="5"/>
        <v>10438</v>
      </c>
      <c r="R25" s="25">
        <f t="shared" si="6"/>
        <v>18</v>
      </c>
      <c r="S25" s="37" t="s">
        <v>60</v>
      </c>
      <c r="T25" s="89">
        <v>10560</v>
      </c>
      <c r="U25" s="87">
        <v>10438</v>
      </c>
      <c r="V25" s="87"/>
      <c r="W25" s="87"/>
      <c r="X25" s="65">
        <v>10560</v>
      </c>
      <c r="Y25" s="66">
        <v>10438</v>
      </c>
      <c r="Z25" s="88"/>
      <c r="AA25" s="88">
        <v>2298</v>
      </c>
      <c r="AB25" s="86">
        <v>135</v>
      </c>
      <c r="AC25" s="68">
        <v>122</v>
      </c>
      <c r="AD25" s="68"/>
      <c r="AE25" s="1036"/>
      <c r="AF25" s="89"/>
      <c r="AG25" s="68">
        <v>10438</v>
      </c>
    </row>
    <row r="26" spans="1:33" ht="15.75">
      <c r="A26" s="589">
        <f t="shared" si="2"/>
        <v>19</v>
      </c>
      <c r="B26" s="625" t="s">
        <v>54</v>
      </c>
      <c r="C26" s="608">
        <f>+C27</f>
        <v>0</v>
      </c>
      <c r="D26" s="608">
        <f t="shared" ref="D26:O26" si="9">+D27</f>
        <v>0</v>
      </c>
      <c r="E26" s="608">
        <f t="shared" si="9"/>
        <v>0</v>
      </c>
      <c r="F26" s="608">
        <f t="shared" si="9"/>
        <v>0</v>
      </c>
      <c r="G26" s="608">
        <f t="shared" si="9"/>
        <v>0</v>
      </c>
      <c r="H26" s="609">
        <f t="shared" si="9"/>
        <v>0</v>
      </c>
      <c r="I26" s="611"/>
      <c r="J26" s="611">
        <f t="shared" si="9"/>
        <v>0</v>
      </c>
      <c r="K26" s="612">
        <f t="shared" si="9"/>
        <v>0</v>
      </c>
      <c r="L26" s="613">
        <f t="shared" si="9"/>
        <v>0</v>
      </c>
      <c r="M26" s="613">
        <f t="shared" si="9"/>
        <v>0</v>
      </c>
      <c r="N26" s="596"/>
      <c r="O26" s="614">
        <f t="shared" si="9"/>
        <v>0</v>
      </c>
      <c r="P26" s="613">
        <f t="shared" si="5"/>
        <v>0</v>
      </c>
      <c r="R26" s="46">
        <f t="shared" si="6"/>
        <v>19</v>
      </c>
      <c r="S26" s="47" t="s">
        <v>54</v>
      </c>
      <c r="T26" s="59">
        <v>0</v>
      </c>
      <c r="U26" s="60">
        <v>0</v>
      </c>
      <c r="V26" s="60">
        <v>0</v>
      </c>
      <c r="W26" s="60">
        <v>0</v>
      </c>
      <c r="X26" s="60">
        <v>0</v>
      </c>
      <c r="Y26" s="61">
        <v>0</v>
      </c>
      <c r="Z26" s="78"/>
      <c r="AA26" s="78">
        <v>0</v>
      </c>
      <c r="AB26" s="62">
        <v>0</v>
      </c>
      <c r="AC26" s="63">
        <v>0</v>
      </c>
      <c r="AD26" s="63">
        <v>0</v>
      </c>
      <c r="AE26" s="1036"/>
      <c r="AF26" s="59">
        <v>0</v>
      </c>
      <c r="AG26" s="63">
        <v>0</v>
      </c>
    </row>
    <row r="27" spans="1:33" ht="15.75">
      <c r="A27" s="606">
        <f t="shared" si="2"/>
        <v>20</v>
      </c>
      <c r="B27" s="615" t="s">
        <v>60</v>
      </c>
      <c r="C27" s="626"/>
      <c r="D27" s="627"/>
      <c r="E27" s="627"/>
      <c r="F27" s="627"/>
      <c r="G27" s="608">
        <f>+C27+E27</f>
        <v>0</v>
      </c>
      <c r="H27" s="609">
        <f>+D27+F27</f>
        <v>0</v>
      </c>
      <c r="I27" s="628"/>
      <c r="J27" s="628"/>
      <c r="K27" s="626"/>
      <c r="L27" s="613">
        <f>+G27-H27</f>
        <v>0</v>
      </c>
      <c r="M27" s="613"/>
      <c r="N27" s="596"/>
      <c r="O27" s="629"/>
      <c r="P27" s="613">
        <f t="shared" si="5"/>
        <v>0</v>
      </c>
      <c r="R27" s="25">
        <f t="shared" si="6"/>
        <v>20</v>
      </c>
      <c r="S27" s="37" t="s">
        <v>60</v>
      </c>
      <c r="T27" s="94"/>
      <c r="U27" s="92"/>
      <c r="V27" s="92"/>
      <c r="W27" s="92"/>
      <c r="X27" s="65">
        <v>0</v>
      </c>
      <c r="Y27" s="66">
        <v>0</v>
      </c>
      <c r="Z27" s="93"/>
      <c r="AA27" s="93"/>
      <c r="AB27" s="91"/>
      <c r="AC27" s="68">
        <v>0</v>
      </c>
      <c r="AD27" s="68"/>
      <c r="AE27" s="1036"/>
      <c r="AF27" s="94"/>
      <c r="AG27" s="68">
        <v>0</v>
      </c>
    </row>
    <row r="28" spans="1:33" ht="15.75">
      <c r="A28" s="589">
        <f t="shared" si="2"/>
        <v>21</v>
      </c>
      <c r="B28" s="590" t="s">
        <v>27</v>
      </c>
      <c r="C28" s="614">
        <f>+C29</f>
        <v>0</v>
      </c>
      <c r="D28" s="608">
        <f t="shared" ref="D28:O29" si="10">+D29</f>
        <v>0</v>
      </c>
      <c r="E28" s="608">
        <f t="shared" si="10"/>
        <v>0</v>
      </c>
      <c r="F28" s="608">
        <f t="shared" si="10"/>
        <v>0</v>
      </c>
      <c r="G28" s="608">
        <f>+C28+E28</f>
        <v>0</v>
      </c>
      <c r="H28" s="609">
        <f>+D28+F28</f>
        <v>0</v>
      </c>
      <c r="I28" s="611"/>
      <c r="J28" s="611">
        <f>+J29</f>
        <v>0</v>
      </c>
      <c r="K28" s="612">
        <f>+K29</f>
        <v>0</v>
      </c>
      <c r="L28" s="613">
        <f>+G28-H28</f>
        <v>0</v>
      </c>
      <c r="M28" s="613">
        <f>+M29</f>
        <v>0</v>
      </c>
      <c r="N28" s="596"/>
      <c r="O28" s="614">
        <f>+O29</f>
        <v>0</v>
      </c>
      <c r="P28" s="613">
        <f>H28+O28</f>
        <v>0</v>
      </c>
      <c r="R28" s="24">
        <f t="shared" si="6"/>
        <v>21</v>
      </c>
      <c r="S28" s="38" t="s">
        <v>27</v>
      </c>
      <c r="T28" s="70">
        <v>0</v>
      </c>
      <c r="U28" s="71">
        <v>0</v>
      </c>
      <c r="V28" s="71">
        <v>0</v>
      </c>
      <c r="W28" s="71">
        <v>0</v>
      </c>
      <c r="X28" s="71">
        <v>0</v>
      </c>
      <c r="Y28" s="72">
        <v>0</v>
      </c>
      <c r="Z28" s="90"/>
      <c r="AA28" s="90">
        <v>0</v>
      </c>
      <c r="AB28" s="73">
        <v>0</v>
      </c>
      <c r="AC28" s="74">
        <v>0</v>
      </c>
      <c r="AD28" s="74">
        <v>0</v>
      </c>
      <c r="AE28" s="1036"/>
      <c r="AF28" s="70">
        <v>0</v>
      </c>
      <c r="AG28" s="74">
        <v>0</v>
      </c>
    </row>
    <row r="29" spans="1:33" ht="15.75">
      <c r="A29" s="589">
        <f t="shared" si="2"/>
        <v>22</v>
      </c>
      <c r="B29" s="590" t="s">
        <v>34</v>
      </c>
      <c r="C29" s="608">
        <f>+C30</f>
        <v>0</v>
      </c>
      <c r="D29" s="608">
        <f t="shared" si="10"/>
        <v>0</v>
      </c>
      <c r="E29" s="608">
        <f t="shared" si="10"/>
        <v>0</v>
      </c>
      <c r="F29" s="608">
        <f t="shared" si="10"/>
        <v>0</v>
      </c>
      <c r="G29" s="608">
        <f t="shared" si="10"/>
        <v>0</v>
      </c>
      <c r="H29" s="609">
        <f t="shared" si="10"/>
        <v>0</v>
      </c>
      <c r="I29" s="611"/>
      <c r="J29" s="611">
        <f t="shared" si="10"/>
        <v>0</v>
      </c>
      <c r="K29" s="612">
        <f t="shared" si="10"/>
        <v>0</v>
      </c>
      <c r="L29" s="613">
        <f t="shared" si="10"/>
        <v>0</v>
      </c>
      <c r="M29" s="613">
        <f t="shared" si="10"/>
        <v>0</v>
      </c>
      <c r="N29" s="596"/>
      <c r="O29" s="614">
        <f t="shared" si="10"/>
        <v>0</v>
      </c>
      <c r="P29" s="613">
        <f t="shared" si="5"/>
        <v>0</v>
      </c>
      <c r="R29" s="29">
        <f t="shared" si="6"/>
        <v>22</v>
      </c>
      <c r="S29" s="43" t="s">
        <v>34</v>
      </c>
      <c r="T29" s="59">
        <v>0</v>
      </c>
      <c r="U29" s="60">
        <v>0</v>
      </c>
      <c r="V29" s="60">
        <v>0</v>
      </c>
      <c r="W29" s="60">
        <v>0</v>
      </c>
      <c r="X29" s="60">
        <v>0</v>
      </c>
      <c r="Y29" s="61">
        <v>0</v>
      </c>
      <c r="Z29" s="78"/>
      <c r="AA29" s="78">
        <v>0</v>
      </c>
      <c r="AB29" s="62">
        <v>0</v>
      </c>
      <c r="AC29" s="63">
        <v>0</v>
      </c>
      <c r="AD29" s="63">
        <v>0</v>
      </c>
      <c r="AE29" s="1036"/>
      <c r="AF29" s="59">
        <v>0</v>
      </c>
      <c r="AG29" s="63">
        <v>0</v>
      </c>
    </row>
    <row r="30" spans="1:33" ht="15.75">
      <c r="A30" s="606">
        <f t="shared" si="2"/>
        <v>23</v>
      </c>
      <c r="B30" s="615" t="s">
        <v>60</v>
      </c>
      <c r="C30" s="626"/>
      <c r="D30" s="627"/>
      <c r="E30" s="627"/>
      <c r="F30" s="627"/>
      <c r="G30" s="608">
        <f>+C30+E30</f>
        <v>0</v>
      </c>
      <c r="H30" s="609">
        <f>+D30+F30</f>
        <v>0</v>
      </c>
      <c r="I30" s="628"/>
      <c r="J30" s="628"/>
      <c r="K30" s="626"/>
      <c r="L30" s="613">
        <f>+G30-H30</f>
        <v>0</v>
      </c>
      <c r="M30" s="613"/>
      <c r="N30" s="596"/>
      <c r="O30" s="629"/>
      <c r="P30" s="613">
        <f t="shared" si="5"/>
        <v>0</v>
      </c>
      <c r="R30" s="25">
        <f t="shared" si="6"/>
        <v>23</v>
      </c>
      <c r="S30" s="37" t="s">
        <v>60</v>
      </c>
      <c r="T30" s="94"/>
      <c r="U30" s="92"/>
      <c r="V30" s="92"/>
      <c r="W30" s="92"/>
      <c r="X30" s="65">
        <v>0</v>
      </c>
      <c r="Y30" s="66">
        <v>0</v>
      </c>
      <c r="Z30" s="93"/>
      <c r="AA30" s="93"/>
      <c r="AB30" s="91"/>
      <c r="AC30" s="68">
        <v>0</v>
      </c>
      <c r="AD30" s="68"/>
      <c r="AE30" s="1036"/>
      <c r="AF30" s="94"/>
      <c r="AG30" s="68">
        <v>0</v>
      </c>
    </row>
    <row r="31" spans="1:33" ht="15.75">
      <c r="A31" s="589">
        <f t="shared" si="2"/>
        <v>24</v>
      </c>
      <c r="B31" s="590" t="s">
        <v>109</v>
      </c>
      <c r="C31" s="614">
        <f>+C32</f>
        <v>0</v>
      </c>
      <c r="D31" s="608">
        <f t="shared" ref="D31:O32" si="11">+D32</f>
        <v>0</v>
      </c>
      <c r="E31" s="608">
        <f t="shared" si="11"/>
        <v>0</v>
      </c>
      <c r="F31" s="608">
        <f t="shared" si="11"/>
        <v>0</v>
      </c>
      <c r="G31" s="608">
        <f>+C31+E31</f>
        <v>0</v>
      </c>
      <c r="H31" s="609">
        <f>+D31+F31</f>
        <v>0</v>
      </c>
      <c r="I31" s="611"/>
      <c r="J31" s="611">
        <f>+J32</f>
        <v>0</v>
      </c>
      <c r="K31" s="612">
        <f>+K32</f>
        <v>0</v>
      </c>
      <c r="L31" s="613">
        <f>+G31-H31</f>
        <v>0</v>
      </c>
      <c r="M31" s="613">
        <f>+M32</f>
        <v>0</v>
      </c>
      <c r="N31" s="596"/>
      <c r="O31" s="614">
        <f>+O32</f>
        <v>0</v>
      </c>
      <c r="P31" s="613">
        <f>H31+O31</f>
        <v>0</v>
      </c>
      <c r="R31" s="24">
        <f t="shared" si="6"/>
        <v>24</v>
      </c>
      <c r="S31" s="38" t="s">
        <v>32</v>
      </c>
      <c r="T31" s="70">
        <v>0</v>
      </c>
      <c r="U31" s="71">
        <v>0</v>
      </c>
      <c r="V31" s="71">
        <v>0</v>
      </c>
      <c r="W31" s="71">
        <v>0</v>
      </c>
      <c r="X31" s="71">
        <v>0</v>
      </c>
      <c r="Y31" s="72">
        <v>0</v>
      </c>
      <c r="Z31" s="90"/>
      <c r="AA31" s="90">
        <v>0</v>
      </c>
      <c r="AB31" s="73">
        <v>0</v>
      </c>
      <c r="AC31" s="74">
        <v>0</v>
      </c>
      <c r="AD31" s="74">
        <v>0</v>
      </c>
      <c r="AE31" s="1036"/>
      <c r="AF31" s="70">
        <v>0</v>
      </c>
      <c r="AG31" s="74">
        <v>0</v>
      </c>
    </row>
    <row r="32" spans="1:33" ht="15.75">
      <c r="A32" s="589">
        <f t="shared" si="2"/>
        <v>25</v>
      </c>
      <c r="B32" s="625" t="s">
        <v>39</v>
      </c>
      <c r="C32" s="608">
        <f>+C33</f>
        <v>0</v>
      </c>
      <c r="D32" s="608">
        <f t="shared" si="11"/>
        <v>0</v>
      </c>
      <c r="E32" s="608">
        <f t="shared" si="11"/>
        <v>0</v>
      </c>
      <c r="F32" s="608">
        <f t="shared" si="11"/>
        <v>0</v>
      </c>
      <c r="G32" s="608">
        <f t="shared" si="11"/>
        <v>0</v>
      </c>
      <c r="H32" s="609">
        <f t="shared" si="11"/>
        <v>0</v>
      </c>
      <c r="I32" s="611"/>
      <c r="J32" s="611">
        <f t="shared" si="11"/>
        <v>0</v>
      </c>
      <c r="K32" s="612">
        <f t="shared" si="11"/>
        <v>0</v>
      </c>
      <c r="L32" s="613">
        <f t="shared" si="11"/>
        <v>0</v>
      </c>
      <c r="M32" s="613">
        <f t="shared" si="11"/>
        <v>0</v>
      </c>
      <c r="N32" s="596"/>
      <c r="O32" s="614">
        <f t="shared" si="11"/>
        <v>0</v>
      </c>
      <c r="P32" s="613">
        <f t="shared" si="5"/>
        <v>0</v>
      </c>
      <c r="R32" s="46">
        <f t="shared" si="6"/>
        <v>25</v>
      </c>
      <c r="S32" s="47" t="s">
        <v>39</v>
      </c>
      <c r="T32" s="59">
        <v>0</v>
      </c>
      <c r="U32" s="60">
        <v>0</v>
      </c>
      <c r="V32" s="60">
        <v>0</v>
      </c>
      <c r="W32" s="60">
        <v>0</v>
      </c>
      <c r="X32" s="60">
        <v>0</v>
      </c>
      <c r="Y32" s="61">
        <v>0</v>
      </c>
      <c r="Z32" s="78"/>
      <c r="AA32" s="78">
        <v>0</v>
      </c>
      <c r="AB32" s="62">
        <v>0</v>
      </c>
      <c r="AC32" s="63">
        <v>0</v>
      </c>
      <c r="AD32" s="63">
        <v>0</v>
      </c>
      <c r="AE32" s="1036"/>
      <c r="AF32" s="59">
        <v>0</v>
      </c>
      <c r="AG32" s="63">
        <v>0</v>
      </c>
    </row>
    <row r="33" spans="1:33" ht="16.5" thickBot="1">
      <c r="A33" s="606">
        <f t="shared" si="2"/>
        <v>26</v>
      </c>
      <c r="B33" s="615" t="s">
        <v>60</v>
      </c>
      <c r="C33" s="620"/>
      <c r="D33" s="621"/>
      <c r="E33" s="621"/>
      <c r="F33" s="621"/>
      <c r="G33" s="608">
        <f>+C33+E33</f>
        <v>0</v>
      </c>
      <c r="H33" s="609">
        <f>+D33+F33</f>
        <v>0</v>
      </c>
      <c r="I33" s="622"/>
      <c r="J33" s="622"/>
      <c r="K33" s="620"/>
      <c r="L33" s="613">
        <f>+G33-H33</f>
        <v>0</v>
      </c>
      <c r="M33" s="613"/>
      <c r="N33" s="596"/>
      <c r="O33" s="623"/>
      <c r="P33" s="613">
        <f t="shared" si="5"/>
        <v>0</v>
      </c>
      <c r="R33" s="25">
        <f t="shared" si="6"/>
        <v>26</v>
      </c>
      <c r="S33" s="37" t="s">
        <v>60</v>
      </c>
      <c r="T33" s="89"/>
      <c r="U33" s="87"/>
      <c r="V33" s="87"/>
      <c r="W33" s="87"/>
      <c r="X33" s="65">
        <v>0</v>
      </c>
      <c r="Y33" s="66">
        <v>0</v>
      </c>
      <c r="Z33" s="88"/>
      <c r="AA33" s="88"/>
      <c r="AB33" s="86"/>
      <c r="AC33" s="68">
        <v>0</v>
      </c>
      <c r="AD33" s="68"/>
      <c r="AE33" s="1036"/>
      <c r="AF33" s="89"/>
      <c r="AG33" s="68">
        <v>0</v>
      </c>
    </row>
    <row r="34" spans="1:33" ht="16.5" thickBot="1">
      <c r="A34" s="630">
        <f t="shared" si="2"/>
        <v>27</v>
      </c>
      <c r="B34" s="631" t="s">
        <v>23</v>
      </c>
      <c r="C34" s="632">
        <f t="shared" ref="C34:H34" si="12">+C7+C21+C28+C31</f>
        <v>77564</v>
      </c>
      <c r="D34" s="633">
        <f t="shared" si="12"/>
        <v>77442</v>
      </c>
      <c r="E34" s="633">
        <f t="shared" si="12"/>
        <v>0</v>
      </c>
      <c r="F34" s="633">
        <f t="shared" si="12"/>
        <v>0</v>
      </c>
      <c r="G34" s="633">
        <f t="shared" si="12"/>
        <v>77564</v>
      </c>
      <c r="H34" s="634">
        <f t="shared" si="12"/>
        <v>77442</v>
      </c>
      <c r="I34" s="635"/>
      <c r="J34" s="635">
        <f>+J7+J21+J28+J31</f>
        <v>2298</v>
      </c>
      <c r="K34" s="636">
        <f>+K7+K21+K28+K31</f>
        <v>135</v>
      </c>
      <c r="L34" s="637">
        <f>+L7+L21+L28+L31</f>
        <v>0</v>
      </c>
      <c r="M34" s="637">
        <f>+M7+M21+M28+M31</f>
        <v>0</v>
      </c>
      <c r="N34" s="638"/>
      <c r="O34" s="632">
        <f>+O7+O21+O28+O31</f>
        <v>0</v>
      </c>
      <c r="P34" s="637">
        <f>+P7+P21+P28+P31</f>
        <v>77442</v>
      </c>
      <c r="R34" s="31">
        <f t="shared" si="6"/>
        <v>27</v>
      </c>
      <c r="S34" s="39" t="s">
        <v>23</v>
      </c>
      <c r="T34" s="95">
        <v>77564</v>
      </c>
      <c r="U34" s="96">
        <v>77442</v>
      </c>
      <c r="V34" s="96">
        <v>0</v>
      </c>
      <c r="W34" s="96">
        <v>0</v>
      </c>
      <c r="X34" s="96">
        <v>77564</v>
      </c>
      <c r="Y34" s="97">
        <v>77442</v>
      </c>
      <c r="Z34" s="98"/>
      <c r="AA34" s="98">
        <v>2298</v>
      </c>
      <c r="AB34" s="99">
        <v>135</v>
      </c>
      <c r="AC34" s="100">
        <v>0</v>
      </c>
      <c r="AD34" s="100">
        <v>0</v>
      </c>
      <c r="AE34" s="101"/>
      <c r="AF34" s="95">
        <v>0</v>
      </c>
      <c r="AG34" s="100">
        <v>77442</v>
      </c>
    </row>
  </sheetData>
  <mergeCells count="24">
    <mergeCell ref="A4:A6"/>
    <mergeCell ref="B4:B6"/>
    <mergeCell ref="C4:D4"/>
    <mergeCell ref="E4:F4"/>
    <mergeCell ref="G4:H4"/>
    <mergeCell ref="I4:I5"/>
    <mergeCell ref="J4:J5"/>
    <mergeCell ref="K4:K5"/>
    <mergeCell ref="L4:L5"/>
    <mergeCell ref="M4:M5"/>
    <mergeCell ref="O4:O5"/>
    <mergeCell ref="P4:P5"/>
    <mergeCell ref="R4:R6"/>
    <mergeCell ref="S4:S6"/>
    <mergeCell ref="T4:U4"/>
    <mergeCell ref="V4:W4"/>
    <mergeCell ref="X4:Y4"/>
    <mergeCell ref="Z4:Z5"/>
    <mergeCell ref="AA4:AA5"/>
    <mergeCell ref="AB4:AB5"/>
    <mergeCell ref="AC4:AC5"/>
    <mergeCell ref="AD4:AD5"/>
    <mergeCell ref="AF4:AF5"/>
    <mergeCell ref="AG4:AG5"/>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27</vt:i4>
      </vt:variant>
    </vt:vector>
  </HeadingPairs>
  <TitlesOfParts>
    <vt:vector size="27" baseType="lpstr">
      <vt:lpstr>Součet</vt:lpstr>
      <vt:lpstr>UK</vt:lpstr>
      <vt:lpstr>JU</vt:lpstr>
      <vt:lpstr>UJEP</vt:lpstr>
      <vt:lpstr>MU</vt:lpstr>
      <vt:lpstr>UPOL</vt:lpstr>
      <vt:lpstr>VFU</vt:lpstr>
      <vt:lpstr>OU</vt:lpstr>
      <vt:lpstr>UHK</vt:lpstr>
      <vt:lpstr>SU</vt:lpstr>
      <vt:lpstr>ČVUT</vt:lpstr>
      <vt:lpstr>VŠCHT</vt:lpstr>
      <vt:lpstr>ZČU</vt:lpstr>
      <vt:lpstr>TUL</vt:lpstr>
      <vt:lpstr>UPa</vt:lpstr>
      <vt:lpstr>VUT</vt:lpstr>
      <vt:lpstr>VŠB_TUO</vt:lpstr>
      <vt:lpstr>UTB</vt:lpstr>
      <vt:lpstr>VŠE</vt:lpstr>
      <vt:lpstr>ČZU</vt:lpstr>
      <vt:lpstr>MENDELU</vt:lpstr>
      <vt:lpstr>AMU</vt:lpstr>
      <vt:lpstr>AVU</vt:lpstr>
      <vt:lpstr>VŠUP</vt:lpstr>
      <vt:lpstr>JAMU</vt:lpstr>
      <vt:lpstr>VŠPJ</vt:lpstr>
      <vt:lpstr>VŠTE</vt:lpstr>
    </vt:vector>
  </TitlesOfParts>
  <Company>Ministerstvo školství, mládeže a tělovýchovy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machackova</dc:creator>
  <cp:lastModifiedBy>Valášek Petr</cp:lastModifiedBy>
  <cp:lastPrinted>2018-07-31T08:39:31Z</cp:lastPrinted>
  <dcterms:created xsi:type="dcterms:W3CDTF">2010-10-08T09:48:15Z</dcterms:created>
  <dcterms:modified xsi:type="dcterms:W3CDTF">2019-01-25T08:56:18Z</dcterms:modified>
</cp:coreProperties>
</file>