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III\32_odbor\Oddělení  320\Výroční zpráva o hospodaření\sumarizované tabulky\za 2017\Tabulky postoupené VVŠ\"/>
    </mc:Choice>
  </mc:AlternateContent>
  <bookViews>
    <workbookView xWindow="0" yWindow="0" windowWidth="28800" windowHeight="12045" tabRatio="888" activeTab="18"/>
  </bookViews>
  <sheets>
    <sheet name="Soucet" sheetId="11" r:id="rId1"/>
    <sheet name="UK" sheetId="12" r:id="rId2"/>
    <sheet name="UJEP" sheetId="14" r:id="rId3"/>
    <sheet name="JU" sheetId="13" r:id="rId4"/>
    <sheet name="MU" sheetId="15" r:id="rId5"/>
    <sheet name="UPOL" sheetId="16" r:id="rId6"/>
    <sheet name="VFU" sheetId="17" r:id="rId7"/>
    <sheet name="OU" sheetId="18" r:id="rId8"/>
    <sheet name="UHK" sheetId="19" r:id="rId9"/>
    <sheet name="SU" sheetId="20" r:id="rId10"/>
    <sheet name="ČVUT" sheetId="21" r:id="rId11"/>
    <sheet name="VŠCHT" sheetId="22" r:id="rId12"/>
    <sheet name="ZČU" sheetId="23" r:id="rId13"/>
    <sheet name="TUL" sheetId="24" r:id="rId14"/>
    <sheet name="UPa" sheetId="25" r:id="rId15"/>
    <sheet name="VUT" sheetId="26" r:id="rId16"/>
    <sheet name="VŠB-TUO" sheetId="27" r:id="rId17"/>
    <sheet name="UTB" sheetId="28" r:id="rId18"/>
    <sheet name="VŠE" sheetId="29" r:id="rId19"/>
    <sheet name="ČZU" sheetId="30" r:id="rId20"/>
    <sheet name="MENDELU" sheetId="31" r:id="rId21"/>
    <sheet name="AMU" sheetId="32" r:id="rId22"/>
    <sheet name="AVU" sheetId="33" r:id="rId23"/>
    <sheet name="VŠUP" sheetId="34" r:id="rId24"/>
    <sheet name="JAMU" sheetId="35" r:id="rId25"/>
    <sheet name="VŠPJ" sheetId="36" r:id="rId26"/>
    <sheet name="VŠTE" sheetId="37" r:id="rId27"/>
  </sheets>
  <calcPr calcId="152511"/>
  <customWorkbookViews>
    <customWorkbookView name="Uldrichová Marie – osobní zobrazení" guid="{2AF6EA2A-E5C5-45EB-B6C4-875AD1E4E056}" mergeInterval="0" personalView="1" maximized="1" windowWidth="1676" windowHeight="755" tabRatio="823" activeSheetId="10"/>
  </customWorkbookViews>
</workbook>
</file>

<file path=xl/calcChain.xml><?xml version="1.0" encoding="utf-8"?>
<calcChain xmlns="http://schemas.openxmlformats.org/spreadsheetml/2006/main">
  <c r="L14" i="37" l="1"/>
  <c r="K14" i="37"/>
  <c r="J14" i="37"/>
  <c r="L14" i="36"/>
  <c r="K14" i="36"/>
  <c r="J14" i="36"/>
  <c r="L14" i="35"/>
  <c r="K14" i="35"/>
  <c r="J14" i="35"/>
  <c r="L14" i="34"/>
  <c r="K14" i="34"/>
  <c r="J14" i="34"/>
  <c r="L14" i="33"/>
  <c r="K14" i="33"/>
  <c r="J14" i="33"/>
  <c r="L14" i="32"/>
  <c r="K14" i="32"/>
  <c r="J14" i="32"/>
  <c r="L14" i="31"/>
  <c r="K14" i="31"/>
  <c r="J14" i="31"/>
  <c r="L14" i="30"/>
  <c r="K14" i="30"/>
  <c r="J14" i="30"/>
  <c r="L14" i="29"/>
  <c r="K14" i="29"/>
  <c r="J14" i="29"/>
  <c r="L14" i="28"/>
  <c r="K14" i="28"/>
  <c r="J14" i="28"/>
  <c r="L14" i="27"/>
  <c r="K14" i="27"/>
  <c r="J14" i="27"/>
  <c r="L14" i="26"/>
  <c r="K14" i="26"/>
  <c r="J14" i="26"/>
  <c r="L14" i="25"/>
  <c r="K14" i="25"/>
  <c r="J14" i="25"/>
  <c r="L14" i="24"/>
  <c r="K14" i="24"/>
  <c r="J14" i="24"/>
  <c r="L14" i="23"/>
  <c r="K14" i="23"/>
  <c r="J14" i="23"/>
  <c r="L14" i="22"/>
  <c r="K14" i="22"/>
  <c r="J14" i="22"/>
  <c r="L14" i="21"/>
  <c r="K14" i="21"/>
  <c r="J14" i="21"/>
  <c r="L14" i="20"/>
  <c r="K14" i="20"/>
  <c r="J14" i="20"/>
  <c r="L14" i="19"/>
  <c r="K14" i="19"/>
  <c r="J14" i="19"/>
  <c r="L14" i="18"/>
  <c r="K14" i="18"/>
  <c r="J14" i="18"/>
  <c r="L14" i="17"/>
  <c r="K14" i="17"/>
  <c r="J14" i="17"/>
  <c r="L14" i="16"/>
  <c r="K14" i="16"/>
  <c r="J14" i="16"/>
  <c r="L14" i="15"/>
  <c r="K14" i="15"/>
  <c r="J14" i="15"/>
  <c r="L14" i="13"/>
  <c r="K14" i="13"/>
  <c r="J14" i="13"/>
  <c r="L14" i="14"/>
  <c r="K14" i="14"/>
  <c r="J14" i="14"/>
  <c r="E10" i="37"/>
  <c r="D10" i="37"/>
  <c r="C10" i="37"/>
  <c r="L10" i="37"/>
  <c r="J10" i="37"/>
  <c r="L10" i="36"/>
  <c r="J10" i="36"/>
  <c r="L10" i="35"/>
  <c r="J10" i="35"/>
  <c r="L10" i="34"/>
  <c r="J10" i="34"/>
  <c r="L10" i="33"/>
  <c r="J10" i="33"/>
  <c r="L10" i="32"/>
  <c r="J10" i="32"/>
  <c r="L10" i="31"/>
  <c r="J10" i="31"/>
  <c r="L10" i="30"/>
  <c r="J10" i="30"/>
  <c r="L10" i="29"/>
  <c r="J10" i="29"/>
  <c r="L10" i="28"/>
  <c r="J10" i="28"/>
  <c r="L10" i="27"/>
  <c r="J10" i="27"/>
  <c r="L10" i="26"/>
  <c r="J10" i="26"/>
  <c r="L10" i="25"/>
  <c r="J10" i="25"/>
  <c r="L10" i="24"/>
  <c r="J10" i="24"/>
  <c r="L10" i="23"/>
  <c r="J10" i="23"/>
  <c r="L10" i="22"/>
  <c r="J10" i="22"/>
  <c r="L10" i="21"/>
  <c r="J10" i="21"/>
  <c r="L10" i="20"/>
  <c r="J10" i="20"/>
  <c r="L10" i="19"/>
  <c r="J10" i="19"/>
  <c r="L10" i="18"/>
  <c r="J10" i="18"/>
  <c r="L10" i="17"/>
  <c r="J10" i="17"/>
  <c r="L10" i="16"/>
  <c r="J10" i="16"/>
  <c r="L10" i="15"/>
  <c r="J10" i="15"/>
  <c r="L10" i="13"/>
  <c r="J10" i="13"/>
  <c r="L10" i="14"/>
  <c r="J10" i="14"/>
  <c r="L10" i="12"/>
  <c r="J10" i="12"/>
  <c r="J14" i="12"/>
  <c r="J5" i="12"/>
  <c r="L5" i="12"/>
  <c r="K5" i="12"/>
  <c r="L5" i="37"/>
  <c r="K5" i="37"/>
  <c r="J5" i="37"/>
  <c r="L5" i="36"/>
  <c r="K5" i="36"/>
  <c r="J5" i="36"/>
  <c r="L5" i="35"/>
  <c r="K5" i="35"/>
  <c r="J5" i="35"/>
  <c r="L5" i="34"/>
  <c r="K5" i="34"/>
  <c r="J5" i="34"/>
  <c r="L5" i="33"/>
  <c r="K5" i="33"/>
  <c r="J5" i="33"/>
  <c r="L5" i="32"/>
  <c r="K5" i="32"/>
  <c r="J5" i="32"/>
  <c r="L5" i="31"/>
  <c r="K5" i="31"/>
  <c r="J5" i="31"/>
  <c r="L5" i="30"/>
  <c r="K5" i="30"/>
  <c r="J5" i="30"/>
  <c r="L5" i="29"/>
  <c r="K5" i="29"/>
  <c r="J5" i="29"/>
  <c r="L5" i="28"/>
  <c r="K5" i="28"/>
  <c r="J5" i="28"/>
  <c r="L5" i="27"/>
  <c r="K5" i="27"/>
  <c r="J5" i="27"/>
  <c r="L5" i="26"/>
  <c r="K5" i="26"/>
  <c r="J5" i="26"/>
  <c r="L5" i="25"/>
  <c r="K5" i="25"/>
  <c r="J5" i="25"/>
  <c r="L5" i="24"/>
  <c r="K5" i="24"/>
  <c r="J5" i="24"/>
  <c r="L5" i="23"/>
  <c r="K5" i="23"/>
  <c r="J5" i="23"/>
  <c r="L5" i="22"/>
  <c r="K5" i="22"/>
  <c r="J5" i="22"/>
  <c r="L5" i="21"/>
  <c r="K5" i="21"/>
  <c r="J5" i="21"/>
  <c r="L5" i="20"/>
  <c r="K5" i="20"/>
  <c r="J5" i="20"/>
  <c r="L5" i="19"/>
  <c r="K5" i="19"/>
  <c r="J5" i="19"/>
  <c r="L5" i="18"/>
  <c r="K5" i="18"/>
  <c r="J5" i="18"/>
  <c r="L5" i="17"/>
  <c r="K5" i="17"/>
  <c r="J5" i="17"/>
  <c r="L5" i="16"/>
  <c r="K5" i="16"/>
  <c r="J5" i="16"/>
  <c r="L5" i="15"/>
  <c r="K5" i="15"/>
  <c r="J5" i="15"/>
  <c r="L5" i="14"/>
  <c r="K5" i="14"/>
  <c r="J5" i="14"/>
  <c r="L5" i="13"/>
  <c r="K5" i="13"/>
  <c r="J5" i="13"/>
  <c r="J13" i="11"/>
  <c r="N13" i="11"/>
  <c r="I13" i="11"/>
  <c r="M13" i="11"/>
  <c r="H13" i="11"/>
  <c r="L13" i="11"/>
  <c r="J12" i="11"/>
  <c r="N12" i="11"/>
  <c r="I12" i="11"/>
  <c r="M12" i="11"/>
  <c r="H12" i="11"/>
  <c r="L12" i="11"/>
  <c r="J11" i="11"/>
  <c r="N11" i="11"/>
  <c r="I11" i="11"/>
  <c r="M11" i="11"/>
  <c r="H11" i="11"/>
  <c r="L11" i="11"/>
  <c r="I10" i="11"/>
  <c r="M10" i="11"/>
  <c r="J9" i="11"/>
  <c r="N9" i="11"/>
  <c r="I9" i="11"/>
  <c r="M9" i="11"/>
  <c r="H9" i="11"/>
  <c r="L9" i="11"/>
  <c r="J8" i="11"/>
  <c r="N8" i="11"/>
  <c r="I8" i="11"/>
  <c r="M8" i="11"/>
  <c r="H8" i="11"/>
  <c r="L8" i="11"/>
  <c r="J7" i="11"/>
  <c r="N7" i="11"/>
  <c r="I7" i="11"/>
  <c r="M7" i="11"/>
  <c r="H7" i="11"/>
  <c r="L7" i="11"/>
  <c r="J6" i="11"/>
  <c r="N6" i="11"/>
  <c r="I6" i="11"/>
  <c r="M6" i="11"/>
  <c r="H6" i="11"/>
  <c r="L6" i="11"/>
  <c r="C13" i="11"/>
  <c r="C10" i="11"/>
  <c r="C12" i="11"/>
  <c r="C11" i="11"/>
  <c r="C9" i="11"/>
  <c r="C8" i="11"/>
  <c r="F8" i="11"/>
  <c r="C7" i="11"/>
  <c r="C6" i="11"/>
  <c r="L13" i="32"/>
  <c r="K13" i="32"/>
  <c r="J13" i="32"/>
  <c r="E12" i="11"/>
  <c r="F12" i="11"/>
  <c r="E11" i="11"/>
  <c r="F11" i="11"/>
  <c r="E9" i="11"/>
  <c r="F9" i="11"/>
  <c r="E8" i="11"/>
  <c r="E7" i="11"/>
  <c r="F7" i="11"/>
  <c r="E6" i="11"/>
  <c r="F6" i="11"/>
  <c r="D13" i="11"/>
  <c r="D12" i="11"/>
  <c r="D11" i="11"/>
  <c r="D9" i="11"/>
  <c r="D8" i="11"/>
  <c r="D7" i="11"/>
  <c r="D6" i="11"/>
  <c r="D5" i="11"/>
  <c r="D14" i="11"/>
  <c r="L13" i="37"/>
  <c r="K13" i="37"/>
  <c r="J13" i="37"/>
  <c r="L13" i="36"/>
  <c r="J13" i="36"/>
  <c r="L13" i="35"/>
  <c r="J13" i="35"/>
  <c r="L13" i="34"/>
  <c r="J13" i="34"/>
  <c r="L13" i="31"/>
  <c r="J13" i="31"/>
  <c r="L13" i="30"/>
  <c r="J13" i="30"/>
  <c r="M13" i="29"/>
  <c r="M12" i="29"/>
  <c r="M11" i="29"/>
  <c r="M9" i="29"/>
  <c r="M7" i="29"/>
  <c r="M6" i="29"/>
  <c r="L13" i="28"/>
  <c r="K13" i="28"/>
  <c r="J13" i="28"/>
  <c r="L13" i="27"/>
  <c r="J13" i="27"/>
  <c r="L13" i="26"/>
  <c r="J13" i="26"/>
  <c r="L13" i="25"/>
  <c r="K13" i="25"/>
  <c r="J13" i="25"/>
  <c r="L13" i="23"/>
  <c r="E13" i="11"/>
  <c r="K13" i="23"/>
  <c r="J13" i="23"/>
  <c r="L13" i="21"/>
  <c r="K13" i="21"/>
  <c r="J13" i="21"/>
  <c r="L13" i="20"/>
  <c r="K13" i="20"/>
  <c r="J13" i="20"/>
  <c r="L13" i="18"/>
  <c r="K13" i="18"/>
  <c r="J13" i="18"/>
  <c r="L13" i="17"/>
  <c r="K13" i="17"/>
  <c r="J13" i="17"/>
  <c r="L13" i="15"/>
  <c r="K13" i="15"/>
  <c r="J13" i="15"/>
  <c r="L13" i="14"/>
  <c r="K13" i="14"/>
  <c r="J13" i="14"/>
  <c r="L13" i="12"/>
  <c r="K13" i="12"/>
  <c r="J13" i="12"/>
  <c r="L14" i="12"/>
  <c r="K14" i="12"/>
  <c r="E14" i="37"/>
  <c r="F13" i="37"/>
  <c r="F11" i="37"/>
  <c r="E9" i="37"/>
  <c r="D7" i="37"/>
  <c r="E7" i="37"/>
  <c r="E6" i="37"/>
  <c r="E5" i="37"/>
  <c r="E15" i="37"/>
  <c r="C5" i="37"/>
  <c r="C15" i="37"/>
  <c r="E9" i="36"/>
  <c r="D9" i="36"/>
  <c r="C9" i="36"/>
  <c r="E5" i="36"/>
  <c r="E16" i="36"/>
  <c r="D5" i="36"/>
  <c r="D16" i="36"/>
  <c r="C5" i="36"/>
  <c r="C16" i="36"/>
  <c r="D5" i="37"/>
  <c r="D15" i="37"/>
  <c r="E13" i="35"/>
  <c r="F13" i="35"/>
  <c r="C13" i="35"/>
  <c r="E12" i="35"/>
  <c r="C12" i="35"/>
  <c r="F12" i="35"/>
  <c r="E11" i="35"/>
  <c r="C11" i="35"/>
  <c r="F11" i="35"/>
  <c r="E10" i="35"/>
  <c r="F7" i="35"/>
  <c r="E6" i="35"/>
  <c r="E5" i="35"/>
  <c r="E15" i="35"/>
  <c r="C6" i="35"/>
  <c r="D5" i="35"/>
  <c r="D15" i="35"/>
  <c r="C5" i="35"/>
  <c r="E20" i="34"/>
  <c r="A13" i="34"/>
  <c r="A14" i="34"/>
  <c r="A15" i="34"/>
  <c r="A16" i="34"/>
  <c r="A17" i="34"/>
  <c r="A18" i="34"/>
  <c r="E10" i="34"/>
  <c r="C10" i="34"/>
  <c r="E5" i="34"/>
  <c r="D5" i="34"/>
  <c r="D20" i="34"/>
  <c r="C5" i="34"/>
  <c r="C20" i="34"/>
  <c r="E10" i="33"/>
  <c r="C10" i="33"/>
  <c r="E5" i="33"/>
  <c r="E14" i="33"/>
  <c r="D5" i="33"/>
  <c r="D14" i="33"/>
  <c r="C5" i="33"/>
  <c r="C14" i="33"/>
  <c r="E20" i="32"/>
  <c r="F20" i="32"/>
  <c r="E19" i="32"/>
  <c r="F19" i="32"/>
  <c r="F18" i="32"/>
  <c r="E18" i="32"/>
  <c r="C18" i="32"/>
  <c r="F17" i="32"/>
  <c r="E17" i="32"/>
  <c r="C17" i="32"/>
  <c r="F16" i="32"/>
  <c r="E16" i="32"/>
  <c r="C16" i="32"/>
  <c r="F15" i="32"/>
  <c r="E15" i="32"/>
  <c r="C15" i="32"/>
  <c r="A15" i="32"/>
  <c r="A16" i="32"/>
  <c r="A17" i="32"/>
  <c r="A18" i="32"/>
  <c r="A19" i="32"/>
  <c r="A20" i="32"/>
  <c r="A21" i="32"/>
  <c r="F13" i="32"/>
  <c r="E12" i="32"/>
  <c r="F12" i="32"/>
  <c r="E11" i="32"/>
  <c r="E10" i="32"/>
  <c r="D10" i="32"/>
  <c r="C10" i="32"/>
  <c r="F9" i="32"/>
  <c r="E9" i="32"/>
  <c r="E7" i="32"/>
  <c r="F7" i="32"/>
  <c r="F6" i="32"/>
  <c r="E6" i="32"/>
  <c r="D5" i="32"/>
  <c r="C5" i="32"/>
  <c r="F6" i="35"/>
  <c r="C10" i="35"/>
  <c r="C15" i="35"/>
  <c r="F11" i="32"/>
  <c r="E5" i="32"/>
  <c r="E10" i="31"/>
  <c r="C10" i="31"/>
  <c r="E5" i="31"/>
  <c r="E16" i="31"/>
  <c r="D5" i="31"/>
  <c r="D16" i="31"/>
  <c r="C5" i="31"/>
  <c r="C16" i="31"/>
  <c r="D24" i="30"/>
  <c r="E10" i="30"/>
  <c r="C10" i="30"/>
  <c r="E5" i="30"/>
  <c r="E24" i="30"/>
  <c r="D5" i="30"/>
  <c r="C5" i="30"/>
  <c r="C24" i="30"/>
  <c r="F13" i="29"/>
  <c r="F12" i="29"/>
  <c r="F11" i="29"/>
  <c r="E10" i="29"/>
  <c r="C10" i="29"/>
  <c r="C14" i="29"/>
  <c r="F9" i="29"/>
  <c r="F7" i="29"/>
  <c r="F6" i="29"/>
  <c r="E5" i="29"/>
  <c r="E14" i="29"/>
  <c r="D5" i="29"/>
  <c r="D14" i="29"/>
  <c r="C5" i="29"/>
  <c r="E10" i="28"/>
  <c r="C10" i="28"/>
  <c r="E5" i="28"/>
  <c r="D5" i="28"/>
  <c r="D23" i="28"/>
  <c r="C5" i="28"/>
  <c r="C23" i="28"/>
  <c r="E20" i="27"/>
  <c r="C20" i="27"/>
  <c r="E6" i="27"/>
  <c r="C6" i="27"/>
  <c r="C5" i="27"/>
  <c r="C35" i="27"/>
  <c r="E5" i="27"/>
  <c r="E35" i="27"/>
  <c r="D5" i="27"/>
  <c r="D35" i="27"/>
  <c r="F17" i="26"/>
  <c r="E17" i="26"/>
  <c r="C14" i="26"/>
  <c r="E13" i="26"/>
  <c r="E10" i="26"/>
  <c r="C13" i="26"/>
  <c r="F12" i="26"/>
  <c r="F11" i="26"/>
  <c r="C10" i="26"/>
  <c r="F9" i="26"/>
  <c r="F7" i="26"/>
  <c r="F6" i="26"/>
  <c r="E6" i="26"/>
  <c r="E5" i="26"/>
  <c r="E19" i="26"/>
  <c r="C6" i="26"/>
  <c r="D5" i="26"/>
  <c r="D19" i="26"/>
  <c r="C5" i="26"/>
  <c r="C19" i="26"/>
  <c r="E10" i="25"/>
  <c r="C10" i="25"/>
  <c r="E5" i="25"/>
  <c r="E19" i="25"/>
  <c r="D5" i="25"/>
  <c r="D19" i="25"/>
  <c r="C5" i="25"/>
  <c r="C19" i="25"/>
  <c r="D14" i="24"/>
  <c r="F12" i="24"/>
  <c r="E11" i="24"/>
  <c r="E10" i="24"/>
  <c r="C11" i="24"/>
  <c r="F11" i="24"/>
  <c r="F9" i="24"/>
  <c r="F7" i="24"/>
  <c r="E6" i="24"/>
  <c r="E5" i="24"/>
  <c r="D5" i="24"/>
  <c r="C5" i="24"/>
  <c r="F13" i="26"/>
  <c r="E14" i="24"/>
  <c r="F5" i="24"/>
  <c r="C10" i="24"/>
  <c r="F6" i="24"/>
  <c r="F10" i="24"/>
  <c r="C14" i="24"/>
  <c r="F14" i="24"/>
  <c r="E10" i="23"/>
  <c r="C10" i="23"/>
  <c r="E5" i="23"/>
  <c r="E15" i="23"/>
  <c r="D5" i="23"/>
  <c r="D15" i="23"/>
  <c r="C5" i="23"/>
  <c r="C15" i="23"/>
  <c r="E13" i="21"/>
  <c r="E12" i="21"/>
  <c r="E9" i="21"/>
  <c r="F11" i="21"/>
  <c r="F10" i="21"/>
  <c r="D9" i="21"/>
  <c r="C9" i="21"/>
  <c r="F8" i="21"/>
  <c r="F7" i="21"/>
  <c r="F6" i="21"/>
  <c r="E5" i="21"/>
  <c r="D5" i="21"/>
  <c r="D16" i="21"/>
  <c r="C5" i="21"/>
  <c r="C16" i="21"/>
  <c r="E16" i="21"/>
  <c r="E19" i="20"/>
  <c r="F18" i="20"/>
  <c r="F17" i="20"/>
  <c r="F16" i="20"/>
  <c r="F15" i="20"/>
  <c r="F14" i="20"/>
  <c r="F13" i="20"/>
  <c r="F12" i="20"/>
  <c r="F11" i="20"/>
  <c r="E10" i="20"/>
  <c r="C10" i="20"/>
  <c r="C19" i="20"/>
  <c r="F9" i="20"/>
  <c r="F8" i="20"/>
  <c r="D8" i="20"/>
  <c r="F7" i="20"/>
  <c r="D7" i="20"/>
  <c r="F6" i="20"/>
  <c r="E5" i="20"/>
  <c r="D5" i="20"/>
  <c r="D19" i="20"/>
  <c r="C5" i="20"/>
  <c r="F12" i="22"/>
  <c r="F11" i="22"/>
  <c r="E10" i="22"/>
  <c r="C10" i="22"/>
  <c r="F9" i="22"/>
  <c r="F7" i="22"/>
  <c r="E5" i="22"/>
  <c r="E14" i="22"/>
  <c r="D5" i="22"/>
  <c r="D14" i="22"/>
  <c r="C5" i="22"/>
  <c r="C14" i="22"/>
  <c r="E10" i="19"/>
  <c r="C10" i="19"/>
  <c r="E5" i="19"/>
  <c r="E14" i="19"/>
  <c r="D5" i="19"/>
  <c r="D14" i="19"/>
  <c r="C5" i="19"/>
  <c r="C14" i="19"/>
  <c r="F19" i="18"/>
  <c r="E19" i="18"/>
  <c r="E18" i="18"/>
  <c r="E10" i="18"/>
  <c r="F17" i="18"/>
  <c r="F16" i="18"/>
  <c r="E16" i="18"/>
  <c r="F15" i="18"/>
  <c r="F14" i="18"/>
  <c r="F13" i="18"/>
  <c r="F12" i="18"/>
  <c r="C11" i="18"/>
  <c r="F11" i="18"/>
  <c r="D10" i="18"/>
  <c r="F9" i="18"/>
  <c r="C9" i="18"/>
  <c r="F8" i="18"/>
  <c r="F7" i="18"/>
  <c r="F6" i="18"/>
  <c r="E6" i="18"/>
  <c r="C6" i="18"/>
  <c r="E5" i="18"/>
  <c r="E20" i="18"/>
  <c r="D5" i="18"/>
  <c r="D20" i="18"/>
  <c r="C5" i="18"/>
  <c r="C10" i="18"/>
  <c r="C20" i="18"/>
  <c r="F18" i="18"/>
  <c r="E9" i="17"/>
  <c r="D9" i="17"/>
  <c r="C9" i="17"/>
  <c r="E5" i="17"/>
  <c r="E15" i="17"/>
  <c r="D5" i="17"/>
  <c r="D15" i="17"/>
  <c r="C5" i="17"/>
  <c r="D14" i="16"/>
  <c r="F12" i="16"/>
  <c r="F11" i="16"/>
  <c r="E10" i="16"/>
  <c r="C10" i="16"/>
  <c r="C14" i="16"/>
  <c r="F9" i="16"/>
  <c r="F8" i="16"/>
  <c r="F7" i="16"/>
  <c r="F6" i="16"/>
  <c r="E5" i="16"/>
  <c r="E14" i="16"/>
  <c r="D5" i="16"/>
  <c r="C5" i="16"/>
  <c r="C16" i="15"/>
  <c r="C10" i="15"/>
  <c r="F13" i="15"/>
  <c r="F12" i="15"/>
  <c r="F11" i="15"/>
  <c r="E10" i="15"/>
  <c r="D10" i="15"/>
  <c r="C9" i="15"/>
  <c r="C5" i="15"/>
  <c r="F7" i="15"/>
  <c r="F6" i="15"/>
  <c r="E5" i="15"/>
  <c r="D5" i="15"/>
  <c r="D17" i="15"/>
  <c r="C5" i="14"/>
  <c r="D5" i="14"/>
  <c r="E5" i="14"/>
  <c r="F6" i="14"/>
  <c r="F7" i="14"/>
  <c r="F8" i="14"/>
  <c r="F9" i="14"/>
  <c r="C10" i="14"/>
  <c r="E10" i="14"/>
  <c r="F11" i="14"/>
  <c r="F12" i="14"/>
  <c r="F13" i="14"/>
  <c r="C14" i="14"/>
  <c r="F14" i="14"/>
  <c r="F15" i="14"/>
  <c r="C16" i="14"/>
  <c r="D16" i="14"/>
  <c r="C5" i="13"/>
  <c r="D5" i="13"/>
  <c r="D14" i="13"/>
  <c r="E5" i="13"/>
  <c r="F7" i="13"/>
  <c r="F9" i="13"/>
  <c r="C10" i="13"/>
  <c r="E11" i="13"/>
  <c r="E10" i="13"/>
  <c r="E14" i="13"/>
  <c r="F12" i="13"/>
  <c r="C5" i="12"/>
  <c r="D5" i="12"/>
  <c r="E5" i="12"/>
  <c r="F6" i="12"/>
  <c r="F7" i="12"/>
  <c r="F8" i="12"/>
  <c r="F9" i="12"/>
  <c r="C10" i="12"/>
  <c r="D10" i="12"/>
  <c r="E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C26" i="12"/>
  <c r="D26" i="12"/>
  <c r="E26" i="12"/>
  <c r="E17" i="15"/>
  <c r="C17" i="15"/>
  <c r="F9" i="15"/>
  <c r="C15" i="17"/>
  <c r="C14" i="13"/>
  <c r="F11" i="13"/>
  <c r="H14" i="11"/>
  <c r="J10" i="11"/>
  <c r="H10" i="11"/>
  <c r="L10" i="11"/>
  <c r="F10" i="11"/>
  <c r="N10" i="11"/>
  <c r="F13" i="11"/>
  <c r="E10" i="11"/>
  <c r="E5" i="11"/>
  <c r="E14" i="11"/>
  <c r="C5" i="11"/>
  <c r="I14" i="11"/>
  <c r="M14" i="11"/>
  <c r="J14" i="11"/>
  <c r="N14" i="11"/>
  <c r="J5" i="11"/>
  <c r="N5" i="11"/>
  <c r="I5" i="11"/>
  <c r="M5" i="11"/>
  <c r="H5" i="11"/>
  <c r="L5" i="11"/>
  <c r="C14" i="11"/>
  <c r="F14" i="11"/>
  <c r="F5" i="11"/>
  <c r="L14" i="11"/>
</calcChain>
</file>

<file path=xl/comments1.xml><?xml version="1.0" encoding="utf-8"?>
<comments xmlns="http://schemas.openxmlformats.org/spreadsheetml/2006/main">
  <authors>
    <author>Fundova, Barbora</author>
  </authors>
  <commentList>
    <comment ref="B12" authorId="0" shapeId="0">
      <text>
        <r>
          <rPr>
            <sz val="9"/>
            <color indexed="81"/>
            <rFont val="Tahoma"/>
            <family val="2"/>
            <charset val="238"/>
          </rPr>
          <t xml:space="preserve">vydání diplomu v druhém jazyce, vydání duplikátu diplomu, potvrzení o studiu, zaslání vyžádáných materiálů na jinou instituci, dodatečný zápis do semestru
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238"/>
          </rPr>
          <t xml:space="preserve">fakulty mají Bílé knihy na webových stránkách k nahlédnutí zdarma
</t>
        </r>
      </text>
    </comment>
  </commentList>
</comments>
</file>

<file path=xl/comments2.xml><?xml version="1.0" encoding="utf-8"?>
<comments xmlns="http://schemas.openxmlformats.org/spreadsheetml/2006/main">
  <authors>
    <author>Junkova Anna</author>
  </authors>
  <commentList>
    <comment ref="F6" authorId="0" shapeId="0">
      <text>
        <r>
          <rPr>
            <b/>
            <sz val="9"/>
            <color indexed="81"/>
            <rFont val="Tahoma"/>
            <family val="2"/>
            <charset val="238"/>
          </rPr>
          <t>Junkova Anna:</t>
        </r>
        <r>
          <rPr>
            <sz val="9"/>
            <color indexed="81"/>
            <rFont val="Tahoma"/>
            <family val="2"/>
            <charset val="238"/>
          </rPr>
          <t xml:space="preserve">
500,- Kč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  <charset val="238"/>
          </rPr>
          <t>Junkova Anna:</t>
        </r>
        <r>
          <rPr>
            <sz val="9"/>
            <color indexed="81"/>
            <rFont val="Tahoma"/>
            <family val="2"/>
            <charset val="238"/>
          </rPr>
          <t xml:space="preserve">
300,- Kč</t>
        </r>
      </text>
    </comment>
  </commentList>
</comments>
</file>

<file path=xl/sharedStrings.xml><?xml version="1.0" encoding="utf-8"?>
<sst xmlns="http://schemas.openxmlformats.org/spreadsheetml/2006/main" count="1255" uniqueCount="222">
  <si>
    <t>č.ř.</t>
  </si>
  <si>
    <t>Celkem</t>
  </si>
  <si>
    <t>Položka</t>
  </si>
  <si>
    <t>poplatky za úkony spojené s příjímacím řízením (§ 58 odst. 1)</t>
  </si>
  <si>
    <t>poplatky za studium v cizím jazyce (§58 odst. 5)</t>
  </si>
  <si>
    <t>a</t>
  </si>
  <si>
    <t>b</t>
  </si>
  <si>
    <t>c</t>
  </si>
  <si>
    <t>d</t>
  </si>
  <si>
    <t>(tis. kč)</t>
  </si>
  <si>
    <t>poplatky za nadstandardní dobu studia (§58 odst. 3)</t>
  </si>
  <si>
    <t>poplatky za studium v dalším stud. programu (§58 odst. 4)</t>
  </si>
  <si>
    <t>úplata za poskytování U3V</t>
  </si>
  <si>
    <t>úplata za poskytování programů CŽV (§ 60) mimo U3V</t>
  </si>
  <si>
    <t>Poznámky</t>
  </si>
  <si>
    <r>
      <t>Počet studentů</t>
    </r>
    <r>
      <rPr>
        <sz val="8"/>
        <rFont val="Calibri"/>
        <family val="2"/>
        <charset val="238"/>
      </rPr>
      <t xml:space="preserve"> (2)</t>
    </r>
  </si>
  <si>
    <t>Kontrolní vazba</t>
  </si>
  <si>
    <t>Poplatky stanovené dle § 58 zákona 111/1998 Sb.</t>
  </si>
  <si>
    <r>
      <t xml:space="preserve">Průměrná částka na 1 studenta </t>
    </r>
    <r>
      <rPr>
        <sz val="8"/>
        <rFont val="Calibri"/>
        <family val="2"/>
        <charset val="238"/>
      </rPr>
      <t>(3)</t>
    </r>
  </si>
  <si>
    <t>Tabulka 7   Příjmy z poplatků a úhrad za další činnosti poskytované veřejnou vysokou školou</t>
  </si>
  <si>
    <r>
      <t xml:space="preserve">Úhrada za další činnosti poskytované vysokou školou </t>
    </r>
    <r>
      <rPr>
        <sz val="8"/>
        <rFont val="Calibri"/>
        <family val="2"/>
        <charset val="238"/>
      </rPr>
      <t>(4) (5)</t>
    </r>
  </si>
  <si>
    <r>
      <rPr>
        <sz val="8"/>
        <rFont val="Calibri"/>
        <family val="2"/>
        <charset val="238"/>
      </rPr>
      <t>(2)</t>
    </r>
    <r>
      <rPr>
        <sz val="10"/>
        <rFont val="Calibri"/>
        <family val="2"/>
        <charset val="238"/>
      </rPr>
      <t xml:space="preserve"> VŠ uvede počet studentů (resp. studií) nebo dalších účastníků vzdělávání, kteří poplatek/úhradu za další činosti zaplatili.</t>
    </r>
  </si>
  <si>
    <r>
      <rPr>
        <sz val="8"/>
        <rFont val="Calibri"/>
        <family val="2"/>
        <charset val="238"/>
      </rPr>
      <t>(1)</t>
    </r>
    <r>
      <rPr>
        <sz val="10"/>
        <rFont val="Calibri"/>
        <family val="2"/>
        <charset val="238"/>
      </rPr>
      <t xml:space="preserve"> VŠ uvede celkovou částku v tis. Kč, kterou na daném typu poplatku / úhradou za další činnosti poskytované veřejnou vysokou školou přijala od studentů/dalších účastníků vzdělávání v daném kalendářním roce.  </t>
    </r>
  </si>
  <si>
    <r>
      <rPr>
        <sz val="8"/>
        <rFont val="Calibri"/>
        <family val="2"/>
        <charset val="238"/>
      </rPr>
      <t>(4)</t>
    </r>
    <r>
      <rPr>
        <sz val="10"/>
        <rFont val="Calibri"/>
        <family val="2"/>
        <charset val="238"/>
      </rPr>
      <t xml:space="preserve"> Jedná se o činnosti související se studiem jiné než podle § 58 zák.111/1998 Sb.</t>
    </r>
  </si>
  <si>
    <t>Výnosy (1)</t>
  </si>
  <si>
    <r>
      <rPr>
        <sz val="8"/>
        <rFont val="Calibri"/>
        <family val="2"/>
        <charset val="238"/>
      </rPr>
      <t>(3)</t>
    </r>
    <r>
      <rPr>
        <sz val="10"/>
        <rFont val="Calibri"/>
        <family val="2"/>
        <charset val="238"/>
      </rPr>
      <t xml:space="preserve"> Položku v každém řádku sloupce "a" vydělí VŠ počtem studentů /účastníků vzdělávání ve sloupci "c". Pokud existuje jednotková sazba, stačí zde uvést tuto. </t>
    </r>
  </si>
  <si>
    <t>sl. b" Celkem = vazba na stipendijní fond (Tab. 11.c)</t>
  </si>
  <si>
    <r>
      <t xml:space="preserve">Z toho stipendijní fond - tvorba </t>
    </r>
    <r>
      <rPr>
        <sz val="8"/>
        <rFont val="Calibri"/>
        <family val="2"/>
        <charset val="238"/>
      </rPr>
      <t>(1)</t>
    </r>
  </si>
  <si>
    <r>
      <rPr>
        <sz val="8"/>
        <rFont val="Calibri"/>
        <family val="2"/>
        <charset val="238"/>
      </rPr>
      <t xml:space="preserve">(5) </t>
    </r>
    <r>
      <rPr>
        <sz val="10"/>
        <rFont val="Calibri"/>
        <family val="2"/>
        <charset val="238"/>
      </rPr>
      <t>VŠ vloží řádky dle potřeby. Může se jednat např. o úhradu nákladů spojených se zakončením studia, cizojazyčné potvrzení o studiu, duplikát výkazu o studiu, dodatečný zápis, atp. To se týká i případných příjmů podle § 60a novely zákona 111/1998 Sb.</t>
    </r>
  </si>
  <si>
    <t>tis. Kč</t>
  </si>
  <si>
    <t>z toho stipendijní fond - tvorba (1)</t>
  </si>
  <si>
    <r>
      <t>Počet studentů</t>
    </r>
    <r>
      <rPr>
        <sz val="8"/>
        <rFont val="Calibri"/>
        <family val="2"/>
        <charset val="238"/>
      </rPr>
      <t xml:space="preserve"> (2)</t>
    </r>
  </si>
  <si>
    <r>
      <t xml:space="preserve">Průměrná částka na 1 studenta </t>
    </r>
    <r>
      <rPr>
        <sz val="8"/>
        <rFont val="Calibri"/>
        <family val="2"/>
        <charset val="238"/>
      </rPr>
      <t>(3)</t>
    </r>
  </si>
  <si>
    <r>
      <t xml:space="preserve">Úhrada za další činnosti poskytované vysokou školou </t>
    </r>
    <r>
      <rPr>
        <sz val="8"/>
        <rFont val="Calibri"/>
        <family val="2"/>
        <charset val="238"/>
      </rPr>
      <t>(4) (5)</t>
    </r>
  </si>
  <si>
    <t>úplata za vzdělávání v mezinárodně uznávaném kursu (§ 60a)</t>
  </si>
  <si>
    <t>poplatek za úkony spojené s rigorózní zkouškou (§ 46; 5)</t>
  </si>
  <si>
    <t>úplata za používání zařízení pro přípravu k rigor. zk. (§ 46; 5)</t>
  </si>
  <si>
    <t>vystavení opisu dokladu o studiu</t>
  </si>
  <si>
    <t>vystavení cizojazyčného dokladu o studiu</t>
  </si>
  <si>
    <t>poskytování nadstandardních služeb v souvislosti s využíváním počítačové sítě UK</t>
  </si>
  <si>
    <t>vystavení duplikátu pro přístup do počítačových sítí (např. vstupní počítačové heslo) a duplikátu prostředku pro vstup do objektu (např. čipová karta) tam, kde nelze využívat průkazu studenta</t>
  </si>
  <si>
    <t>vazba dokumentů</t>
  </si>
  <si>
    <t>úkony spojené s meziknihovní výpůjční službou (MVS) a mezinárodní meziknihovní výpůjční službou (MMVS)</t>
  </si>
  <si>
    <t>úkony za odeslání SMS zprávy z knihovního systému</t>
  </si>
  <si>
    <t>vystavení opisu dokladu vyhotoveného z archiválií</t>
  </si>
  <si>
    <t>prodej informačních brožur (povinnost jejich nákupu nelze od studentů vyžadovat)</t>
  </si>
  <si>
    <t>vybrané poradenské služby (např. diagnostika apod.) v poradnách a poradenských centrech</t>
  </si>
  <si>
    <t xml:space="preserve">    Celkem (5)</t>
  </si>
  <si>
    <r>
      <t xml:space="preserve">Z toho stipendijní fond - tvorba </t>
    </r>
    <r>
      <rPr>
        <sz val="8"/>
        <rFont val="Calibri"/>
        <family val="2"/>
        <charset val="238"/>
      </rPr>
      <t>(1)</t>
    </r>
  </si>
  <si>
    <t>-</t>
  </si>
  <si>
    <r>
      <t>úhrada za poskytování programů CŽV (</t>
    </r>
    <r>
      <rPr>
        <sz val="10"/>
        <rFont val="Calibri"/>
        <family val="2"/>
        <charset val="238"/>
      </rPr>
      <t>§ 60) mimo U3V</t>
    </r>
  </si>
  <si>
    <t>úhrada za poskytování U3V</t>
  </si>
  <si>
    <t>úhrada za další služby</t>
  </si>
  <si>
    <t>TABULKA 7  PŘÍJMY Z POPLATKŮ A ÚHRAD ZA DALŠÍ ČINNOSTI POSKYTOVANÉ UJEP</t>
  </si>
  <si>
    <t>Řádek</t>
  </si>
  <si>
    <t>Z toho stipendijní fond
tvorba</t>
  </si>
  <si>
    <t>Počet studentů (2)</t>
  </si>
  <si>
    <t>Průměrná částka 
na 1 studenta (3)</t>
  </si>
  <si>
    <t>Poplatky stanovené dle § 58 zákona č. 111/1998 Sb.</t>
  </si>
  <si>
    <t>poplatky za úkony spojené s příjímacím řízením
 (§ 58 odst. 1)</t>
  </si>
  <si>
    <t>poplatky za nadstandardní dobu studia (§ 58 odst. 3)</t>
  </si>
  <si>
    <t>poplatky za studium v dalším stud. programu (§ 58 odst. 4)</t>
  </si>
  <si>
    <t>poplatky za studium v cizím jazyce (§ 58 odst. 5)</t>
  </si>
  <si>
    <r>
      <t xml:space="preserve">Úhrada za další činnosti poskytované vysokou školou </t>
    </r>
    <r>
      <rPr>
        <sz val="10"/>
        <rFont val="Arial"/>
        <family val="2"/>
        <charset val="238"/>
      </rPr>
      <t>(4) (5)</t>
    </r>
  </si>
  <si>
    <t>úplata za úkony spojené se zakončením studia</t>
  </si>
  <si>
    <t>úplata za studentské karty</t>
  </si>
  <si>
    <t>úplata za studentské karty – duplikáty</t>
  </si>
  <si>
    <t>Tabulka 7   Příjmy z poplatků a úhrad za další činnosti poskytované veřejnou vysokou školou (v tis. Kč)</t>
  </si>
  <si>
    <t>č. ř.</t>
  </si>
  <si>
    <t>úplata za uznání zahraničního vzdělání</t>
  </si>
  <si>
    <t>úplata za poskytování meziuniverzitní výuky</t>
  </si>
  <si>
    <t>úplata za vystavené studentské průkazy</t>
  </si>
  <si>
    <t>ostatní tržby spojené se studiem</t>
  </si>
  <si>
    <t>Tabulka 7   Příjmy z poplatků a úhrad za další činnosti poskytované veřejnou vysokou školou za rok 2017</t>
  </si>
  <si>
    <r>
      <t xml:space="preserve">Výnosy </t>
    </r>
    <r>
      <rPr>
        <sz val="8"/>
        <rFont val="Calibri"/>
        <family val="2"/>
        <charset val="238"/>
      </rPr>
      <t>(1)</t>
    </r>
  </si>
  <si>
    <r>
      <t xml:space="preserve">Stipendijní fond - tvorba </t>
    </r>
    <r>
      <rPr>
        <sz val="8"/>
        <rFont val="Calibri"/>
        <family val="2"/>
        <charset val="238"/>
      </rPr>
      <t>(1)</t>
    </r>
  </si>
  <si>
    <r>
      <t xml:space="preserve">Průměrná částka
na 1 studenta v Kč </t>
    </r>
    <r>
      <rPr>
        <sz val="8"/>
        <rFont val="Calibri"/>
        <family val="2"/>
        <charset val="238"/>
      </rPr>
      <t>(3)</t>
    </r>
  </si>
  <si>
    <t>sazba 500 Kč/přihl.</t>
  </si>
  <si>
    <t>sazba 24 000 Kč/rok</t>
  </si>
  <si>
    <t>poplatky za studium v cizím jazyce (§58 odst. 4)</t>
  </si>
  <si>
    <t>sazba 400 Kč/semestr</t>
  </si>
  <si>
    <t>úplata za nostrifikace</t>
  </si>
  <si>
    <t>sazba 3 000 Kč/žádost</t>
  </si>
  <si>
    <t>ISIC/ITIC karty</t>
  </si>
  <si>
    <t>dle sazebníku úhrad</t>
  </si>
  <si>
    <t>úplata za administrativně-správní úkony</t>
  </si>
  <si>
    <t xml:space="preserve">    Celkem</t>
  </si>
  <si>
    <t xml:space="preserve">poplatek za úkony spojené s přijetím přihlášky ke státní rigorózní zkoušce a s konáním této zkoušky (§46 odst. 5) </t>
  </si>
  <si>
    <t>poplatek za úkony spojené s habilitačním řízením (§ 72 odst. 16)</t>
  </si>
  <si>
    <t>poplatek za úkony spojené s řízením ke jmenování profesorem (§ 74 odst. 10)</t>
  </si>
  <si>
    <t>poplatek za úkony spojené s řízením o žádosti o uznání zahraničního vysokoškolského vzdělání a kvalifikace – nostrifikace (§ 90a odst. 2)</t>
  </si>
  <si>
    <t>úhrada za mimořádné a nadstandardní admin.úkony - úplata za náklady spojené se slavnostním ukončením studia (promoce)</t>
  </si>
  <si>
    <t>úhrada za mimořádné a nadstandardní admin.úkony - úplata za vystavení duplikátů (výkazu o studiu, vysvědčení, diplomu), dodatečný zápis do AR mimo stanovený termín, apod., dodatečná změna v zápisu předmětu mimo stanovený termín</t>
  </si>
  <si>
    <t>úhrada za mimořádné a nadstandardní admin.úkony - zápis do studia/zápis do akademického roku, školení mimo termín stanovený harmonogramem fakulty či ústavu</t>
  </si>
  <si>
    <t>Tab. 7.   Příjmy z poplatků a úhrad za další činnosti poskytované veřejnou vysokou školou</t>
  </si>
  <si>
    <t xml:space="preserve">Výnosy </t>
  </si>
  <si>
    <t>Z toho stipendijní fond - tvorba</t>
  </si>
  <si>
    <t xml:space="preserve">Počet studentů </t>
  </si>
  <si>
    <t>Průměrná částka na 1 studenta</t>
  </si>
  <si>
    <t>Úhrada za další činnosti poskytované vysokou školou</t>
  </si>
  <si>
    <t>úplata za ostatní poplatky (zápis,promoce žádisti…)</t>
  </si>
  <si>
    <t>Č. ř.</t>
  </si>
  <si>
    <t>v tom:</t>
  </si>
  <si>
    <t>Tabulka 3.1.2.3 Příjmy z poplatků a úhrad za další činnosti poskytované Slezskou univerzitou v Opavě</t>
  </si>
  <si>
    <t>Výnosy</t>
  </si>
  <si>
    <t>Z toho Stipendijní fond - tvorba</t>
  </si>
  <si>
    <t>Počet studentů*</t>
  </si>
  <si>
    <t>Průměrná částka na 1 studenta v Kč</t>
  </si>
  <si>
    <t xml:space="preserve">poplatky za studium v dalším stud. programu </t>
  </si>
  <si>
    <t>poplatky za studium v cizím jazyce (§ 58 odst. 4)</t>
  </si>
  <si>
    <t>Úhrada za další činnosti poskytované vysokou školou**</t>
  </si>
  <si>
    <t>poplatky za kopírování, tisk</t>
  </si>
  <si>
    <t>poplatky Univerzitní knihovny SU</t>
  </si>
  <si>
    <t>poplatky za vzdělávání v mezinárodním uznávaném kurzu (§ 60a)</t>
  </si>
  <si>
    <t>poplatky za vydání indexů</t>
  </si>
  <si>
    <t>poplatky za promoce a za rigorózní řízení</t>
  </si>
  <si>
    <t>poplatky za opravy diplomů a vystavování duplikátů</t>
  </si>
  <si>
    <t>nadstandartní služby pro studenty</t>
  </si>
  <si>
    <t>nostrifikace</t>
  </si>
  <si>
    <t>studijní program fakulty (Bílá kniha)</t>
  </si>
  <si>
    <t>x</t>
  </si>
  <si>
    <t>vydání a výměna průkazů ČVUT a ISIC</t>
  </si>
  <si>
    <t>(tis. Kč)</t>
  </si>
  <si>
    <t>Počet studentů</t>
  </si>
  <si>
    <t>správní a studijní poplatky</t>
  </si>
  <si>
    <t>poplatky za nostrifikaci</t>
  </si>
  <si>
    <t>Z toho stipendijní fond - tvorba (1)</t>
  </si>
  <si>
    <t>Průměrná částka na 1 studenta (3)</t>
  </si>
  <si>
    <r>
      <t xml:space="preserve">Úhrada za další činnosti poskytované vysokou školou </t>
    </r>
    <r>
      <rPr>
        <sz val="12"/>
        <rFont val="Times New Roman"/>
        <family val="1"/>
        <charset val="238"/>
      </rPr>
      <t>(4) (5)</t>
    </r>
  </si>
  <si>
    <t>poplatek za - duplikát diplomu</t>
  </si>
  <si>
    <t xml:space="preserve">                        duplikát indexu</t>
  </si>
  <si>
    <t xml:space="preserve">                        změnu rozvrhu</t>
  </si>
  <si>
    <t xml:space="preserve">                        potvrzení o studiu</t>
  </si>
  <si>
    <t xml:space="preserve">                        výpis známek</t>
  </si>
  <si>
    <t xml:space="preserve">                        změnu formy studia</t>
  </si>
  <si>
    <t>(v tis. kč, sl. a. a b.)</t>
  </si>
  <si>
    <t>úplata za ostatní vzdělávací kurzy</t>
  </si>
  <si>
    <t>úplata za promoce</t>
  </si>
  <si>
    <t>úplata za nostrifikace, profesorská a habilitační řízení</t>
  </si>
  <si>
    <t>úplata za další administrativní úkony</t>
  </si>
  <si>
    <t>úplata za karty ISIC</t>
  </si>
  <si>
    <t>úplata za postihy studentů</t>
  </si>
  <si>
    <r>
      <t xml:space="preserve">Průměrná částka na 1 studenta </t>
    </r>
    <r>
      <rPr>
        <sz val="8"/>
        <rFont val="Calibri"/>
        <family val="2"/>
        <charset val="238"/>
      </rPr>
      <t>(3) (v Kč)</t>
    </r>
  </si>
  <si>
    <t>Poplatky za úkony spojené s příjímacím řízením (§ 58 odst. 1)</t>
  </si>
  <si>
    <t xml:space="preserve">     Fakulta bezpečnostního inženýrství</t>
  </si>
  <si>
    <t xml:space="preserve">     Ekonomická fakulta</t>
  </si>
  <si>
    <t xml:space="preserve">     Stavební fakulta</t>
  </si>
  <si>
    <t xml:space="preserve">     Strojní fakulta</t>
  </si>
  <si>
    <t xml:space="preserve">     Fakulta elektrotechniky a informatiky</t>
  </si>
  <si>
    <t xml:space="preserve">     Hornicko-geologická fakulta</t>
  </si>
  <si>
    <t xml:space="preserve">     Fakulta metalurgie a materiálového inženýrství</t>
  </si>
  <si>
    <t xml:space="preserve">     Univerzitní studijní programy</t>
  </si>
  <si>
    <t>Poplatky za nadstandardní dobu studia (§58 odst. 3)</t>
  </si>
  <si>
    <t>Poplatky za studium v cizím jazyce (§58 odst. 5)</t>
  </si>
  <si>
    <t>Poplatky spojené s promocemi</t>
  </si>
  <si>
    <t>Úplata za poskytování programů CŽV (§ 60) mimo U3V</t>
  </si>
  <si>
    <t>Úplata za poskytování U3V</t>
  </si>
  <si>
    <t>Tabulka 7   Příjmy z poplatků a úhrad za další činnosti poskytované UTB za rok 2017</t>
  </si>
  <si>
    <t>předzápis - jednotlivý předmět</t>
  </si>
  <si>
    <t>předzápis -celý semestr</t>
  </si>
  <si>
    <t>úřední škrt předmětu</t>
  </si>
  <si>
    <t>výkaz o studiu</t>
  </si>
  <si>
    <t>50 za stranu</t>
  </si>
  <si>
    <t>průkaz studenta</t>
  </si>
  <si>
    <t>průkaz studenta (krádež)</t>
  </si>
  <si>
    <t>ISIC karta</t>
  </si>
  <si>
    <t>diplom s dodatkem</t>
  </si>
  <si>
    <t>diplom s vysvědčením</t>
  </si>
  <si>
    <t>žádost o uznání zahr. vysokoškolského vzdělání a kvalifikace</t>
  </si>
  <si>
    <t>administrativní poplatky</t>
  </si>
  <si>
    <t>5 tisíc - 80 tisíc (vyplývá ze statutu)</t>
  </si>
  <si>
    <t>výpis známek ze studia v cizím jazyce</t>
  </si>
  <si>
    <t>výpis známek se studia v českém jazyce</t>
  </si>
  <si>
    <t>vydání duplikátu - diplomu</t>
  </si>
  <si>
    <t>vydání duplikátu dodatku k diplomu</t>
  </si>
  <si>
    <t>vydání duplikátu vysvědčení</t>
  </si>
  <si>
    <t>vydání duplikátu výkazu o studiu</t>
  </si>
  <si>
    <t>úhrada za výpis sylabu - za každý předmět</t>
  </si>
  <si>
    <t>cizojazyčné potvrzení o studiu</t>
  </si>
  <si>
    <t>náklady spojené s vájezdem na zahraniční stáž (Erasmus) při poručení podmínek ze strany studenta</t>
  </si>
  <si>
    <t>Náklady spojené se slavnostním zakončením studia</t>
  </si>
  <si>
    <t>překlad dokladu o vzdělání</t>
  </si>
  <si>
    <t xml:space="preserve">Z toho stipendijní fond - tvorba </t>
  </si>
  <si>
    <r>
      <t>Počet studentů</t>
    </r>
    <r>
      <rPr>
        <sz val="8"/>
        <rFont val="Calibri"/>
        <family val="2"/>
        <charset val="238"/>
      </rPr>
      <t xml:space="preserve"> </t>
    </r>
  </si>
  <si>
    <t xml:space="preserve">Průměrná částka na 1 studenta </t>
  </si>
  <si>
    <t>výnosy z prodeje skript</t>
  </si>
  <si>
    <t xml:space="preserve">   úplata za promoce,imatrikulace,kartyISIC,brožury</t>
  </si>
  <si>
    <t xml:space="preserve">   výnosy z prodeje služeb studentům-kopírování</t>
  </si>
  <si>
    <r>
      <rPr>
        <b/>
        <sz val="10"/>
        <rFont val="Calibri"/>
        <family val="2"/>
        <charset val="238"/>
      </rPr>
      <t xml:space="preserve">stipendijní fond - tvorba </t>
    </r>
    <r>
      <rPr>
        <b/>
        <sz val="8"/>
        <rFont val="Calibri"/>
        <family val="2"/>
        <charset val="238"/>
      </rPr>
      <t>(1)</t>
    </r>
  </si>
  <si>
    <r>
      <t>Počet studentů</t>
    </r>
    <r>
      <rPr>
        <b/>
        <sz val="8"/>
        <rFont val="Calibri"/>
        <family val="2"/>
        <charset val="238"/>
      </rPr>
      <t xml:space="preserve"> (2)</t>
    </r>
  </si>
  <si>
    <r>
      <t xml:space="preserve">Průměrná částka na 1 studenta </t>
    </r>
    <r>
      <rPr>
        <b/>
        <sz val="8"/>
        <rFont val="Calibri"/>
        <family val="2"/>
        <charset val="238"/>
      </rPr>
      <t>(3)</t>
    </r>
  </si>
  <si>
    <t>ostatní platby posluchačů - DČ</t>
  </si>
  <si>
    <t xml:space="preserve">zápis předmětu mimo termín zápisu (TA 30) </t>
  </si>
  <si>
    <t>přeložení zkoušek (TA 30)</t>
  </si>
  <si>
    <t>podmíněné zápisy do dalšího semestru či ročníku (TA30)</t>
  </si>
  <si>
    <r>
      <t>poplatky za pozdní vyškrtávání předmětů (TA30</t>
    </r>
    <r>
      <rPr>
        <i/>
        <sz val="10"/>
        <rFont val="Calibri"/>
        <family val="2"/>
        <charset val="238"/>
      </rPr>
      <t>)</t>
    </r>
  </si>
  <si>
    <t>poplatky za kurzy pro cizince (TA 33)</t>
  </si>
  <si>
    <t>poplatky za kurzy pro tuzemce (TA 34)</t>
  </si>
  <si>
    <t xml:space="preserve">podmínečný zápis </t>
  </si>
  <si>
    <t>úhrada za úkony spojené s habilitačním řízením</t>
  </si>
  <si>
    <t xml:space="preserve">   úhrada za uznání zahranič. vysokoškolského  vzdělání</t>
  </si>
  <si>
    <t xml:space="preserve">   úhrada za vydání duplikátu diplomu</t>
  </si>
  <si>
    <t xml:space="preserve">   úhrada za potvrzení o studiu</t>
  </si>
  <si>
    <t xml:space="preserve">   úhrada za vyhledání dokumentu v archivu</t>
  </si>
  <si>
    <t>úhrada za vydání dokladu o vykonaných zkouškách a SZZ</t>
  </si>
  <si>
    <t>úhrada za školení BOZP</t>
  </si>
  <si>
    <t>správní poplatky (studenti)</t>
  </si>
  <si>
    <t>správní poplatky (pedagogové)</t>
  </si>
  <si>
    <t>_</t>
  </si>
  <si>
    <t>0,45</t>
  </si>
  <si>
    <t>9</t>
  </si>
  <si>
    <t>1</t>
  </si>
  <si>
    <t>správní úkony spojené se zápisem</t>
  </si>
  <si>
    <t>0,5</t>
  </si>
  <si>
    <t>druhopis karty studenta při poškození či ztrátě</t>
  </si>
  <si>
    <t>0,3</t>
  </si>
  <si>
    <t>tělovýchovné aktivity</t>
  </si>
  <si>
    <t>0,25</t>
  </si>
  <si>
    <t>výpis studijních výsledků</t>
  </si>
  <si>
    <t>0,05</t>
  </si>
  <si>
    <t>úplata za nadstandartní služby</t>
  </si>
  <si>
    <t>úplata za vystavení ISIC karty, ID karty, ISIC přelepky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</si>
</sst>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0.000"/>
    <numFmt numFmtId="165" formatCode="#,##0.000"/>
    <numFmt numFmtId="173" formatCode="#,##0_ ;[Red]\-#,##0\ ;\–\ "/>
    <numFmt numFmtId="174" formatCode="#,##0_ ;[Red]\-#,##0\ "/>
    <numFmt numFmtId="176" formatCode="_-* #,##0\ &quot;Kč&quot;_-;\-* #,##0\ &quot;Kč&quot;_-;_-* &quot;-&quot;??\ &quot;Kč&quot;_-;_-@_-"/>
    <numFmt numFmtId="179" formatCode="#,##0.000_ ;[Red]\-#,##0.000\ ;\–\ "/>
  </numFmts>
  <fonts count="3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b/>
      <sz val="17"/>
      <name val="Calibri"/>
      <family val="2"/>
      <charset val="238"/>
    </font>
    <font>
      <sz val="12"/>
      <name val="Calibri"/>
      <family val="2"/>
      <charset val="238"/>
    </font>
    <font>
      <b/>
      <sz val="10"/>
      <name val="Arial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omenia Serif"/>
      <family val="3"/>
    </font>
    <font>
      <sz val="11"/>
      <name val="Comenia Serif"/>
      <family val="3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8"/>
      <name val="Calibri"/>
      <family val="2"/>
      <charset val="238"/>
    </font>
    <font>
      <i/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 tint="0.499984740745262"/>
      <name val="Arial"/>
      <family val="2"/>
      <charset val="238"/>
    </font>
    <font>
      <sz val="12"/>
      <color theme="1" tint="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24" fillId="0" borderId="0" applyFont="0" applyFill="0" applyBorder="0" applyAlignment="0" applyProtection="0"/>
    <xf numFmtId="0" fontId="2" fillId="0" borderId="0"/>
    <xf numFmtId="0" fontId="1" fillId="0" borderId="0"/>
  </cellStyleXfs>
  <cellXfs count="511">
    <xf numFmtId="0" fontId="0" fillId="0" borderId="0" xfId="0"/>
    <xf numFmtId="0" fontId="25" fillId="0" borderId="0" xfId="2" applyFont="1" applyAlignment="1" applyProtection="1">
      <alignment vertical="center"/>
      <protection locked="0"/>
    </xf>
    <xf numFmtId="0" fontId="26" fillId="0" borderId="0" xfId="2" applyFont="1" applyAlignment="1" applyProtection="1">
      <alignment vertical="center"/>
      <protection locked="0"/>
    </xf>
    <xf numFmtId="0" fontId="26" fillId="0" borderId="0" xfId="2" applyFont="1" applyAlignment="1" applyProtection="1">
      <alignment horizontal="right" vertical="center"/>
      <protection locked="0"/>
    </xf>
    <xf numFmtId="0" fontId="26" fillId="0" borderId="0" xfId="2" applyFont="1" applyAlignment="1">
      <alignment vertical="center"/>
    </xf>
    <xf numFmtId="0" fontId="26" fillId="0" borderId="0" xfId="2" applyFont="1" applyAlignment="1" applyProtection="1">
      <alignment horizontal="center" vertical="center"/>
      <protection locked="0"/>
    </xf>
    <xf numFmtId="0" fontId="26" fillId="0" borderId="0" xfId="2" applyFont="1" applyAlignment="1">
      <alignment horizontal="center" vertical="center"/>
    </xf>
    <xf numFmtId="0" fontId="26" fillId="0" borderId="0" xfId="2" applyFont="1" applyBorder="1" applyAlignment="1" applyProtection="1">
      <alignment vertical="center"/>
      <protection locked="0"/>
    </xf>
    <xf numFmtId="0" fontId="26" fillId="0" borderId="1" xfId="2" applyFont="1" applyBorder="1" applyAlignment="1" applyProtection="1">
      <alignment horizontal="center" vertical="center" wrapText="1"/>
      <protection locked="0"/>
    </xf>
    <xf numFmtId="0" fontId="26" fillId="0" borderId="0" xfId="2" applyFont="1" applyFill="1" applyAlignment="1" applyProtection="1">
      <alignment horizontal="left" vertical="center"/>
      <protection locked="0"/>
    </xf>
    <xf numFmtId="0" fontId="26" fillId="0" borderId="0" xfId="2" applyFont="1" applyBorder="1" applyAlignment="1" applyProtection="1">
      <alignment horizontal="left" vertical="center"/>
      <protection locked="0"/>
    </xf>
    <xf numFmtId="0" fontId="26" fillId="0" borderId="0" xfId="2" applyFont="1" applyAlignment="1">
      <alignment horizontal="left" vertical="center"/>
    </xf>
    <xf numFmtId="0" fontId="0" fillId="0" borderId="0" xfId="0"/>
    <xf numFmtId="0" fontId="27" fillId="0" borderId="0" xfId="2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6" fillId="0" borderId="0" xfId="2" applyFont="1" applyAlignment="1">
      <alignment horizontal="right" vertical="center"/>
    </xf>
    <xf numFmtId="3" fontId="26" fillId="0" borderId="0" xfId="2" applyNumberFormat="1" applyFont="1" applyFill="1" applyBorder="1" applyAlignment="1" applyProtection="1">
      <alignment vertical="center"/>
      <protection hidden="1"/>
    </xf>
    <xf numFmtId="3" fontId="26" fillId="0" borderId="0" xfId="2" applyNumberFormat="1" applyFont="1" applyBorder="1" applyAlignment="1" applyProtection="1">
      <alignment vertical="center"/>
      <protection hidden="1"/>
    </xf>
    <xf numFmtId="0" fontId="28" fillId="0" borderId="0" xfId="2" applyFont="1" applyAlignment="1" applyProtection="1">
      <alignment vertical="center"/>
      <protection locked="0"/>
    </xf>
    <xf numFmtId="3" fontId="26" fillId="0" borderId="2" xfId="2" applyNumberFormat="1" applyFont="1" applyBorder="1" applyAlignment="1" applyProtection="1">
      <alignment horizontal="center" vertical="center"/>
      <protection locked="0"/>
    </xf>
    <xf numFmtId="3" fontId="26" fillId="0" borderId="3" xfId="2" applyNumberFormat="1" applyFont="1" applyBorder="1" applyAlignment="1" applyProtection="1">
      <alignment horizontal="center" vertical="center"/>
      <protection locked="0"/>
    </xf>
    <xf numFmtId="0" fontId="26" fillId="0" borderId="4" xfId="2" applyFont="1" applyBorder="1" applyAlignment="1" applyProtection="1">
      <alignment horizontal="center" vertical="center" wrapText="1"/>
      <protection locked="0"/>
    </xf>
    <xf numFmtId="0" fontId="26" fillId="0" borderId="5" xfId="2" applyFont="1" applyBorder="1" applyAlignment="1" applyProtection="1">
      <alignment horizontal="center" vertical="center" wrapText="1"/>
      <protection locked="0"/>
    </xf>
    <xf numFmtId="3" fontId="26" fillId="0" borderId="6" xfId="2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left" vertical="center" wrapText="1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26" fillId="0" borderId="1" xfId="2" applyFont="1" applyFill="1" applyBorder="1" applyAlignment="1" applyProtection="1">
      <alignment vertical="center" wrapText="1"/>
      <protection locked="0"/>
    </xf>
    <xf numFmtId="0" fontId="26" fillId="0" borderId="7" xfId="2" applyFont="1" applyBorder="1" applyAlignment="1" applyProtection="1">
      <alignment vertical="center" wrapText="1"/>
      <protection locked="0"/>
    </xf>
    <xf numFmtId="0" fontId="25" fillId="0" borderId="0" xfId="2" applyFont="1" applyAlignment="1" applyProtection="1">
      <alignment horizontal="left" vertical="center"/>
      <protection locked="0"/>
    </xf>
    <xf numFmtId="0" fontId="26" fillId="0" borderId="0" xfId="2" applyFont="1" applyBorder="1" applyAlignment="1" applyProtection="1">
      <alignment horizontal="center" vertical="center"/>
      <protection locked="0"/>
    </xf>
    <xf numFmtId="0" fontId="27" fillId="0" borderId="0" xfId="2" applyFont="1" applyBorder="1" applyAlignment="1" applyProtection="1">
      <alignment horizontal="left" vertical="center"/>
      <protection locked="0"/>
    </xf>
    <xf numFmtId="3" fontId="26" fillId="0" borderId="0" xfId="2" applyNumberFormat="1" applyFont="1" applyFill="1" applyBorder="1" applyAlignment="1" applyProtection="1">
      <alignment horizontal="left" vertical="center"/>
      <protection hidden="1"/>
    </xf>
    <xf numFmtId="3" fontId="26" fillId="0" borderId="0" xfId="2" applyNumberFormat="1" applyFont="1" applyBorder="1" applyAlignment="1" applyProtection="1">
      <alignment horizontal="left" vertical="center"/>
      <protection hidden="1"/>
    </xf>
    <xf numFmtId="0" fontId="26" fillId="0" borderId="0" xfId="2" applyFont="1" applyAlignment="1" applyProtection="1">
      <alignment horizontal="left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0" fontId="26" fillId="4" borderId="8" xfId="2" applyFont="1" applyFill="1" applyBorder="1" applyAlignment="1">
      <alignment horizontal="center" vertical="center"/>
    </xf>
    <xf numFmtId="0" fontId="26" fillId="4" borderId="9" xfId="2" applyFont="1" applyFill="1" applyBorder="1" applyAlignment="1">
      <alignment horizontal="center" vertical="center"/>
    </xf>
    <xf numFmtId="0" fontId="3" fillId="0" borderId="0" xfId="2" applyFont="1" applyFill="1" applyAlignment="1" applyProtection="1">
      <alignment horizontal="left" vertical="center"/>
      <protection locked="0"/>
    </xf>
    <xf numFmtId="0" fontId="27" fillId="4" borderId="10" xfId="2" applyFont="1" applyFill="1" applyBorder="1" applyAlignment="1" applyProtection="1">
      <alignment horizontal="left" vertical="center" wrapText="1" indent="1"/>
      <protection locked="0"/>
    </xf>
    <xf numFmtId="3" fontId="30" fillId="0" borderId="11" xfId="2" applyNumberFormat="1" applyFont="1" applyBorder="1" applyAlignment="1" applyProtection="1">
      <alignment horizontal="left" vertical="center" wrapText="1" indent="1"/>
      <protection locked="0"/>
    </xf>
    <xf numFmtId="3" fontId="26" fillId="0" borderId="11" xfId="2" applyNumberFormat="1" applyFont="1" applyBorder="1" applyAlignment="1" applyProtection="1">
      <alignment horizontal="left" vertical="center" indent="1"/>
      <protection locked="0"/>
    </xf>
    <xf numFmtId="3" fontId="26" fillId="0" borderId="11" xfId="2" applyNumberFormat="1" applyFont="1" applyBorder="1" applyAlignment="1" applyProtection="1">
      <alignment horizontal="left" vertical="center" wrapText="1" indent="1"/>
      <protection locked="0"/>
    </xf>
    <xf numFmtId="3" fontId="27" fillId="4" borderId="11" xfId="2" applyNumberFormat="1" applyFont="1" applyFill="1" applyBorder="1" applyAlignment="1" applyProtection="1">
      <alignment horizontal="left" vertical="center" wrapText="1" indent="1"/>
      <protection locked="0"/>
    </xf>
    <xf numFmtId="3" fontId="26" fillId="0" borderId="12" xfId="2" applyNumberFormat="1" applyFont="1" applyBorder="1" applyAlignment="1" applyProtection="1">
      <alignment horizontal="left" vertical="center" wrapText="1" indent="1"/>
      <protection locked="0"/>
    </xf>
    <xf numFmtId="3" fontId="26" fillId="0" borderId="13" xfId="2" applyNumberFormat="1" applyFont="1" applyBorder="1" applyAlignment="1" applyProtection="1">
      <alignment horizontal="left" vertical="center" wrapText="1" indent="1"/>
      <protection locked="0"/>
    </xf>
    <xf numFmtId="3" fontId="26" fillId="0" borderId="14" xfId="2" applyNumberFormat="1" applyFont="1" applyBorder="1" applyAlignment="1" applyProtection="1">
      <alignment horizontal="left" vertical="center" wrapText="1" indent="1"/>
      <protection locked="0"/>
    </xf>
    <xf numFmtId="3" fontId="27" fillId="0" borderId="15" xfId="2" applyNumberFormat="1" applyFont="1" applyFill="1" applyBorder="1" applyAlignment="1" applyProtection="1">
      <alignment horizontal="left" vertical="center" indent="1"/>
      <protection locked="0"/>
    </xf>
    <xf numFmtId="0" fontId="26" fillId="0" borderId="1" xfId="2" applyFont="1" applyBorder="1" applyAlignment="1" applyProtection="1">
      <alignment horizontal="center" vertical="center" wrapText="1"/>
      <protection locked="0"/>
    </xf>
    <xf numFmtId="3" fontId="26" fillId="0" borderId="16" xfId="2" applyNumberFormat="1" applyFont="1" applyBorder="1" applyAlignment="1" applyProtection="1">
      <alignment horizontal="right" vertical="center" indent="1"/>
      <protection locked="0"/>
    </xf>
    <xf numFmtId="3" fontId="26" fillId="0" borderId="17" xfId="2" applyNumberFormat="1" applyFont="1" applyBorder="1" applyAlignment="1" applyProtection="1">
      <alignment horizontal="right" vertical="center" indent="1"/>
      <protection locked="0"/>
    </xf>
    <xf numFmtId="3" fontId="26" fillId="0" borderId="13" xfId="2" applyNumberFormat="1" applyFont="1" applyBorder="1" applyAlignment="1" applyProtection="1">
      <alignment horizontal="right" vertical="center" indent="1"/>
      <protection locked="0"/>
    </xf>
    <xf numFmtId="3" fontId="26" fillId="0" borderId="14" xfId="2" applyNumberFormat="1" applyFont="1" applyBorder="1" applyAlignment="1" applyProtection="1">
      <alignment horizontal="right" vertical="center" indent="1"/>
      <protection locked="0"/>
    </xf>
    <xf numFmtId="3" fontId="26" fillId="0" borderId="18" xfId="2" applyNumberFormat="1" applyFont="1" applyBorder="1" applyAlignment="1" applyProtection="1">
      <alignment horizontal="right" vertical="center" indent="1"/>
      <protection locked="0"/>
    </xf>
    <xf numFmtId="3" fontId="27" fillId="4" borderId="1" xfId="2" applyNumberFormat="1" applyFont="1" applyFill="1" applyBorder="1" applyAlignment="1" applyProtection="1">
      <alignment horizontal="right" vertical="center" wrapText="1" indent="1"/>
      <protection locked="0"/>
    </xf>
    <xf numFmtId="173" fontId="27" fillId="4" borderId="7" xfId="2" applyNumberFormat="1" applyFont="1" applyFill="1" applyBorder="1" applyAlignment="1">
      <alignment horizontal="right" vertical="center" indent="1"/>
    </xf>
    <xf numFmtId="0" fontId="26" fillId="0" borderId="13" xfId="2" applyFont="1" applyBorder="1" applyAlignment="1">
      <alignment horizontal="right" vertical="center" indent="1"/>
    </xf>
    <xf numFmtId="173" fontId="26" fillId="3" borderId="13" xfId="2" applyNumberFormat="1" applyFont="1" applyFill="1" applyBorder="1" applyAlignment="1">
      <alignment horizontal="right" vertical="center" indent="1"/>
    </xf>
    <xf numFmtId="3" fontId="26" fillId="0" borderId="19" xfId="2" applyNumberFormat="1" applyFont="1" applyBorder="1" applyAlignment="1" applyProtection="1">
      <alignment horizontal="right" vertical="center" indent="1"/>
      <protection locked="0"/>
    </xf>
    <xf numFmtId="3" fontId="27" fillId="4" borderId="20" xfId="2" applyNumberFormat="1" applyFont="1" applyFill="1" applyBorder="1" applyAlignment="1" applyProtection="1">
      <alignment horizontal="right" vertical="center" wrapText="1" indent="1"/>
      <protection locked="0"/>
    </xf>
    <xf numFmtId="173" fontId="27" fillId="4" borderId="13" xfId="2" applyNumberFormat="1" applyFont="1" applyFill="1" applyBorder="1" applyAlignment="1">
      <alignment horizontal="right" vertical="center" indent="1"/>
    </xf>
    <xf numFmtId="173" fontId="27" fillId="4" borderId="21" xfId="2" applyNumberFormat="1" applyFont="1" applyFill="1" applyBorder="1" applyAlignment="1">
      <alignment horizontal="right" vertical="center" indent="1"/>
    </xf>
    <xf numFmtId="173" fontId="26" fillId="3" borderId="14" xfId="2" applyNumberFormat="1" applyFont="1" applyFill="1" applyBorder="1" applyAlignment="1">
      <alignment horizontal="right" vertical="center" indent="1"/>
    </xf>
    <xf numFmtId="3" fontId="27" fillId="0" borderId="22" xfId="2" applyNumberFormat="1" applyFont="1" applyFill="1" applyBorder="1" applyAlignment="1" applyProtection="1">
      <alignment horizontal="right" vertical="center" indent="1"/>
      <protection hidden="1"/>
    </xf>
    <xf numFmtId="173" fontId="27" fillId="3" borderId="23" xfId="2" applyNumberFormat="1" applyFont="1" applyFill="1" applyBorder="1" applyAlignment="1">
      <alignment horizontal="right" vertical="center" indent="1"/>
    </xf>
    <xf numFmtId="0" fontId="26" fillId="0" borderId="4" xfId="2" applyFont="1" applyBorder="1" applyAlignment="1" applyProtection="1">
      <alignment horizontal="center" vertical="center" wrapText="1"/>
      <protection locked="0"/>
    </xf>
    <xf numFmtId="0" fontId="11" fillId="0" borderId="0" xfId="2" applyFont="1" applyAlignment="1" applyProtection="1">
      <alignment horizontal="left" vertical="center"/>
    </xf>
    <xf numFmtId="0" fontId="9" fillId="0" borderId="0" xfId="2" applyFont="1" applyAlignment="1" applyProtection="1">
      <alignment vertical="center"/>
    </xf>
    <xf numFmtId="0" fontId="3" fillId="0" borderId="0" xfId="2" applyFont="1" applyAlignment="1" applyProtection="1">
      <alignment vertical="center"/>
    </xf>
    <xf numFmtId="0" fontId="3" fillId="0" borderId="0" xfId="2" applyFont="1" applyAlignment="1" applyProtection="1">
      <alignment horizontal="center" vertical="center"/>
    </xf>
    <xf numFmtId="0" fontId="3" fillId="0" borderId="0" xfId="2" applyFont="1" applyAlignment="1" applyProtection="1">
      <alignment horizontal="right" vertical="center"/>
    </xf>
    <xf numFmtId="0" fontId="12" fillId="0" borderId="0" xfId="2" applyFont="1" applyAlignment="1" applyProtection="1">
      <alignment horizontal="right" vertical="center"/>
    </xf>
    <xf numFmtId="0" fontId="3" fillId="0" borderId="1" xfId="2" applyFont="1" applyBorder="1" applyAlignment="1" applyProtection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center" wrapText="1"/>
    </xf>
    <xf numFmtId="0" fontId="3" fillId="0" borderId="7" xfId="2" applyFont="1" applyBorder="1" applyAlignment="1" applyProtection="1">
      <alignment horizontal="center" vertical="center" wrapText="1"/>
    </xf>
    <xf numFmtId="0" fontId="3" fillId="0" borderId="4" xfId="2" applyFont="1" applyBorder="1" applyAlignment="1" applyProtection="1">
      <alignment horizontal="center" vertical="center" wrapText="1"/>
    </xf>
    <xf numFmtId="0" fontId="3" fillId="0" borderId="5" xfId="2" applyFont="1" applyBorder="1" applyAlignment="1" applyProtection="1">
      <alignment horizontal="center" vertical="center" wrapText="1"/>
    </xf>
    <xf numFmtId="0" fontId="3" fillId="0" borderId="24" xfId="2" applyFont="1" applyFill="1" applyBorder="1" applyAlignment="1" applyProtection="1">
      <alignment horizontal="center" vertical="center"/>
    </xf>
    <xf numFmtId="0" fontId="10" fillId="5" borderId="10" xfId="2" applyFont="1" applyFill="1" applyBorder="1" applyAlignment="1" applyProtection="1">
      <alignment vertical="center" wrapText="1"/>
    </xf>
    <xf numFmtId="3" fontId="10" fillId="5" borderId="1" xfId="2" applyNumberFormat="1" applyFont="1" applyFill="1" applyBorder="1" applyAlignment="1" applyProtection="1">
      <alignment vertical="center" wrapText="1"/>
    </xf>
    <xf numFmtId="173" fontId="10" fillId="5" borderId="7" xfId="2" applyNumberFormat="1" applyFont="1" applyFill="1" applyBorder="1" applyAlignment="1" applyProtection="1">
      <alignment horizontal="right" vertical="center"/>
    </xf>
    <xf numFmtId="3" fontId="3" fillId="0" borderId="2" xfId="2" applyNumberFormat="1" applyFont="1" applyBorder="1" applyAlignment="1" applyProtection="1">
      <alignment horizontal="center" vertical="center"/>
    </xf>
    <xf numFmtId="3" fontId="3" fillId="0" borderId="11" xfId="2" applyNumberFormat="1" applyFont="1" applyBorder="1" applyAlignment="1" applyProtection="1">
      <alignment vertical="center" wrapText="1"/>
    </xf>
    <xf numFmtId="3" fontId="3" fillId="0" borderId="13" xfId="2" applyNumberFormat="1" applyFont="1" applyFill="1" applyBorder="1" applyAlignment="1" applyProtection="1">
      <alignment horizontal="right" vertical="center"/>
      <protection locked="0"/>
    </xf>
    <xf numFmtId="173" fontId="3" fillId="5" borderId="13" xfId="2" applyNumberFormat="1" applyFont="1" applyFill="1" applyBorder="1" applyAlignment="1" applyProtection="1">
      <alignment horizontal="right" vertical="center"/>
    </xf>
    <xf numFmtId="165" fontId="3" fillId="0" borderId="17" xfId="2" applyNumberFormat="1" applyFont="1" applyBorder="1" applyAlignment="1" applyProtection="1">
      <alignment horizontal="right" vertical="center"/>
    </xf>
    <xf numFmtId="3" fontId="3" fillId="0" borderId="11" xfId="2" applyNumberFormat="1" applyFont="1" applyBorder="1" applyAlignment="1" applyProtection="1">
      <alignment vertical="center"/>
    </xf>
    <xf numFmtId="0" fontId="3" fillId="0" borderId="25" xfId="2" applyFont="1" applyFill="1" applyBorder="1" applyAlignment="1" applyProtection="1">
      <alignment horizontal="center" vertical="center"/>
    </xf>
    <xf numFmtId="3" fontId="10" fillId="5" borderId="11" xfId="2" applyNumberFormat="1" applyFont="1" applyFill="1" applyBorder="1" applyAlignment="1" applyProtection="1">
      <alignment vertical="center" wrapText="1"/>
    </xf>
    <xf numFmtId="3" fontId="10" fillId="5" borderId="20" xfId="2" applyNumberFormat="1" applyFont="1" applyFill="1" applyBorder="1" applyAlignment="1" applyProtection="1">
      <alignment vertical="center" wrapText="1"/>
    </xf>
    <xf numFmtId="173" fontId="10" fillId="5" borderId="16" xfId="2" applyNumberFormat="1" applyFont="1" applyFill="1" applyBorder="1" applyAlignment="1" applyProtection="1">
      <alignment horizontal="right" vertical="center"/>
    </xf>
    <xf numFmtId="3" fontId="3" fillId="0" borderId="12" xfId="2" applyNumberFormat="1" applyFont="1" applyBorder="1" applyAlignment="1" applyProtection="1">
      <alignment vertical="center" wrapText="1"/>
    </xf>
    <xf numFmtId="3" fontId="3" fillId="0" borderId="13" xfId="2" applyNumberFormat="1" applyFont="1" applyBorder="1" applyAlignment="1" applyProtection="1">
      <alignment vertical="center" wrapText="1"/>
    </xf>
    <xf numFmtId="3" fontId="3" fillId="0" borderId="14" xfId="2" applyNumberFormat="1" applyFont="1" applyBorder="1" applyAlignment="1" applyProtection="1">
      <alignment vertical="center" wrapText="1"/>
    </xf>
    <xf numFmtId="3" fontId="10" fillId="0" borderId="6" xfId="2" applyNumberFormat="1" applyFont="1" applyFill="1" applyBorder="1" applyAlignment="1" applyProtection="1">
      <alignment horizontal="center" vertical="center"/>
    </xf>
    <xf numFmtId="3" fontId="10" fillId="0" borderId="15" xfId="2" applyNumberFormat="1" applyFont="1" applyFill="1" applyBorder="1" applyAlignment="1" applyProtection="1">
      <alignment vertical="center"/>
    </xf>
    <xf numFmtId="3" fontId="9" fillId="0" borderId="22" xfId="2" applyNumberFormat="1" applyFont="1" applyFill="1" applyBorder="1" applyAlignment="1" applyProtection="1">
      <alignment vertical="center"/>
    </xf>
    <xf numFmtId="173" fontId="9" fillId="3" borderId="23" xfId="2" applyNumberFormat="1" applyFont="1" applyFill="1" applyBorder="1" applyAlignment="1" applyProtection="1">
      <alignment horizontal="right" vertical="center"/>
    </xf>
    <xf numFmtId="0" fontId="26" fillId="0" borderId="26" xfId="2" applyFont="1" applyBorder="1" applyAlignment="1" applyProtection="1">
      <alignment horizontal="center" vertical="center"/>
      <protection locked="0"/>
    </xf>
    <xf numFmtId="0" fontId="26" fillId="0" borderId="26" xfId="2" applyFont="1" applyBorder="1" applyAlignment="1" applyProtection="1">
      <alignment vertical="center"/>
      <protection locked="0"/>
    </xf>
    <xf numFmtId="0" fontId="26" fillId="0" borderId="26" xfId="2" applyFont="1" applyBorder="1" applyAlignment="1" applyProtection="1">
      <alignment horizontal="right" vertical="center"/>
      <protection locked="0"/>
    </xf>
    <xf numFmtId="0" fontId="26" fillId="0" borderId="26" xfId="2" applyFont="1" applyBorder="1" applyAlignment="1">
      <alignment horizontal="right" vertical="center"/>
    </xf>
    <xf numFmtId="0" fontId="26" fillId="4" borderId="24" xfId="2" applyFont="1" applyFill="1" applyBorder="1" applyAlignment="1">
      <alignment horizontal="center" vertical="center"/>
    </xf>
    <xf numFmtId="3" fontId="26" fillId="0" borderId="13" xfId="2" applyNumberFormat="1" applyFont="1" applyBorder="1" applyAlignment="1">
      <alignment horizontal="right" vertical="center" indent="1"/>
    </xf>
    <xf numFmtId="3" fontId="26" fillId="0" borderId="13" xfId="2" applyNumberFormat="1" applyFont="1" applyFill="1" applyBorder="1" applyAlignment="1" applyProtection="1">
      <alignment horizontal="right" vertical="center" indent="1"/>
      <protection locked="0"/>
    </xf>
    <xf numFmtId="4" fontId="26" fillId="0" borderId="19" xfId="2" applyNumberFormat="1" applyFont="1" applyFill="1" applyBorder="1" applyAlignment="1" applyProtection="1">
      <alignment horizontal="right" vertical="center" indent="1"/>
      <protection locked="0"/>
    </xf>
    <xf numFmtId="4" fontId="26" fillId="0" borderId="18" xfId="2" applyNumberFormat="1" applyFont="1" applyFill="1" applyBorder="1" applyAlignment="1" applyProtection="1">
      <alignment horizontal="right" vertical="center" indent="1"/>
      <protection locked="0"/>
    </xf>
    <xf numFmtId="0" fontId="26" fillId="4" borderId="25" xfId="2" applyFont="1" applyFill="1" applyBorder="1" applyAlignment="1">
      <alignment horizontal="center" vertical="center"/>
    </xf>
    <xf numFmtId="4" fontId="26" fillId="0" borderId="17" xfId="2" applyNumberFormat="1" applyFont="1" applyBorder="1" applyAlignment="1" applyProtection="1">
      <alignment horizontal="right" vertical="center" indent="1"/>
      <protection locked="0"/>
    </xf>
    <xf numFmtId="0" fontId="2" fillId="0" borderId="13" xfId="2" applyFont="1" applyBorder="1" applyAlignment="1" applyProtection="1">
      <alignment horizontal="center" vertical="center" wrapText="1"/>
      <protection locked="0"/>
    </xf>
    <xf numFmtId="0" fontId="2" fillId="0" borderId="13" xfId="2" applyFont="1" applyFill="1" applyBorder="1" applyAlignment="1" applyProtection="1">
      <alignment horizontal="center" vertical="center" wrapText="1"/>
      <protection locked="0"/>
    </xf>
    <xf numFmtId="0" fontId="2" fillId="4" borderId="13" xfId="2" applyFont="1" applyFill="1" applyBorder="1" applyAlignment="1">
      <alignment horizontal="center" vertical="center"/>
    </xf>
    <xf numFmtId="0" fontId="13" fillId="4" borderId="13" xfId="2" applyFont="1" applyFill="1" applyBorder="1" applyAlignment="1" applyProtection="1">
      <alignment horizontal="left" vertical="center" wrapText="1" indent="1"/>
      <protection locked="0"/>
    </xf>
    <xf numFmtId="3" fontId="13" fillId="4" borderId="13" xfId="2" applyNumberFormat="1" applyFont="1" applyFill="1" applyBorder="1" applyAlignment="1" applyProtection="1">
      <alignment horizontal="right" vertical="center" wrapText="1" indent="1"/>
      <protection locked="0"/>
    </xf>
    <xf numFmtId="173" fontId="13" fillId="4" borderId="13" xfId="2" applyNumberFormat="1" applyFont="1" applyFill="1" applyBorder="1" applyAlignment="1">
      <alignment horizontal="right" vertical="center" indent="1"/>
    </xf>
    <xf numFmtId="3" fontId="2" fillId="0" borderId="13" xfId="2" applyNumberFormat="1" applyFont="1" applyBorder="1" applyAlignment="1" applyProtection="1">
      <alignment horizontal="center" vertical="center"/>
      <protection locked="0"/>
    </xf>
    <xf numFmtId="3" fontId="2" fillId="0" borderId="13" xfId="2" applyNumberFormat="1" applyFont="1" applyBorder="1" applyAlignment="1" applyProtection="1">
      <alignment horizontal="left" vertical="center" wrapText="1" indent="1"/>
      <protection locked="0"/>
    </xf>
    <xf numFmtId="0" fontId="2" fillId="0" borderId="13" xfId="2" applyFont="1" applyBorder="1" applyAlignment="1">
      <alignment horizontal="right" vertical="center" indent="1"/>
    </xf>
    <xf numFmtId="173" fontId="2" fillId="3" borderId="13" xfId="2" applyNumberFormat="1" applyFont="1" applyFill="1" applyBorder="1" applyAlignment="1">
      <alignment horizontal="right" vertical="center" indent="1"/>
    </xf>
    <xf numFmtId="3" fontId="2" fillId="0" borderId="13" xfId="2" applyNumberFormat="1" applyFont="1" applyFill="1" applyBorder="1" applyAlignment="1" applyProtection="1">
      <alignment horizontal="right" vertical="center" indent="1"/>
      <protection locked="0"/>
    </xf>
    <xf numFmtId="3" fontId="2" fillId="0" borderId="13" xfId="2" applyNumberFormat="1" applyFont="1" applyBorder="1" applyAlignment="1" applyProtection="1">
      <alignment horizontal="right" vertical="center" indent="1"/>
      <protection locked="0"/>
    </xf>
    <xf numFmtId="3" fontId="2" fillId="0" borderId="13" xfId="2" applyNumberFormat="1" applyFont="1" applyBorder="1" applyAlignment="1" applyProtection="1">
      <alignment horizontal="left" vertical="center" indent="1"/>
      <protection locked="0"/>
    </xf>
    <xf numFmtId="3" fontId="13" fillId="4" borderId="13" xfId="2" applyNumberFormat="1" applyFont="1" applyFill="1" applyBorder="1" applyAlignment="1" applyProtection="1">
      <alignment horizontal="left" vertical="center" wrapText="1" indent="1"/>
      <protection locked="0"/>
    </xf>
    <xf numFmtId="3" fontId="13" fillId="0" borderId="13" xfId="2" applyNumberFormat="1" applyFont="1" applyFill="1" applyBorder="1" applyAlignment="1" applyProtection="1">
      <alignment horizontal="left" vertical="center" indent="1"/>
      <protection locked="0"/>
    </xf>
    <xf numFmtId="3" fontId="13" fillId="0" borderId="13" xfId="2" applyNumberFormat="1" applyFont="1" applyFill="1" applyBorder="1" applyAlignment="1" applyProtection="1">
      <alignment horizontal="right" vertical="center" indent="1"/>
      <protection hidden="1"/>
    </xf>
    <xf numFmtId="173" fontId="13" fillId="3" borderId="13" xfId="2" applyNumberFormat="1" applyFont="1" applyFill="1" applyBorder="1" applyAlignment="1">
      <alignment horizontal="right" vertical="center" indent="1"/>
    </xf>
    <xf numFmtId="0" fontId="26" fillId="0" borderId="4" xfId="2" applyFont="1" applyBorder="1" applyAlignment="1" applyProtection="1">
      <alignment horizontal="center" vertical="center" wrapText="1"/>
      <protection locked="0"/>
    </xf>
    <xf numFmtId="0" fontId="26" fillId="0" borderId="4" xfId="2" applyFont="1" applyBorder="1" applyAlignment="1" applyProtection="1">
      <alignment horizontal="center" vertical="center" wrapText="1"/>
      <protection locked="0"/>
    </xf>
    <xf numFmtId="0" fontId="26" fillId="0" borderId="1" xfId="2" applyFont="1" applyFill="1" applyBorder="1" applyAlignment="1" applyProtection="1">
      <alignment horizontal="center" vertical="center" wrapText="1"/>
      <protection locked="0"/>
    </xf>
    <xf numFmtId="0" fontId="26" fillId="0" borderId="7" xfId="2" applyFont="1" applyBorder="1" applyAlignment="1" applyProtection="1">
      <alignment horizontal="center" vertical="center" wrapText="1"/>
      <protection locked="0"/>
    </xf>
    <xf numFmtId="173" fontId="26" fillId="0" borderId="13" xfId="2" applyNumberFormat="1" applyFont="1" applyFill="1" applyBorder="1" applyAlignment="1">
      <alignment horizontal="right" vertical="center" indent="1"/>
    </xf>
    <xf numFmtId="3" fontId="26" fillId="3" borderId="13" xfId="2" applyNumberFormat="1" applyFont="1" applyFill="1" applyBorder="1" applyAlignment="1">
      <alignment horizontal="right" vertical="center" indent="1"/>
    </xf>
    <xf numFmtId="173" fontId="26" fillId="0" borderId="16" xfId="2" applyNumberFormat="1" applyFont="1" applyFill="1" applyBorder="1" applyAlignment="1">
      <alignment horizontal="right" vertical="center" indent="1"/>
    </xf>
    <xf numFmtId="173" fontId="26" fillId="0" borderId="14" xfId="2" applyNumberFormat="1" applyFont="1" applyFill="1" applyBorder="1" applyAlignment="1">
      <alignment horizontal="right" vertical="center" indent="1"/>
    </xf>
    <xf numFmtId="3" fontId="26" fillId="0" borderId="14" xfId="2" applyNumberFormat="1" applyFont="1" applyFill="1" applyBorder="1" applyAlignment="1" applyProtection="1">
      <alignment horizontal="right" vertical="center" indent="1"/>
      <protection locked="0"/>
    </xf>
    <xf numFmtId="3" fontId="26" fillId="0" borderId="3" xfId="2" applyNumberFormat="1" applyFont="1" applyFill="1" applyBorder="1" applyAlignment="1" applyProtection="1">
      <alignment horizontal="center" vertical="center"/>
      <protection locked="0"/>
    </xf>
    <xf numFmtId="3" fontId="26" fillId="0" borderId="14" xfId="2" applyNumberFormat="1" applyFont="1" applyFill="1" applyBorder="1" applyAlignment="1" applyProtection="1">
      <alignment horizontal="left" vertical="center" wrapText="1" indent="1"/>
      <protection locked="0"/>
    </xf>
    <xf numFmtId="173" fontId="26" fillId="0" borderId="17" xfId="2" applyNumberFormat="1" applyFont="1" applyFill="1" applyBorder="1" applyAlignment="1">
      <alignment horizontal="right" vertical="center" indent="1"/>
    </xf>
    <xf numFmtId="3" fontId="27" fillId="4" borderId="7" xfId="2" applyNumberFormat="1" applyFont="1" applyFill="1" applyBorder="1" applyAlignment="1">
      <alignment horizontal="right" vertical="center" indent="1"/>
    </xf>
    <xf numFmtId="3" fontId="27" fillId="4" borderId="13" xfId="2" applyNumberFormat="1" applyFont="1" applyFill="1" applyBorder="1" applyAlignment="1">
      <alignment horizontal="right" vertical="center" indent="1"/>
    </xf>
    <xf numFmtId="3" fontId="27" fillId="4" borderId="21" xfId="2" applyNumberFormat="1" applyFont="1" applyFill="1" applyBorder="1" applyAlignment="1">
      <alignment horizontal="right" vertical="center" indent="1"/>
    </xf>
    <xf numFmtId="3" fontId="26" fillId="3" borderId="14" xfId="2" applyNumberFormat="1" applyFont="1" applyFill="1" applyBorder="1" applyAlignment="1">
      <alignment horizontal="right" vertical="center" indent="1"/>
    </xf>
    <xf numFmtId="3" fontId="27" fillId="3" borderId="23" xfId="2" applyNumberFormat="1" applyFont="1" applyFill="1" applyBorder="1" applyAlignment="1">
      <alignment horizontal="right" vertical="center" indent="1"/>
    </xf>
    <xf numFmtId="0" fontId="9" fillId="0" borderId="0" xfId="2" applyFont="1" applyAlignment="1" applyProtection="1">
      <alignment horizontal="left" vertical="center"/>
      <protection locked="0"/>
    </xf>
    <xf numFmtId="0" fontId="9" fillId="0" borderId="0" xfId="2" applyFont="1" applyAlignment="1" applyProtection="1">
      <alignment vertical="center"/>
      <protection locked="0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Alignment="1">
      <alignment vertical="center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right" vertical="center"/>
      <protection locked="0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7" xfId="2" applyFont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3" fillId="0" borderId="5" xfId="2" applyFont="1" applyBorder="1" applyAlignment="1" applyProtection="1">
      <alignment horizontal="center" vertical="center" wrapText="1"/>
      <protection locked="0"/>
    </xf>
    <xf numFmtId="0" fontId="3" fillId="4" borderId="24" xfId="2" applyFont="1" applyFill="1" applyBorder="1" applyAlignment="1">
      <alignment horizontal="center" vertical="center"/>
    </xf>
    <xf numFmtId="0" fontId="10" fillId="4" borderId="10" xfId="2" applyFont="1" applyFill="1" applyBorder="1" applyAlignment="1" applyProtection="1">
      <alignment vertical="center" wrapText="1"/>
      <protection locked="0"/>
    </xf>
    <xf numFmtId="3" fontId="10" fillId="4" borderId="1" xfId="2" applyNumberFormat="1" applyFont="1" applyFill="1" applyBorder="1" applyAlignment="1" applyProtection="1">
      <alignment horizontal="right" vertical="center" indent="1"/>
      <protection locked="0"/>
    </xf>
    <xf numFmtId="3" fontId="10" fillId="4" borderId="1" xfId="2" applyNumberFormat="1" applyFont="1" applyFill="1" applyBorder="1" applyAlignment="1" applyProtection="1">
      <alignment horizontal="right" vertical="center" wrapText="1" indent="1"/>
      <protection locked="0"/>
    </xf>
    <xf numFmtId="173" fontId="10" fillId="4" borderId="7" xfId="2" applyNumberFormat="1" applyFont="1" applyFill="1" applyBorder="1" applyAlignment="1">
      <alignment horizontal="center" vertical="center"/>
    </xf>
    <xf numFmtId="3" fontId="3" fillId="0" borderId="2" xfId="2" applyNumberFormat="1" applyFont="1" applyBorder="1" applyAlignment="1" applyProtection="1">
      <alignment horizontal="center" vertical="center"/>
      <protection locked="0"/>
    </xf>
    <xf numFmtId="3" fontId="14" fillId="0" borderId="11" xfId="2" applyNumberFormat="1" applyFont="1" applyBorder="1" applyAlignment="1" applyProtection="1">
      <alignment vertical="center" wrapText="1"/>
      <protection locked="0"/>
    </xf>
    <xf numFmtId="3" fontId="3" fillId="3" borderId="13" xfId="2" applyNumberFormat="1" applyFont="1" applyFill="1" applyBorder="1" applyAlignment="1">
      <alignment horizontal="right" vertical="center" indent="1"/>
    </xf>
    <xf numFmtId="173" fontId="3" fillId="3" borderId="13" xfId="2" applyNumberFormat="1" applyFont="1" applyFill="1" applyBorder="1" applyAlignment="1">
      <alignment horizontal="center" vertical="center"/>
    </xf>
    <xf numFmtId="3" fontId="3" fillId="0" borderId="13" xfId="2" applyNumberFormat="1" applyFont="1" applyBorder="1" applyAlignment="1" applyProtection="1">
      <alignment horizontal="right" vertical="center" indent="1"/>
      <protection locked="0"/>
    </xf>
    <xf numFmtId="3" fontId="3" fillId="0" borderId="19" xfId="2" applyNumberFormat="1" applyFont="1" applyBorder="1" applyAlignment="1" applyProtection="1">
      <alignment horizontal="right" vertical="center" indent="1"/>
      <protection locked="0"/>
    </xf>
    <xf numFmtId="3" fontId="3" fillId="0" borderId="11" xfId="2" applyNumberFormat="1" applyFont="1" applyBorder="1" applyAlignment="1" applyProtection="1">
      <alignment vertical="center"/>
      <protection locked="0"/>
    </xf>
    <xf numFmtId="3" fontId="3" fillId="0" borderId="13" xfId="2" applyNumberFormat="1" applyFont="1" applyFill="1" applyBorder="1" applyAlignment="1" applyProtection="1">
      <alignment horizontal="right" vertical="center" indent="1"/>
      <protection locked="0"/>
    </xf>
    <xf numFmtId="3" fontId="3" fillId="0" borderId="18" xfId="2" applyNumberFormat="1" applyFont="1" applyBorder="1" applyAlignment="1" applyProtection="1">
      <alignment horizontal="right" vertical="center" indent="1"/>
      <protection locked="0"/>
    </xf>
    <xf numFmtId="3" fontId="3" fillId="0" borderId="11" xfId="2" applyNumberFormat="1" applyFont="1" applyBorder="1" applyAlignment="1" applyProtection="1">
      <alignment vertical="center" wrapText="1"/>
      <protection locked="0"/>
    </xf>
    <xf numFmtId="0" fontId="3" fillId="4" borderId="25" xfId="2" applyFont="1" applyFill="1" applyBorder="1" applyAlignment="1">
      <alignment horizontal="center" vertical="center"/>
    </xf>
    <xf numFmtId="3" fontId="10" fillId="4" borderId="11" xfId="2" applyNumberFormat="1" applyFont="1" applyFill="1" applyBorder="1" applyAlignment="1" applyProtection="1">
      <alignment vertical="center" wrapText="1"/>
      <protection locked="0"/>
    </xf>
    <xf numFmtId="3" fontId="10" fillId="4" borderId="20" xfId="2" applyNumberFormat="1" applyFont="1" applyFill="1" applyBorder="1" applyAlignment="1" applyProtection="1">
      <alignment horizontal="right" vertical="center" wrapText="1" indent="1"/>
      <protection locked="0"/>
    </xf>
    <xf numFmtId="173" fontId="10" fillId="4" borderId="21" xfId="2" applyNumberFormat="1" applyFont="1" applyFill="1" applyBorder="1" applyAlignment="1">
      <alignment horizontal="center" vertical="center"/>
    </xf>
    <xf numFmtId="3" fontId="3" fillId="0" borderId="12" xfId="2" applyNumberFormat="1" applyFont="1" applyBorder="1" applyAlignment="1" applyProtection="1">
      <alignment vertical="center" wrapText="1"/>
      <protection locked="0"/>
    </xf>
    <xf numFmtId="3" fontId="3" fillId="0" borderId="13" xfId="2" applyNumberFormat="1" applyFont="1" applyFill="1" applyBorder="1" applyAlignment="1" applyProtection="1">
      <alignment horizontal="right" vertical="center" indent="1"/>
      <protection hidden="1"/>
    </xf>
    <xf numFmtId="3" fontId="3" fillId="0" borderId="18" xfId="2" applyNumberFormat="1" applyFont="1" applyFill="1" applyBorder="1" applyAlignment="1" applyProtection="1">
      <alignment horizontal="right" vertical="center" indent="1"/>
      <protection locked="0"/>
    </xf>
    <xf numFmtId="3" fontId="3" fillId="0" borderId="13" xfId="2" applyNumberFormat="1" applyFont="1" applyBorder="1" applyAlignment="1" applyProtection="1">
      <alignment vertical="center" wrapText="1"/>
      <protection locked="0"/>
    </xf>
    <xf numFmtId="3" fontId="3" fillId="0" borderId="16" xfId="2" applyNumberFormat="1" applyFont="1" applyFill="1" applyBorder="1" applyAlignment="1" applyProtection="1">
      <alignment horizontal="right" vertical="center" indent="1"/>
      <protection locked="0"/>
    </xf>
    <xf numFmtId="3" fontId="3" fillId="0" borderId="3" xfId="2" applyNumberFormat="1" applyFont="1" applyBorder="1" applyAlignment="1" applyProtection="1">
      <alignment horizontal="center" vertical="center"/>
      <protection locked="0"/>
    </xf>
    <xf numFmtId="3" fontId="3" fillId="0" borderId="14" xfId="2" applyNumberFormat="1" applyFont="1" applyBorder="1" applyAlignment="1" applyProtection="1">
      <alignment vertical="center" wrapText="1"/>
      <protection locked="0"/>
    </xf>
    <xf numFmtId="3" fontId="3" fillId="0" borderId="14" xfId="2" applyNumberFormat="1" applyFont="1" applyFill="1" applyBorder="1" applyAlignment="1" applyProtection="1">
      <alignment horizontal="right" vertical="center" indent="1"/>
      <protection hidden="1"/>
    </xf>
    <xf numFmtId="173" fontId="3" fillId="3" borderId="14" xfId="2" applyNumberFormat="1" applyFont="1" applyFill="1" applyBorder="1" applyAlignment="1">
      <alignment horizontal="center" vertical="center"/>
    </xf>
    <xf numFmtId="3" fontId="3" fillId="0" borderId="14" xfId="2" applyNumberFormat="1" applyFont="1" applyFill="1" applyBorder="1" applyAlignment="1" applyProtection="1">
      <alignment horizontal="right" vertical="center" indent="1"/>
      <protection locked="0"/>
    </xf>
    <xf numFmtId="3" fontId="3" fillId="0" borderId="17" xfId="2" applyNumberFormat="1" applyFont="1" applyFill="1" applyBorder="1" applyAlignment="1" applyProtection="1">
      <alignment horizontal="right" vertical="center" indent="1"/>
      <protection locked="0"/>
    </xf>
    <xf numFmtId="3" fontId="3" fillId="0" borderId="6" xfId="2" applyNumberFormat="1" applyFont="1" applyFill="1" applyBorder="1" applyAlignment="1" applyProtection="1">
      <alignment horizontal="center" vertical="center"/>
      <protection locked="0"/>
    </xf>
    <xf numFmtId="3" fontId="10" fillId="0" borderId="15" xfId="2" applyNumberFormat="1" applyFont="1" applyFill="1" applyBorder="1" applyAlignment="1" applyProtection="1">
      <alignment vertical="center"/>
      <protection locked="0"/>
    </xf>
    <xf numFmtId="3" fontId="10" fillId="0" borderId="22" xfId="2" applyNumberFormat="1" applyFont="1" applyFill="1" applyBorder="1" applyAlignment="1" applyProtection="1">
      <alignment horizontal="right" vertical="center" indent="1"/>
      <protection hidden="1"/>
    </xf>
    <xf numFmtId="173" fontId="10" fillId="3" borderId="23" xfId="2" applyNumberFormat="1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3" fontId="10" fillId="2" borderId="1" xfId="2" applyNumberFormat="1" applyFont="1" applyFill="1" applyBorder="1" applyAlignment="1" applyProtection="1">
      <alignment vertical="center" wrapText="1"/>
      <protection locked="0"/>
    </xf>
    <xf numFmtId="3" fontId="3" fillId="0" borderId="13" xfId="2" applyNumberFormat="1" applyFont="1" applyFill="1" applyBorder="1" applyAlignment="1" applyProtection="1">
      <alignment vertical="center"/>
      <protection locked="0"/>
    </xf>
    <xf numFmtId="3" fontId="26" fillId="0" borderId="13" xfId="2" applyNumberFormat="1" applyFont="1" applyBorder="1" applyAlignment="1" applyProtection="1">
      <alignment vertical="center"/>
      <protection locked="0"/>
    </xf>
    <xf numFmtId="4" fontId="3" fillId="0" borderId="19" xfId="2" applyNumberFormat="1" applyFont="1" applyBorder="1" applyAlignment="1" applyProtection="1">
      <alignment vertical="center"/>
      <protection locked="0"/>
    </xf>
    <xf numFmtId="4" fontId="3" fillId="0" borderId="18" xfId="2" applyNumberFormat="1" applyFont="1" applyBorder="1" applyAlignment="1" applyProtection="1">
      <alignment vertical="center"/>
      <protection locked="0"/>
    </xf>
    <xf numFmtId="0" fontId="3" fillId="2" borderId="9" xfId="2" applyFont="1" applyFill="1" applyBorder="1" applyAlignment="1">
      <alignment horizontal="center" vertical="center"/>
    </xf>
    <xf numFmtId="3" fontId="10" fillId="2" borderId="20" xfId="2" applyNumberFormat="1" applyFont="1" applyFill="1" applyBorder="1" applyAlignment="1" applyProtection="1">
      <alignment vertical="center" wrapText="1"/>
      <protection locked="0"/>
    </xf>
    <xf numFmtId="3" fontId="3" fillId="0" borderId="13" xfId="2" applyNumberFormat="1" applyFont="1" applyFill="1" applyBorder="1" applyAlignment="1" applyProtection="1">
      <alignment vertical="center"/>
      <protection hidden="1"/>
    </xf>
    <xf numFmtId="4" fontId="3" fillId="0" borderId="18" xfId="2" applyNumberFormat="1" applyFont="1" applyFill="1" applyBorder="1" applyAlignment="1" applyProtection="1">
      <alignment vertical="center"/>
      <protection locked="0"/>
    </xf>
    <xf numFmtId="3" fontId="3" fillId="0" borderId="14" xfId="2" applyNumberFormat="1" applyFont="1" applyFill="1" applyBorder="1" applyAlignment="1" applyProtection="1">
      <alignment vertical="center"/>
      <protection hidden="1"/>
    </xf>
    <xf numFmtId="173" fontId="3" fillId="0" borderId="13" xfId="2" applyNumberFormat="1" applyFont="1" applyFill="1" applyBorder="1" applyAlignment="1">
      <alignment horizontal="center" vertical="center"/>
    </xf>
    <xf numFmtId="3" fontId="3" fillId="0" borderId="14" xfId="2" applyNumberFormat="1" applyFont="1" applyFill="1" applyBorder="1" applyAlignment="1" applyProtection="1">
      <alignment vertical="center"/>
      <protection locked="0"/>
    </xf>
    <xf numFmtId="173" fontId="3" fillId="0" borderId="14" xfId="2" applyNumberFormat="1" applyFont="1" applyFill="1" applyBorder="1" applyAlignment="1">
      <alignment horizontal="center" vertical="center"/>
    </xf>
    <xf numFmtId="4" fontId="3" fillId="0" borderId="17" xfId="2" applyNumberFormat="1" applyFont="1" applyBorder="1" applyAlignment="1" applyProtection="1">
      <alignment vertical="center"/>
      <protection locked="0"/>
    </xf>
    <xf numFmtId="3" fontId="10" fillId="0" borderId="22" xfId="2" applyNumberFormat="1" applyFont="1" applyFill="1" applyBorder="1" applyAlignment="1" applyProtection="1">
      <alignment vertical="center"/>
      <protection hidden="1"/>
    </xf>
    <xf numFmtId="0" fontId="16" fillId="0" borderId="0" xfId="2" applyFont="1" applyAlignment="1" applyProtection="1">
      <alignment horizontal="left" vertical="center"/>
      <protection locked="0"/>
    </xf>
    <xf numFmtId="0" fontId="16" fillId="0" borderId="0" xfId="2" applyFont="1" applyAlignment="1" applyProtection="1">
      <alignment vertical="center"/>
      <protection locked="0"/>
    </xf>
    <xf numFmtId="0" fontId="17" fillId="0" borderId="0" xfId="2" applyFont="1" applyAlignment="1" applyProtection="1">
      <alignment vertical="center"/>
      <protection locked="0"/>
    </xf>
    <xf numFmtId="0" fontId="17" fillId="0" borderId="0" xfId="2" applyFont="1" applyAlignment="1">
      <alignment vertical="center"/>
    </xf>
    <xf numFmtId="0" fontId="17" fillId="0" borderId="0" xfId="2" applyFont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horizontal="right" vertical="center"/>
      <protection locked="0"/>
    </xf>
    <xf numFmtId="0" fontId="17" fillId="0" borderId="0" xfId="2" applyFont="1" applyAlignment="1">
      <alignment horizontal="right" vertical="center"/>
    </xf>
    <xf numFmtId="0" fontId="17" fillId="0" borderId="1" xfId="2" applyFont="1" applyBorder="1" applyAlignment="1" applyProtection="1">
      <alignment horizontal="center" vertical="center" wrapText="1"/>
      <protection locked="0"/>
    </xf>
    <xf numFmtId="0" fontId="17" fillId="0" borderId="1" xfId="2" applyFont="1" applyFill="1" applyBorder="1" applyAlignment="1" applyProtection="1">
      <alignment vertical="center" wrapText="1"/>
      <protection locked="0"/>
    </xf>
    <xf numFmtId="0" fontId="17" fillId="0" borderId="7" xfId="2" applyFont="1" applyBorder="1" applyAlignment="1" applyProtection="1">
      <alignment vertical="center" wrapText="1"/>
      <protection locked="0"/>
    </xf>
    <xf numFmtId="0" fontId="17" fillId="0" borderId="4" xfId="2" applyFont="1" applyBorder="1" applyAlignment="1" applyProtection="1">
      <alignment horizontal="center" vertical="center" wrapText="1"/>
      <protection locked="0"/>
    </xf>
    <xf numFmtId="0" fontId="17" fillId="0" borderId="5" xfId="2" applyFont="1" applyBorder="1" applyAlignment="1" applyProtection="1">
      <alignment horizontal="center" vertical="center" wrapText="1"/>
      <protection locked="0"/>
    </xf>
    <xf numFmtId="0" fontId="17" fillId="2" borderId="24" xfId="2" applyFont="1" applyFill="1" applyBorder="1" applyAlignment="1">
      <alignment horizontal="center" vertical="center"/>
    </xf>
    <xf numFmtId="0" fontId="16" fillId="2" borderId="10" xfId="2" applyFont="1" applyFill="1" applyBorder="1" applyAlignment="1" applyProtection="1">
      <alignment horizontal="left" vertical="center" wrapText="1" indent="1"/>
      <protection locked="0"/>
    </xf>
    <xf numFmtId="3" fontId="16" fillId="2" borderId="1" xfId="2" applyNumberFormat="1" applyFont="1" applyFill="1" applyBorder="1" applyAlignment="1" applyProtection="1">
      <alignment horizontal="right" vertical="center" wrapText="1" indent="1"/>
      <protection locked="0"/>
    </xf>
    <xf numFmtId="173" fontId="16" fillId="2" borderId="7" xfId="2" applyNumberFormat="1" applyFont="1" applyFill="1" applyBorder="1" applyAlignment="1">
      <alignment horizontal="right" vertical="center" indent="1"/>
    </xf>
    <xf numFmtId="3" fontId="17" fillId="0" borderId="2" xfId="2" applyNumberFormat="1" applyFont="1" applyBorder="1" applyAlignment="1" applyProtection="1">
      <alignment horizontal="center" vertical="center"/>
      <protection locked="0"/>
    </xf>
    <xf numFmtId="3" fontId="17" fillId="0" borderId="11" xfId="2" applyNumberFormat="1" applyFont="1" applyBorder="1" applyAlignment="1" applyProtection="1">
      <alignment horizontal="left" vertical="center" wrapText="1" indent="1"/>
      <protection locked="0"/>
    </xf>
    <xf numFmtId="0" fontId="17" fillId="0" borderId="13" xfId="2" applyFont="1" applyBorder="1" applyAlignment="1">
      <alignment horizontal="right" vertical="center" indent="1"/>
    </xf>
    <xf numFmtId="173" fontId="17" fillId="3" borderId="13" xfId="2" applyNumberFormat="1" applyFont="1" applyFill="1" applyBorder="1" applyAlignment="1">
      <alignment horizontal="right" vertical="center" indent="1"/>
    </xf>
    <xf numFmtId="3" fontId="17" fillId="0" borderId="13" xfId="2" applyNumberFormat="1" applyFont="1" applyBorder="1" applyAlignment="1" applyProtection="1">
      <alignment horizontal="right" vertical="center" indent="1"/>
      <protection locked="0"/>
    </xf>
    <xf numFmtId="3" fontId="17" fillId="0" borderId="19" xfId="2" applyNumberFormat="1" applyFont="1" applyBorder="1" applyAlignment="1" applyProtection="1">
      <alignment horizontal="right" vertical="center" indent="1"/>
      <protection locked="0"/>
    </xf>
    <xf numFmtId="3" fontId="17" fillId="0" borderId="11" xfId="2" applyNumberFormat="1" applyFont="1" applyBorder="1" applyAlignment="1" applyProtection="1">
      <alignment horizontal="left" vertical="center" indent="1"/>
      <protection locked="0"/>
    </xf>
    <xf numFmtId="3" fontId="17" fillId="0" borderId="18" xfId="2" applyNumberFormat="1" applyFont="1" applyBorder="1" applyAlignment="1" applyProtection="1">
      <alignment horizontal="right" vertical="center" indent="1"/>
      <protection locked="0"/>
    </xf>
    <xf numFmtId="0" fontId="17" fillId="2" borderId="25" xfId="2" applyFont="1" applyFill="1" applyBorder="1" applyAlignment="1">
      <alignment horizontal="center" vertical="center"/>
    </xf>
    <xf numFmtId="3" fontId="16" fillId="2" borderId="11" xfId="2" applyNumberFormat="1" applyFont="1" applyFill="1" applyBorder="1" applyAlignment="1" applyProtection="1">
      <alignment horizontal="left" vertical="center" wrapText="1" indent="1"/>
      <protection locked="0"/>
    </xf>
    <xf numFmtId="3" fontId="16" fillId="2" borderId="20" xfId="2" applyNumberFormat="1" applyFont="1" applyFill="1" applyBorder="1" applyAlignment="1" applyProtection="1">
      <alignment horizontal="right" vertical="center" wrapText="1" indent="1"/>
      <protection locked="0"/>
    </xf>
    <xf numFmtId="173" fontId="16" fillId="2" borderId="13" xfId="2" applyNumberFormat="1" applyFont="1" applyFill="1" applyBorder="1" applyAlignment="1">
      <alignment horizontal="right" vertical="center" indent="1"/>
    </xf>
    <xf numFmtId="173" fontId="16" fillId="2" borderId="21" xfId="2" applyNumberFormat="1" applyFont="1" applyFill="1" applyBorder="1" applyAlignment="1">
      <alignment horizontal="right" vertical="center" indent="1"/>
    </xf>
    <xf numFmtId="3" fontId="17" fillId="0" borderId="12" xfId="2" applyNumberFormat="1" applyFont="1" applyBorder="1" applyAlignment="1" applyProtection="1">
      <alignment horizontal="left" vertical="center" wrapText="1" indent="1"/>
      <protection locked="0"/>
    </xf>
    <xf numFmtId="3" fontId="17" fillId="0" borderId="13" xfId="2" applyNumberFormat="1" applyFont="1" applyBorder="1" applyAlignment="1" applyProtection="1">
      <alignment horizontal="left" vertical="center" wrapText="1" indent="1"/>
      <protection locked="0"/>
    </xf>
    <xf numFmtId="3" fontId="17" fillId="0" borderId="16" xfId="2" applyNumberFormat="1" applyFont="1" applyBorder="1" applyAlignment="1" applyProtection="1">
      <alignment horizontal="right" vertical="center" indent="1"/>
      <protection locked="0"/>
    </xf>
    <xf numFmtId="3" fontId="17" fillId="0" borderId="3" xfId="2" applyNumberFormat="1" applyFont="1" applyBorder="1" applyAlignment="1" applyProtection="1">
      <alignment horizontal="center" vertical="center"/>
      <protection locked="0"/>
    </xf>
    <xf numFmtId="3" fontId="17" fillId="0" borderId="14" xfId="2" applyNumberFormat="1" applyFont="1" applyBorder="1" applyAlignment="1" applyProtection="1">
      <alignment horizontal="left" vertical="center" wrapText="1" indent="1"/>
      <protection locked="0"/>
    </xf>
    <xf numFmtId="173" fontId="17" fillId="3" borderId="14" xfId="2" applyNumberFormat="1" applyFont="1" applyFill="1" applyBorder="1" applyAlignment="1">
      <alignment horizontal="right" vertical="center" indent="1"/>
    </xf>
    <xf numFmtId="3" fontId="17" fillId="0" borderId="14" xfId="2" applyNumberFormat="1" applyFont="1" applyBorder="1" applyAlignment="1" applyProtection="1">
      <alignment horizontal="right" vertical="center" indent="1"/>
      <protection locked="0"/>
    </xf>
    <xf numFmtId="3" fontId="17" fillId="0" borderId="17" xfId="2" applyNumberFormat="1" applyFont="1" applyBorder="1" applyAlignment="1" applyProtection="1">
      <alignment horizontal="right" vertical="center" indent="1"/>
      <protection locked="0"/>
    </xf>
    <xf numFmtId="3" fontId="17" fillId="0" borderId="6" xfId="2" applyNumberFormat="1" applyFont="1" applyFill="1" applyBorder="1" applyAlignment="1" applyProtection="1">
      <alignment horizontal="center" vertical="center"/>
      <protection locked="0"/>
    </xf>
    <xf numFmtId="3" fontId="16" fillId="0" borderId="15" xfId="2" applyNumberFormat="1" applyFont="1" applyFill="1" applyBorder="1" applyAlignment="1" applyProtection="1">
      <alignment horizontal="left" vertical="center" indent="1"/>
      <protection locked="0"/>
    </xf>
    <xf numFmtId="3" fontId="16" fillId="0" borderId="22" xfId="2" applyNumberFormat="1" applyFont="1" applyFill="1" applyBorder="1" applyAlignment="1" applyProtection="1">
      <alignment horizontal="right" vertical="center" indent="1"/>
      <protection hidden="1"/>
    </xf>
    <xf numFmtId="173" fontId="16" fillId="3" borderId="23" xfId="2" applyNumberFormat="1" applyFont="1" applyFill="1" applyBorder="1" applyAlignment="1">
      <alignment horizontal="right" vertical="center" indent="1"/>
    </xf>
    <xf numFmtId="3" fontId="26" fillId="0" borderId="17" xfId="2" applyNumberFormat="1" applyFont="1" applyBorder="1" applyAlignment="1" applyProtection="1">
      <alignment horizontal="right" vertical="center" indent="1"/>
      <protection locked="0"/>
    </xf>
    <xf numFmtId="0" fontId="13" fillId="0" borderId="27" xfId="2" applyFont="1" applyBorder="1" applyAlignment="1" applyProtection="1">
      <alignment vertical="center"/>
      <protection locked="0"/>
    </xf>
    <xf numFmtId="0" fontId="13" fillId="0" borderId="0" xfId="2" applyFont="1" applyAlignment="1">
      <alignment horizontal="right" vertical="center"/>
    </xf>
    <xf numFmtId="0" fontId="13" fillId="6" borderId="13" xfId="2" applyFont="1" applyFill="1" applyBorder="1" applyAlignment="1" applyProtection="1">
      <alignment horizontal="center" vertical="center" wrapText="1"/>
      <protection locked="0"/>
    </xf>
    <xf numFmtId="0" fontId="13" fillId="6" borderId="13" xfId="2" applyFont="1" applyFill="1" applyBorder="1" applyAlignment="1">
      <alignment horizontal="center" vertical="center"/>
    </xf>
    <xf numFmtId="0" fontId="31" fillId="6" borderId="12" xfId="2" applyFont="1" applyFill="1" applyBorder="1" applyAlignment="1" applyProtection="1">
      <alignment vertical="center" wrapText="1"/>
      <protection locked="0"/>
    </xf>
    <xf numFmtId="3" fontId="31" fillId="6" borderId="13" xfId="2" applyNumberFormat="1" applyFont="1" applyFill="1" applyBorder="1" applyAlignment="1" applyProtection="1">
      <alignment vertical="center" wrapText="1"/>
      <protection locked="0"/>
    </xf>
    <xf numFmtId="173" fontId="31" fillId="6" borderId="13" xfId="2" applyNumberFormat="1" applyFont="1" applyFill="1" applyBorder="1" applyAlignment="1">
      <alignment horizontal="right" vertical="center"/>
    </xf>
    <xf numFmtId="3" fontId="2" fillId="6" borderId="13" xfId="2" applyNumberFormat="1" applyFont="1" applyFill="1" applyBorder="1" applyAlignment="1" applyProtection="1">
      <alignment horizontal="center" vertical="center"/>
      <protection locked="0"/>
    </xf>
    <xf numFmtId="3" fontId="32" fillId="6" borderId="13" xfId="2" applyNumberFormat="1" applyFont="1" applyFill="1" applyBorder="1" applyAlignment="1" applyProtection="1">
      <alignment horizontal="left" vertical="center" wrapText="1" indent="1"/>
      <protection locked="0"/>
    </xf>
    <xf numFmtId="3" fontId="32" fillId="6" borderId="13" xfId="2" applyNumberFormat="1" applyFont="1" applyFill="1" applyBorder="1" applyAlignment="1" applyProtection="1">
      <alignment horizontal="right" vertical="center"/>
      <protection locked="0"/>
    </xf>
    <xf numFmtId="173" fontId="32" fillId="6" borderId="13" xfId="2" applyNumberFormat="1" applyFont="1" applyFill="1" applyBorder="1" applyAlignment="1">
      <alignment horizontal="right" vertical="center"/>
    </xf>
    <xf numFmtId="3" fontId="32" fillId="6" borderId="13" xfId="2" applyNumberFormat="1" applyFont="1" applyFill="1" applyBorder="1" applyAlignment="1" applyProtection="1">
      <alignment horizontal="left" vertical="center" indent="1"/>
      <protection locked="0"/>
    </xf>
    <xf numFmtId="3" fontId="32" fillId="6" borderId="13" xfId="2" applyNumberFormat="1" applyFont="1" applyFill="1" applyBorder="1" applyAlignment="1" applyProtection="1">
      <alignment horizontal="right" vertical="center"/>
      <protection hidden="1"/>
    </xf>
    <xf numFmtId="3" fontId="31" fillId="6" borderId="12" xfId="2" applyNumberFormat="1" applyFont="1" applyFill="1" applyBorder="1" applyAlignment="1" applyProtection="1">
      <alignment vertical="center" wrapText="1"/>
      <protection locked="0"/>
    </xf>
    <xf numFmtId="3" fontId="32" fillId="6" borderId="28" xfId="2" applyNumberFormat="1" applyFont="1" applyFill="1" applyBorder="1" applyAlignment="1" applyProtection="1">
      <alignment horizontal="left" vertical="center" wrapText="1" indent="1"/>
      <protection locked="0"/>
    </xf>
    <xf numFmtId="3" fontId="32" fillId="0" borderId="28" xfId="2" applyNumberFormat="1" applyFont="1" applyBorder="1" applyAlignment="1" applyProtection="1">
      <alignment horizontal="left" vertical="center" wrapText="1" indent="1"/>
      <protection locked="0"/>
    </xf>
    <xf numFmtId="3" fontId="32" fillId="0" borderId="13" xfId="2" applyNumberFormat="1" applyFont="1" applyBorder="1" applyAlignment="1" applyProtection="1">
      <alignment horizontal="right" vertical="center"/>
      <protection locked="0"/>
    </xf>
    <xf numFmtId="3" fontId="13" fillId="0" borderId="13" xfId="2" applyNumberFormat="1" applyFont="1" applyFill="1" applyBorder="1" applyAlignment="1" applyProtection="1">
      <alignment horizontal="center" vertical="center"/>
      <protection locked="0"/>
    </xf>
    <xf numFmtId="3" fontId="31" fillId="0" borderId="12" xfId="2" applyNumberFormat="1" applyFont="1" applyFill="1" applyBorder="1" applyAlignment="1" applyProtection="1">
      <alignment vertical="center"/>
      <protection locked="0"/>
    </xf>
    <xf numFmtId="3" fontId="31" fillId="0" borderId="13" xfId="2" applyNumberFormat="1" applyFont="1" applyFill="1" applyBorder="1" applyAlignment="1" applyProtection="1">
      <alignment vertical="center"/>
      <protection hidden="1"/>
    </xf>
    <xf numFmtId="0" fontId="26" fillId="0" borderId="7" xfId="2" applyFont="1" applyFill="1" applyBorder="1" applyAlignment="1" applyProtection="1">
      <alignment vertical="center" wrapText="1"/>
      <protection locked="0"/>
    </xf>
    <xf numFmtId="3" fontId="27" fillId="4" borderId="1" xfId="2" applyNumberFormat="1" applyFont="1" applyFill="1" applyBorder="1" applyAlignment="1" applyProtection="1">
      <alignment horizontal="right" vertical="center" wrapText="1"/>
      <protection locked="0"/>
    </xf>
    <xf numFmtId="173" fontId="27" fillId="4" borderId="7" xfId="2" applyNumberFormat="1" applyFont="1" applyFill="1" applyBorder="1" applyAlignment="1">
      <alignment horizontal="center" vertical="center"/>
    </xf>
    <xf numFmtId="3" fontId="30" fillId="0" borderId="11" xfId="2" applyNumberFormat="1" applyFont="1" applyFill="1" applyBorder="1" applyAlignment="1" applyProtection="1">
      <alignment horizontal="left" vertical="center" wrapText="1" indent="1"/>
      <protection locked="0"/>
    </xf>
    <xf numFmtId="3" fontId="26" fillId="0" borderId="13" xfId="2" applyNumberFormat="1" applyFont="1" applyFill="1" applyBorder="1" applyAlignment="1">
      <alignment horizontal="right" vertical="center"/>
    </xf>
    <xf numFmtId="173" fontId="26" fillId="3" borderId="13" xfId="2" applyNumberFormat="1" applyFont="1" applyFill="1" applyBorder="1" applyAlignment="1">
      <alignment horizontal="right" vertical="center"/>
    </xf>
    <xf numFmtId="3" fontId="26" fillId="0" borderId="13" xfId="2" applyNumberFormat="1" applyFont="1" applyFill="1" applyBorder="1" applyAlignment="1" applyProtection="1">
      <alignment vertical="center"/>
      <protection locked="0"/>
    </xf>
    <xf numFmtId="3" fontId="26" fillId="0" borderId="11" xfId="2" applyNumberFormat="1" applyFont="1" applyFill="1" applyBorder="1" applyAlignment="1" applyProtection="1">
      <alignment horizontal="left" vertical="center" indent="1"/>
      <protection locked="0"/>
    </xf>
    <xf numFmtId="3" fontId="26" fillId="0" borderId="11" xfId="2" applyNumberFormat="1" applyFont="1" applyFill="1" applyBorder="1" applyAlignment="1" applyProtection="1">
      <alignment horizontal="left" vertical="center" wrapText="1" indent="1"/>
      <protection locked="0"/>
    </xf>
    <xf numFmtId="3" fontId="27" fillId="4" borderId="20" xfId="2" applyNumberFormat="1" applyFont="1" applyFill="1" applyBorder="1" applyAlignment="1" applyProtection="1">
      <alignment horizontal="right" vertical="center" wrapText="1"/>
      <protection locked="0"/>
    </xf>
    <xf numFmtId="173" fontId="27" fillId="4" borderId="21" xfId="2" applyNumberFormat="1" applyFont="1" applyFill="1" applyBorder="1" applyAlignment="1">
      <alignment horizontal="center" vertical="center"/>
    </xf>
    <xf numFmtId="3" fontId="26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3" fontId="26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3" fontId="26" fillId="0" borderId="13" xfId="2" applyNumberFormat="1" applyFont="1" applyFill="1" applyBorder="1" applyAlignment="1" applyProtection="1">
      <alignment horizontal="right" vertical="center"/>
      <protection locked="0"/>
    </xf>
    <xf numFmtId="3" fontId="27" fillId="0" borderId="22" xfId="2" applyNumberFormat="1" applyFont="1" applyFill="1" applyBorder="1" applyAlignment="1" applyProtection="1">
      <alignment horizontal="right" vertical="center"/>
      <protection hidden="1"/>
    </xf>
    <xf numFmtId="173" fontId="27" fillId="3" borderId="23" xfId="2" applyNumberFormat="1" applyFont="1" applyFill="1" applyBorder="1" applyAlignment="1">
      <alignment horizontal="center" vertical="center"/>
    </xf>
    <xf numFmtId="3" fontId="27" fillId="4" borderId="7" xfId="2" applyNumberFormat="1" applyFont="1" applyFill="1" applyBorder="1" applyAlignment="1">
      <alignment horizontal="center" vertical="center"/>
    </xf>
    <xf numFmtId="3" fontId="26" fillId="3" borderId="13" xfId="2" applyNumberFormat="1" applyFont="1" applyFill="1" applyBorder="1" applyAlignment="1">
      <alignment horizontal="right" vertical="center"/>
    </xf>
    <xf numFmtId="3" fontId="26" fillId="0" borderId="19" xfId="2" applyNumberFormat="1" applyFont="1" applyFill="1" applyBorder="1" applyAlignment="1" applyProtection="1">
      <alignment vertical="center"/>
      <protection locked="0"/>
    </xf>
    <xf numFmtId="3" fontId="27" fillId="4" borderId="21" xfId="2" applyNumberFormat="1" applyFont="1" applyFill="1" applyBorder="1" applyAlignment="1">
      <alignment horizontal="center" vertical="center"/>
    </xf>
    <xf numFmtId="3" fontId="26" fillId="0" borderId="18" xfId="2" applyNumberFormat="1" applyFont="1" applyBorder="1" applyAlignment="1" applyProtection="1">
      <alignment vertical="center"/>
      <protection locked="0"/>
    </xf>
    <xf numFmtId="3" fontId="26" fillId="0" borderId="14" xfId="2" applyNumberFormat="1" applyFont="1" applyFill="1" applyBorder="1" applyAlignment="1">
      <alignment horizontal="right" vertical="center"/>
    </xf>
    <xf numFmtId="3" fontId="26" fillId="0" borderId="29" xfId="2" applyNumberFormat="1" applyFont="1" applyBorder="1" applyAlignment="1" applyProtection="1">
      <alignment vertical="center"/>
      <protection locked="0"/>
    </xf>
    <xf numFmtId="3" fontId="26" fillId="0" borderId="17" xfId="2" applyNumberFormat="1" applyFont="1" applyBorder="1" applyAlignment="1" applyProtection="1">
      <alignment vertical="center"/>
      <protection locked="0"/>
    </xf>
    <xf numFmtId="3" fontId="26" fillId="3" borderId="14" xfId="2" applyNumberFormat="1" applyFont="1" applyFill="1" applyBorder="1" applyAlignment="1">
      <alignment horizontal="right" vertical="center"/>
    </xf>
    <xf numFmtId="3" fontId="27" fillId="3" borderId="23" xfId="2" applyNumberFormat="1" applyFont="1" applyFill="1" applyBorder="1" applyAlignment="1">
      <alignment horizontal="center" vertical="center"/>
    </xf>
    <xf numFmtId="4" fontId="26" fillId="0" borderId="19" xfId="2" applyNumberFormat="1" applyFont="1" applyBorder="1" applyAlignment="1" applyProtection="1">
      <alignment horizontal="right" vertical="center" indent="1"/>
      <protection locked="0"/>
    </xf>
    <xf numFmtId="4" fontId="26" fillId="0" borderId="18" xfId="2" applyNumberFormat="1" applyFont="1" applyBorder="1" applyAlignment="1" applyProtection="1">
      <alignment horizontal="right" vertical="center" indent="1"/>
      <protection locked="0"/>
    </xf>
    <xf numFmtId="4" fontId="26" fillId="0" borderId="16" xfId="2" applyNumberFormat="1" applyFont="1" applyBorder="1" applyAlignment="1" applyProtection="1">
      <alignment horizontal="right" vertical="center" indent="1"/>
      <protection locked="0"/>
    </xf>
    <xf numFmtId="3" fontId="26" fillId="0" borderId="30" xfId="2" applyNumberFormat="1" applyFont="1" applyBorder="1" applyAlignment="1" applyProtection="1">
      <alignment horizontal="center" vertical="center"/>
      <protection locked="0"/>
    </xf>
    <xf numFmtId="3" fontId="26" fillId="0" borderId="31" xfId="2" applyNumberFormat="1" applyFont="1" applyBorder="1" applyAlignment="1" applyProtection="1">
      <alignment horizontal="left" vertical="center" wrapText="1" indent="1"/>
      <protection locked="0"/>
    </xf>
    <xf numFmtId="173" fontId="26" fillId="3" borderId="32" xfId="2" applyNumberFormat="1" applyFont="1" applyFill="1" applyBorder="1" applyAlignment="1">
      <alignment horizontal="right" vertical="center" indent="1"/>
    </xf>
    <xf numFmtId="3" fontId="26" fillId="0" borderId="32" xfId="2" applyNumberFormat="1" applyFont="1" applyBorder="1" applyAlignment="1" applyProtection="1">
      <alignment horizontal="right" vertical="center" indent="1"/>
      <protection locked="0"/>
    </xf>
    <xf numFmtId="4" fontId="26" fillId="0" borderId="33" xfId="2" applyNumberFormat="1" applyFont="1" applyBorder="1" applyAlignment="1" applyProtection="1">
      <alignment horizontal="right" vertical="center" indent="1"/>
      <protection locked="0"/>
    </xf>
    <xf numFmtId="0" fontId="20" fillId="0" borderId="0" xfId="2" applyFont="1" applyAlignment="1" applyProtection="1">
      <alignment horizontal="left" vertical="center"/>
      <protection locked="0"/>
    </xf>
    <xf numFmtId="0" fontId="20" fillId="0" borderId="0" xfId="2" applyFont="1" applyAlignment="1" applyProtection="1">
      <alignment vertical="center"/>
      <protection locked="0"/>
    </xf>
    <xf numFmtId="0" fontId="21" fillId="0" borderId="0" xfId="2" applyFont="1" applyAlignment="1" applyProtection="1">
      <alignment vertical="center"/>
      <protection locked="0"/>
    </xf>
    <xf numFmtId="0" fontId="21" fillId="0" borderId="0" xfId="2" applyFont="1" applyAlignment="1">
      <alignment vertical="center"/>
    </xf>
    <xf numFmtId="0" fontId="21" fillId="0" borderId="0" xfId="2" applyFont="1" applyAlignment="1" applyProtection="1">
      <alignment horizontal="center" vertical="center"/>
      <protection locked="0"/>
    </xf>
    <xf numFmtId="0" fontId="21" fillId="0" borderId="0" xfId="2" applyFont="1" applyAlignment="1" applyProtection="1">
      <alignment horizontal="right" vertical="center"/>
      <protection locked="0"/>
    </xf>
    <xf numFmtId="0" fontId="21" fillId="0" borderId="0" xfId="2" applyFont="1" applyAlignment="1">
      <alignment horizontal="right" vertical="center"/>
    </xf>
    <xf numFmtId="0" fontId="21" fillId="0" borderId="1" xfId="2" applyFont="1" applyBorder="1" applyAlignment="1" applyProtection="1">
      <alignment horizontal="center" vertical="center" wrapText="1"/>
      <protection locked="0"/>
    </xf>
    <xf numFmtId="0" fontId="21" fillId="0" borderId="1" xfId="2" applyFont="1" applyFill="1" applyBorder="1" applyAlignment="1" applyProtection="1">
      <alignment vertical="center" wrapText="1"/>
      <protection locked="0"/>
    </xf>
    <xf numFmtId="0" fontId="21" fillId="0" borderId="7" xfId="2" applyFont="1" applyBorder="1" applyAlignment="1" applyProtection="1">
      <alignment vertical="center" wrapText="1"/>
      <protection locked="0"/>
    </xf>
    <xf numFmtId="0" fontId="21" fillId="0" borderId="4" xfId="2" applyFont="1" applyBorder="1" applyAlignment="1" applyProtection="1">
      <alignment horizontal="center" vertical="center" wrapText="1"/>
      <protection locked="0"/>
    </xf>
    <xf numFmtId="0" fontId="21" fillId="0" borderId="5" xfId="2" applyFont="1" applyBorder="1" applyAlignment="1" applyProtection="1">
      <alignment horizontal="center" vertical="center" wrapText="1"/>
      <protection locked="0"/>
    </xf>
    <xf numFmtId="0" fontId="21" fillId="4" borderId="8" xfId="2" applyFont="1" applyFill="1" applyBorder="1" applyAlignment="1">
      <alignment horizontal="center" vertical="center"/>
    </xf>
    <xf numFmtId="0" fontId="20" fillId="4" borderId="10" xfId="2" applyFont="1" applyFill="1" applyBorder="1" applyAlignment="1" applyProtection="1">
      <alignment horizontal="left" vertical="center" wrapText="1" indent="1"/>
      <protection locked="0"/>
    </xf>
    <xf numFmtId="3" fontId="20" fillId="4" borderId="1" xfId="2" applyNumberFormat="1" applyFont="1" applyFill="1" applyBorder="1" applyAlignment="1" applyProtection="1">
      <alignment horizontal="right" vertical="center" wrapText="1" indent="1"/>
      <protection locked="0"/>
    </xf>
    <xf numFmtId="164" fontId="20" fillId="4" borderId="7" xfId="2" applyNumberFormat="1" applyFont="1" applyFill="1" applyBorder="1" applyAlignment="1">
      <alignment horizontal="right" vertical="center" indent="1"/>
    </xf>
    <xf numFmtId="3" fontId="21" fillId="0" borderId="2" xfId="2" applyNumberFormat="1" applyFont="1" applyBorder="1" applyAlignment="1" applyProtection="1">
      <alignment horizontal="center" vertical="center"/>
      <protection locked="0"/>
    </xf>
    <xf numFmtId="3" fontId="21" fillId="0" borderId="11" xfId="2" applyNumberFormat="1" applyFont="1" applyBorder="1" applyAlignment="1" applyProtection="1">
      <alignment horizontal="left" vertical="center" wrapText="1" indent="1"/>
      <protection locked="0"/>
    </xf>
    <xf numFmtId="3" fontId="21" fillId="0" borderId="13" xfId="2" applyNumberFormat="1" applyFont="1" applyBorder="1" applyAlignment="1">
      <alignment horizontal="right" vertical="center" indent="1"/>
    </xf>
    <xf numFmtId="3" fontId="21" fillId="3" borderId="13" xfId="2" applyNumberFormat="1" applyFont="1" applyFill="1" applyBorder="1" applyAlignment="1">
      <alignment horizontal="right" vertical="center" indent="1"/>
    </xf>
    <xf numFmtId="3" fontId="21" fillId="0" borderId="13" xfId="2" applyNumberFormat="1" applyFont="1" applyBorder="1" applyAlignment="1" applyProtection="1">
      <alignment horizontal="right" vertical="center" indent="1"/>
      <protection locked="0"/>
    </xf>
    <xf numFmtId="164" fontId="21" fillId="0" borderId="19" xfId="2" applyNumberFormat="1" applyFont="1" applyBorder="1" applyAlignment="1" applyProtection="1">
      <alignment horizontal="right" vertical="center" indent="1"/>
      <protection locked="0"/>
    </xf>
    <xf numFmtId="3" fontId="21" fillId="0" borderId="11" xfId="2" applyNumberFormat="1" applyFont="1" applyBorder="1" applyAlignment="1" applyProtection="1">
      <alignment horizontal="left" vertical="center" indent="1"/>
      <protection locked="0"/>
    </xf>
    <xf numFmtId="164" fontId="21" fillId="0" borderId="18" xfId="2" applyNumberFormat="1" applyFont="1" applyBorder="1" applyAlignment="1" applyProtection="1">
      <alignment horizontal="right" vertical="center" indent="1"/>
      <protection locked="0"/>
    </xf>
    <xf numFmtId="0" fontId="21" fillId="4" borderId="9" xfId="2" applyFont="1" applyFill="1" applyBorder="1" applyAlignment="1">
      <alignment horizontal="center" vertical="center"/>
    </xf>
    <xf numFmtId="3" fontId="20" fillId="4" borderId="11" xfId="2" applyNumberFormat="1" applyFont="1" applyFill="1" applyBorder="1" applyAlignment="1" applyProtection="1">
      <alignment horizontal="left" vertical="center" wrapText="1" indent="1"/>
      <protection locked="0"/>
    </xf>
    <xf numFmtId="3" fontId="20" fillId="4" borderId="20" xfId="2" applyNumberFormat="1" applyFont="1" applyFill="1" applyBorder="1" applyAlignment="1" applyProtection="1">
      <alignment horizontal="right" vertical="center" wrapText="1" indent="1"/>
      <protection locked="0"/>
    </xf>
    <xf numFmtId="3" fontId="20" fillId="4" borderId="13" xfId="2" applyNumberFormat="1" applyFont="1" applyFill="1" applyBorder="1" applyAlignment="1">
      <alignment horizontal="right" vertical="center" indent="1"/>
    </xf>
    <xf numFmtId="164" fontId="20" fillId="4" borderId="21" xfId="2" applyNumberFormat="1" applyFont="1" applyFill="1" applyBorder="1" applyAlignment="1">
      <alignment horizontal="right" vertical="center" indent="1"/>
    </xf>
    <xf numFmtId="3" fontId="21" fillId="0" borderId="12" xfId="2" applyNumberFormat="1" applyFont="1" applyBorder="1" applyAlignment="1" applyProtection="1">
      <alignment horizontal="left" vertical="center" wrapText="1" indent="1"/>
      <protection locked="0"/>
    </xf>
    <xf numFmtId="3" fontId="21" fillId="0" borderId="13" xfId="2" applyNumberFormat="1" applyFont="1" applyBorder="1" applyAlignment="1" applyProtection="1">
      <alignment horizontal="left" vertical="center" wrapText="1" indent="1"/>
      <protection locked="0"/>
    </xf>
    <xf numFmtId="164" fontId="21" fillId="0" borderId="16" xfId="2" applyNumberFormat="1" applyFont="1" applyBorder="1" applyAlignment="1" applyProtection="1">
      <alignment horizontal="right" vertical="center" indent="1"/>
      <protection locked="0"/>
    </xf>
    <xf numFmtId="3" fontId="21" fillId="0" borderId="3" xfId="2" applyNumberFormat="1" applyFont="1" applyBorder="1" applyAlignment="1" applyProtection="1">
      <alignment horizontal="center" vertical="center"/>
      <protection locked="0"/>
    </xf>
    <xf numFmtId="3" fontId="21" fillId="0" borderId="14" xfId="2" applyNumberFormat="1" applyFont="1" applyBorder="1" applyAlignment="1" applyProtection="1">
      <alignment horizontal="left" vertical="center" wrapText="1" indent="1"/>
      <protection locked="0"/>
    </xf>
    <xf numFmtId="3" fontId="21" fillId="3" borderId="14" xfId="2" applyNumberFormat="1" applyFont="1" applyFill="1" applyBorder="1" applyAlignment="1">
      <alignment horizontal="right" vertical="center" indent="1"/>
    </xf>
    <xf numFmtId="3" fontId="21" fillId="0" borderId="14" xfId="2" applyNumberFormat="1" applyFont="1" applyBorder="1" applyAlignment="1" applyProtection="1">
      <alignment horizontal="right" vertical="center" indent="1"/>
      <protection locked="0"/>
    </xf>
    <xf numFmtId="164" fontId="21" fillId="0" borderId="17" xfId="2" applyNumberFormat="1" applyFont="1" applyBorder="1" applyAlignment="1" applyProtection="1">
      <alignment horizontal="right" vertical="center" indent="1"/>
      <protection locked="0"/>
    </xf>
    <xf numFmtId="3" fontId="21" fillId="0" borderId="6" xfId="2" applyNumberFormat="1" applyFont="1" applyFill="1" applyBorder="1" applyAlignment="1" applyProtection="1">
      <alignment horizontal="center" vertical="center"/>
      <protection locked="0"/>
    </xf>
    <xf numFmtId="3" fontId="20" fillId="0" borderId="15" xfId="2" applyNumberFormat="1" applyFont="1" applyFill="1" applyBorder="1" applyAlignment="1" applyProtection="1">
      <alignment horizontal="left" vertical="center" indent="1"/>
      <protection locked="0"/>
    </xf>
    <xf numFmtId="3" fontId="20" fillId="0" borderId="22" xfId="2" applyNumberFormat="1" applyFont="1" applyFill="1" applyBorder="1" applyAlignment="1" applyProtection="1">
      <alignment horizontal="right" vertical="center" indent="1"/>
      <protection hidden="1"/>
    </xf>
    <xf numFmtId="164" fontId="20" fillId="3" borderId="23" xfId="2" applyNumberFormat="1" applyFont="1" applyFill="1" applyBorder="1" applyAlignment="1">
      <alignment horizontal="right" vertical="center" indent="1"/>
    </xf>
    <xf numFmtId="174" fontId="26" fillId="3" borderId="13" xfId="2" applyNumberFormat="1" applyFont="1" applyFill="1" applyBorder="1" applyAlignment="1">
      <alignment horizontal="right" vertical="center" indent="1"/>
    </xf>
    <xf numFmtId="3" fontId="26" fillId="0" borderId="6" xfId="2" applyNumberFormat="1" applyFont="1" applyBorder="1" applyAlignment="1" applyProtection="1">
      <alignment horizontal="center" vertical="center"/>
      <protection locked="0"/>
    </xf>
    <xf numFmtId="0" fontId="25" fillId="6" borderId="0" xfId="2" applyFont="1" applyFill="1" applyAlignment="1" applyProtection="1">
      <alignment horizontal="left" vertical="center"/>
      <protection locked="0"/>
    </xf>
    <xf numFmtId="0" fontId="25" fillId="6" borderId="0" xfId="2" applyFont="1" applyFill="1" applyAlignment="1" applyProtection="1">
      <alignment vertical="center"/>
      <protection locked="0"/>
    </xf>
    <xf numFmtId="0" fontId="26" fillId="6" borderId="0" xfId="2" applyFont="1" applyFill="1" applyAlignment="1" applyProtection="1">
      <alignment vertical="center"/>
      <protection locked="0"/>
    </xf>
    <xf numFmtId="0" fontId="26" fillId="6" borderId="0" xfId="2" applyFont="1" applyFill="1" applyAlignment="1">
      <alignment vertical="center"/>
    </xf>
    <xf numFmtId="0" fontId="26" fillId="6" borderId="0" xfId="2" applyFont="1" applyFill="1" applyAlignment="1" applyProtection="1">
      <alignment horizontal="center" vertical="center"/>
      <protection locked="0"/>
    </xf>
    <xf numFmtId="0" fontId="26" fillId="6" borderId="0" xfId="2" applyFont="1" applyFill="1" applyAlignment="1" applyProtection="1">
      <alignment horizontal="right" vertical="center"/>
      <protection locked="0"/>
    </xf>
    <xf numFmtId="0" fontId="26" fillId="6" borderId="0" xfId="2" applyFont="1" applyFill="1" applyAlignment="1">
      <alignment horizontal="right" vertical="center"/>
    </xf>
    <xf numFmtId="165" fontId="26" fillId="0" borderId="18" xfId="2" applyNumberFormat="1" applyFont="1" applyBorder="1" applyAlignment="1" applyProtection="1">
      <alignment horizontal="right" vertical="center" indent="1"/>
      <protection locked="0"/>
    </xf>
    <xf numFmtId="3" fontId="26" fillId="7" borderId="6" xfId="2" applyNumberFormat="1" applyFont="1" applyFill="1" applyBorder="1" applyAlignment="1" applyProtection="1">
      <alignment horizontal="center" vertical="center"/>
      <protection locked="0"/>
    </xf>
    <xf numFmtId="3" fontId="27" fillId="7" borderId="15" xfId="2" applyNumberFormat="1" applyFont="1" applyFill="1" applyBorder="1" applyAlignment="1" applyProtection="1">
      <alignment horizontal="left" vertical="center" indent="1"/>
      <protection locked="0"/>
    </xf>
    <xf numFmtId="3" fontId="27" fillId="7" borderId="22" xfId="2" applyNumberFormat="1" applyFont="1" applyFill="1" applyBorder="1" applyAlignment="1" applyProtection="1">
      <alignment horizontal="right" vertical="center" indent="1"/>
      <protection hidden="1"/>
    </xf>
    <xf numFmtId="173" fontId="27" fillId="7" borderId="23" xfId="2" applyNumberFormat="1" applyFont="1" applyFill="1" applyBorder="1" applyAlignment="1">
      <alignment horizontal="right" vertical="center" indent="1"/>
    </xf>
    <xf numFmtId="0" fontId="27" fillId="4" borderId="8" xfId="2" applyFont="1" applyFill="1" applyBorder="1" applyAlignment="1">
      <alignment horizontal="center" vertical="center"/>
    </xf>
    <xf numFmtId="3" fontId="27" fillId="4" borderId="1" xfId="2" applyNumberFormat="1" applyFont="1" applyFill="1" applyBorder="1" applyAlignment="1" applyProtection="1">
      <alignment vertical="center" wrapText="1"/>
      <protection locked="0"/>
    </xf>
    <xf numFmtId="3" fontId="27" fillId="0" borderId="2" xfId="2" applyNumberFormat="1" applyFont="1" applyBorder="1" applyAlignment="1" applyProtection="1">
      <alignment horizontal="center" vertical="center"/>
      <protection locked="0"/>
    </xf>
    <xf numFmtId="3" fontId="27" fillId="0" borderId="11" xfId="2" applyNumberFormat="1" applyFont="1" applyBorder="1" applyAlignment="1" applyProtection="1">
      <alignment horizontal="left" vertical="center" wrapText="1" indent="1"/>
      <protection locked="0"/>
    </xf>
    <xf numFmtId="0" fontId="27" fillId="0" borderId="13" xfId="2" applyFont="1" applyBorder="1" applyAlignment="1">
      <alignment vertical="center"/>
    </xf>
    <xf numFmtId="173" fontId="26" fillId="3" borderId="13" xfId="2" applyNumberFormat="1" applyFont="1" applyFill="1" applyBorder="1" applyAlignment="1">
      <alignment horizontal="center" vertical="center"/>
    </xf>
    <xf numFmtId="3" fontId="27" fillId="0" borderId="13" xfId="2" applyNumberFormat="1" applyFont="1" applyBorder="1" applyAlignment="1" applyProtection="1">
      <alignment vertical="center"/>
      <protection locked="0"/>
    </xf>
    <xf numFmtId="3" fontId="26" fillId="0" borderId="19" xfId="2" applyNumberFormat="1" applyFont="1" applyBorder="1" applyAlignment="1" applyProtection="1">
      <alignment vertical="center"/>
      <protection locked="0"/>
    </xf>
    <xf numFmtId="0" fontId="26" fillId="0" borderId="13" xfId="2" applyFont="1" applyBorder="1" applyAlignment="1">
      <alignment vertical="center"/>
    </xf>
    <xf numFmtId="3" fontId="27" fillId="0" borderId="11" xfId="2" applyNumberFormat="1" applyFont="1" applyBorder="1" applyAlignment="1" applyProtection="1">
      <alignment horizontal="left" vertical="center" indent="1"/>
      <protection locked="0"/>
    </xf>
    <xf numFmtId="173" fontId="27" fillId="3" borderId="13" xfId="2" applyNumberFormat="1" applyFont="1" applyFill="1" applyBorder="1" applyAlignment="1">
      <alignment horizontal="right" vertical="center"/>
    </xf>
    <xf numFmtId="3" fontId="27" fillId="0" borderId="9" xfId="2" applyNumberFormat="1" applyFont="1" applyBorder="1" applyAlignment="1" applyProtection="1">
      <alignment horizontal="center" vertical="center"/>
      <protection locked="0"/>
    </xf>
    <xf numFmtId="173" fontId="27" fillId="3" borderId="20" xfId="2" applyNumberFormat="1" applyFont="1" applyFill="1" applyBorder="1" applyAlignment="1">
      <alignment horizontal="right" vertical="center"/>
    </xf>
    <xf numFmtId="3" fontId="27" fillId="0" borderId="20" xfId="2" applyNumberFormat="1" applyFont="1" applyBorder="1" applyAlignment="1" applyProtection="1">
      <alignment vertical="center"/>
      <protection locked="0"/>
    </xf>
    <xf numFmtId="0" fontId="27" fillId="4" borderId="9" xfId="2" applyFont="1" applyFill="1" applyBorder="1" applyAlignment="1">
      <alignment horizontal="center" vertical="center"/>
    </xf>
    <xf numFmtId="3" fontId="27" fillId="4" borderId="20" xfId="2" applyNumberFormat="1" applyFont="1" applyFill="1" applyBorder="1" applyAlignment="1" applyProtection="1">
      <alignment vertical="center" wrapText="1"/>
      <protection locked="0"/>
    </xf>
    <xf numFmtId="173" fontId="27" fillId="4" borderId="13" xfId="2" applyNumberFormat="1" applyFont="1" applyFill="1" applyBorder="1" applyAlignment="1">
      <alignment horizontal="center" vertical="center"/>
    </xf>
    <xf numFmtId="3" fontId="27" fillId="0" borderId="12" xfId="2" applyNumberFormat="1" applyFont="1" applyBorder="1" applyAlignment="1" applyProtection="1">
      <alignment horizontal="left" vertical="center" wrapText="1" indent="1"/>
      <protection locked="0"/>
    </xf>
    <xf numFmtId="3" fontId="27" fillId="0" borderId="13" xfId="2" applyNumberFormat="1" applyFont="1" applyBorder="1" applyAlignment="1" applyProtection="1">
      <alignment horizontal="left" vertical="center" wrapText="1" indent="1"/>
      <protection locked="0"/>
    </xf>
    <xf numFmtId="173" fontId="27" fillId="3" borderId="13" xfId="2" applyNumberFormat="1" applyFont="1" applyFill="1" applyBorder="1" applyAlignment="1">
      <alignment vertical="center"/>
    </xf>
    <xf numFmtId="3" fontId="26" fillId="0" borderId="16" xfId="2" applyNumberFormat="1" applyFont="1" applyBorder="1" applyAlignment="1" applyProtection="1">
      <alignment vertical="center"/>
      <protection locked="0"/>
    </xf>
    <xf numFmtId="173" fontId="26" fillId="3" borderId="14" xfId="2" applyNumberFormat="1" applyFont="1" applyFill="1" applyBorder="1" applyAlignment="1">
      <alignment horizontal="center" vertical="center"/>
    </xf>
    <xf numFmtId="3" fontId="26" fillId="0" borderId="14" xfId="2" applyNumberFormat="1" applyFont="1" applyBorder="1" applyAlignment="1" applyProtection="1">
      <alignment vertical="center"/>
      <protection locked="0"/>
    </xf>
    <xf numFmtId="3" fontId="27" fillId="0" borderId="6" xfId="2" applyNumberFormat="1" applyFont="1" applyFill="1" applyBorder="1" applyAlignment="1" applyProtection="1">
      <alignment horizontal="center" vertical="center"/>
      <protection locked="0"/>
    </xf>
    <xf numFmtId="3" fontId="27" fillId="0" borderId="22" xfId="2" applyNumberFormat="1" applyFont="1" applyFill="1" applyBorder="1" applyAlignment="1" applyProtection="1">
      <alignment vertical="center"/>
      <protection hidden="1"/>
    </xf>
    <xf numFmtId="3" fontId="26" fillId="0" borderId="12" xfId="2" applyNumberFormat="1" applyFont="1" applyBorder="1" applyAlignment="1" applyProtection="1">
      <alignment horizontal="left" wrapText="1" indent="1"/>
      <protection locked="0"/>
    </xf>
    <xf numFmtId="3" fontId="26" fillId="0" borderId="34" xfId="2" applyNumberFormat="1" applyFont="1" applyBorder="1" applyAlignment="1" applyProtection="1">
      <alignment horizontal="left" wrapText="1" indent="1"/>
      <protection locked="0"/>
    </xf>
    <xf numFmtId="0" fontId="33" fillId="0" borderId="12" xfId="0" applyFont="1" applyBorder="1" applyAlignment="1">
      <alignment horizontal="left" indent="1"/>
    </xf>
    <xf numFmtId="42" fontId="26" fillId="0" borderId="19" xfId="1" applyNumberFormat="1" applyFont="1" applyBorder="1" applyAlignment="1" applyProtection="1">
      <alignment horizontal="right" vertical="center" indent="1"/>
      <protection locked="0"/>
    </xf>
    <xf numFmtId="42" fontId="26" fillId="0" borderId="18" xfId="1" applyNumberFormat="1" applyFont="1" applyBorder="1" applyAlignment="1" applyProtection="1">
      <alignment horizontal="right" vertical="center" indent="1"/>
      <protection locked="0"/>
    </xf>
    <xf numFmtId="176" fontId="26" fillId="0" borderId="18" xfId="1" applyNumberFormat="1" applyFont="1" applyBorder="1" applyAlignment="1" applyProtection="1">
      <alignment horizontal="right" vertical="center" indent="1"/>
      <protection locked="0"/>
    </xf>
    <xf numFmtId="176" fontId="26" fillId="0" borderId="16" xfId="1" applyNumberFormat="1" applyFont="1" applyBorder="1" applyAlignment="1" applyProtection="1">
      <alignment horizontal="right" vertical="center" indent="1"/>
      <protection locked="0"/>
    </xf>
    <xf numFmtId="176" fontId="26" fillId="0" borderId="17" xfId="1" applyNumberFormat="1" applyFont="1" applyBorder="1" applyAlignment="1" applyProtection="1">
      <alignment horizontal="right" vertical="center" indent="1"/>
      <protection locked="0"/>
    </xf>
    <xf numFmtId="3" fontId="26" fillId="0" borderId="18" xfId="2" applyNumberFormat="1" applyFont="1" applyBorder="1" applyAlignment="1" applyProtection="1">
      <alignment horizontal="right" vertical="center" wrapText="1" indent="1"/>
      <protection locked="0"/>
    </xf>
    <xf numFmtId="3" fontId="26" fillId="6" borderId="11" xfId="2" applyNumberFormat="1" applyFont="1" applyFill="1" applyBorder="1" applyAlignment="1" applyProtection="1">
      <alignment horizontal="left" vertical="center" wrapText="1" indent="1"/>
      <protection locked="0"/>
    </xf>
    <xf numFmtId="3" fontId="26" fillId="6" borderId="20" xfId="2" applyNumberFormat="1" applyFont="1" applyFill="1" applyBorder="1" applyAlignment="1" applyProtection="1">
      <alignment horizontal="right" vertical="center" wrapText="1" indent="1"/>
      <protection locked="0"/>
    </xf>
    <xf numFmtId="173" fontId="26" fillId="6" borderId="13" xfId="2" applyNumberFormat="1" applyFont="1" applyFill="1" applyBorder="1" applyAlignment="1">
      <alignment horizontal="right" vertical="center" indent="1"/>
    </xf>
    <xf numFmtId="173" fontId="26" fillId="6" borderId="19" xfId="2" applyNumberFormat="1" applyFont="1" applyFill="1" applyBorder="1" applyAlignment="1">
      <alignment horizontal="right" vertical="center" indent="1"/>
    </xf>
    <xf numFmtId="3" fontId="27" fillId="4" borderId="15" xfId="2" applyNumberFormat="1" applyFont="1" applyFill="1" applyBorder="1" applyAlignment="1" applyProtection="1">
      <alignment horizontal="left" vertical="center" indent="1"/>
      <protection locked="0"/>
    </xf>
    <xf numFmtId="3" fontId="27" fillId="4" borderId="22" xfId="2" applyNumberFormat="1" applyFont="1" applyFill="1" applyBorder="1" applyAlignment="1" applyProtection="1">
      <alignment horizontal="right" vertical="center" indent="1"/>
      <protection hidden="1"/>
    </xf>
    <xf numFmtId="173" fontId="27" fillId="4" borderId="23" xfId="2" applyNumberFormat="1" applyFont="1" applyFill="1" applyBorder="1" applyAlignment="1">
      <alignment horizontal="right" vertical="center" indent="1"/>
    </xf>
    <xf numFmtId="164" fontId="27" fillId="4" borderId="7" xfId="2" applyNumberFormat="1" applyFont="1" applyFill="1" applyBorder="1" applyAlignment="1">
      <alignment horizontal="right" vertical="center" indent="1"/>
    </xf>
    <xf numFmtId="164" fontId="26" fillId="0" borderId="19" xfId="2" applyNumberFormat="1" applyFont="1" applyBorder="1" applyAlignment="1" applyProtection="1">
      <alignment horizontal="right" vertical="center" indent="1"/>
      <protection locked="0"/>
    </xf>
    <xf numFmtId="164" fontId="26" fillId="0" borderId="18" xfId="2" applyNumberFormat="1" applyFont="1" applyBorder="1" applyAlignment="1" applyProtection="1">
      <alignment horizontal="right" vertical="center" indent="1"/>
      <protection locked="0"/>
    </xf>
    <xf numFmtId="164" fontId="27" fillId="4" borderId="21" xfId="2" applyNumberFormat="1" applyFont="1" applyFill="1" applyBorder="1" applyAlignment="1">
      <alignment horizontal="right" vertical="center" indent="1"/>
    </xf>
    <xf numFmtId="164" fontId="26" fillId="0" borderId="17" xfId="2" applyNumberFormat="1" applyFont="1" applyBorder="1" applyAlignment="1" applyProtection="1">
      <alignment horizontal="right" vertical="center" indent="1"/>
      <protection locked="0"/>
    </xf>
    <xf numFmtId="3" fontId="26" fillId="0" borderId="35" xfId="2" applyNumberFormat="1" applyFont="1" applyBorder="1" applyAlignment="1" applyProtection="1">
      <alignment horizontal="center" vertical="center"/>
      <protection locked="0"/>
    </xf>
    <xf numFmtId="3" fontId="26" fillId="0" borderId="35" xfId="2" applyNumberFormat="1" applyFont="1" applyBorder="1" applyAlignment="1" applyProtection="1">
      <alignment horizontal="left" vertical="center" wrapText="1" indent="1"/>
      <protection locked="0"/>
    </xf>
    <xf numFmtId="173" fontId="26" fillId="3" borderId="35" xfId="2" applyNumberFormat="1" applyFont="1" applyFill="1" applyBorder="1" applyAlignment="1">
      <alignment horizontal="right" vertical="center" indent="1"/>
    </xf>
    <xf numFmtId="3" fontId="26" fillId="0" borderId="35" xfId="2" applyNumberFormat="1" applyFont="1" applyBorder="1" applyAlignment="1" applyProtection="1">
      <alignment horizontal="right" vertical="center" indent="1"/>
      <protection locked="0"/>
    </xf>
    <xf numFmtId="164" fontId="26" fillId="0" borderId="35" xfId="2" applyNumberFormat="1" applyFont="1" applyBorder="1" applyAlignment="1" applyProtection="1">
      <alignment horizontal="right" vertical="center" indent="1"/>
      <protection locked="0"/>
    </xf>
    <xf numFmtId="0" fontId="34" fillId="0" borderId="35" xfId="0" applyFont="1" applyBorder="1"/>
    <xf numFmtId="164" fontId="27" fillId="3" borderId="23" xfId="2" applyNumberFormat="1" applyFont="1" applyFill="1" applyBorder="1" applyAlignment="1">
      <alignment horizontal="right" vertical="center" indent="1"/>
    </xf>
    <xf numFmtId="0" fontId="35" fillId="0" borderId="0" xfId="2" applyFont="1" applyAlignment="1">
      <alignment horizontal="right" vertical="center"/>
    </xf>
    <xf numFmtId="0" fontId="27" fillId="4" borderId="1" xfId="2" applyFont="1" applyFill="1" applyBorder="1" applyAlignment="1" applyProtection="1">
      <alignment horizontal="center" vertical="center" wrapText="1"/>
      <protection locked="0"/>
    </xf>
    <xf numFmtId="0" fontId="27" fillId="4" borderId="1" xfId="2" quotePrefix="1" applyFont="1" applyFill="1" applyBorder="1" applyAlignment="1" applyProtection="1">
      <alignment horizontal="center" vertical="center" wrapText="1"/>
      <protection locked="0"/>
    </xf>
    <xf numFmtId="0" fontId="27" fillId="4" borderId="7" xfId="2" applyFont="1" applyFill="1" applyBorder="1" applyAlignment="1" applyProtection="1">
      <alignment horizontal="center" vertical="center" wrapText="1"/>
      <protection locked="0"/>
    </xf>
    <xf numFmtId="0" fontId="27" fillId="4" borderId="4" xfId="2" applyFont="1" applyFill="1" applyBorder="1" applyAlignment="1" applyProtection="1">
      <alignment horizontal="center" vertical="center" wrapText="1"/>
      <protection locked="0"/>
    </xf>
    <xf numFmtId="0" fontId="27" fillId="4" borderId="5" xfId="2" applyFont="1" applyFill="1" applyBorder="1" applyAlignment="1" applyProtection="1">
      <alignment horizontal="center" vertical="center" wrapText="1"/>
      <protection locked="0"/>
    </xf>
    <xf numFmtId="3" fontId="25" fillId="4" borderId="1" xfId="2" applyNumberFormat="1" applyFont="1" applyFill="1" applyBorder="1" applyAlignment="1" applyProtection="1">
      <alignment vertical="center" wrapText="1"/>
      <protection locked="0"/>
    </xf>
    <xf numFmtId="3" fontId="25" fillId="4" borderId="21" xfId="2" applyNumberFormat="1" applyFont="1" applyFill="1" applyBorder="1" applyAlignment="1">
      <alignment horizontal="center" vertical="center"/>
    </xf>
    <xf numFmtId="3" fontId="36" fillId="6" borderId="13" xfId="2" applyNumberFormat="1" applyFont="1" applyFill="1" applyBorder="1" applyAlignment="1">
      <alignment vertical="center"/>
    </xf>
    <xf numFmtId="3" fontId="36" fillId="6" borderId="13" xfId="2" applyNumberFormat="1" applyFont="1" applyFill="1" applyBorder="1" applyAlignment="1">
      <alignment horizontal="center" vertical="center"/>
    </xf>
    <xf numFmtId="3" fontId="36" fillId="6" borderId="13" xfId="2" applyNumberFormat="1" applyFont="1" applyFill="1" applyBorder="1" applyAlignment="1" applyProtection="1">
      <alignment vertical="center"/>
      <protection locked="0"/>
    </xf>
    <xf numFmtId="3" fontId="36" fillId="6" borderId="19" xfId="2" applyNumberFormat="1" applyFont="1" applyFill="1" applyBorder="1" applyAlignment="1" applyProtection="1">
      <alignment vertical="center"/>
      <protection locked="0"/>
    </xf>
    <xf numFmtId="3" fontId="36" fillId="6" borderId="13" xfId="2" applyNumberFormat="1" applyFont="1" applyFill="1" applyBorder="1" applyAlignment="1" applyProtection="1">
      <alignment horizontal="center" vertical="center"/>
      <protection locked="0"/>
    </xf>
    <xf numFmtId="3" fontId="36" fillId="6" borderId="19" xfId="2" applyNumberFormat="1" applyFont="1" applyFill="1" applyBorder="1" applyAlignment="1" applyProtection="1">
      <alignment horizontal="center" vertical="center"/>
      <protection locked="0"/>
    </xf>
    <xf numFmtId="3" fontId="9" fillId="4" borderId="20" xfId="2" applyNumberFormat="1" applyFont="1" applyFill="1" applyBorder="1" applyAlignment="1" applyProtection="1">
      <alignment vertical="center" wrapText="1"/>
      <protection locked="0"/>
    </xf>
    <xf numFmtId="3" fontId="12" fillId="6" borderId="13" xfId="2" applyNumberFormat="1" applyFont="1" applyFill="1" applyBorder="1" applyAlignment="1" applyProtection="1">
      <alignment vertical="center"/>
      <protection hidden="1"/>
    </xf>
    <xf numFmtId="3" fontId="26" fillId="4" borderId="3" xfId="2" applyNumberFormat="1" applyFont="1" applyFill="1" applyBorder="1" applyAlignment="1" applyProtection="1">
      <alignment horizontal="center" vertical="center"/>
      <protection locked="0"/>
    </xf>
    <xf numFmtId="0" fontId="10" fillId="4" borderId="11" xfId="2" applyFont="1" applyFill="1" applyBorder="1" applyAlignment="1" applyProtection="1">
      <alignment vertical="center" wrapText="1"/>
      <protection locked="0"/>
    </xf>
    <xf numFmtId="3" fontId="9" fillId="4" borderId="14" xfId="2" applyNumberFormat="1" applyFont="1" applyFill="1" applyBorder="1" applyAlignment="1" applyProtection="1">
      <alignment vertical="center"/>
      <protection hidden="1"/>
    </xf>
    <xf numFmtId="3" fontId="36" fillId="4" borderId="19" xfId="2" applyNumberFormat="1" applyFont="1" applyFill="1" applyBorder="1" applyAlignment="1" applyProtection="1">
      <alignment vertical="center"/>
      <protection locked="0"/>
    </xf>
    <xf numFmtId="0" fontId="23" fillId="6" borderId="11" xfId="2" applyFont="1" applyFill="1" applyBorder="1" applyAlignment="1">
      <alignment vertical="center" wrapText="1"/>
    </xf>
    <xf numFmtId="3" fontId="36" fillId="6" borderId="14" xfId="2" applyNumberFormat="1" applyFont="1" applyFill="1" applyBorder="1" applyAlignment="1">
      <alignment vertical="center"/>
    </xf>
    <xf numFmtId="3" fontId="36" fillId="6" borderId="14" xfId="2" applyNumberFormat="1" applyFont="1" applyFill="1" applyBorder="1" applyAlignment="1" applyProtection="1">
      <alignment vertical="center"/>
      <protection locked="0"/>
    </xf>
    <xf numFmtId="3" fontId="3" fillId="6" borderId="3" xfId="2" applyNumberFormat="1" applyFont="1" applyFill="1" applyBorder="1" applyAlignment="1" applyProtection="1">
      <alignment vertical="center"/>
      <protection locked="0"/>
    </xf>
    <xf numFmtId="0" fontId="23" fillId="6" borderId="36" xfId="2" applyFont="1" applyFill="1" applyBorder="1" applyAlignment="1">
      <alignment vertical="center" wrapText="1"/>
    </xf>
    <xf numFmtId="3" fontId="36" fillId="6" borderId="14" xfId="2" applyNumberFormat="1" applyFont="1" applyFill="1" applyBorder="1" applyAlignment="1">
      <alignment horizontal="center" vertical="center"/>
    </xf>
    <xf numFmtId="3" fontId="36" fillId="6" borderId="37" xfId="2" applyNumberFormat="1" applyFont="1" applyFill="1" applyBorder="1" applyAlignment="1" applyProtection="1">
      <alignment vertical="center"/>
      <protection locked="0"/>
    </xf>
    <xf numFmtId="3" fontId="10" fillId="4" borderId="6" xfId="2" applyNumberFormat="1" applyFont="1" applyFill="1" applyBorder="1" applyAlignment="1" applyProtection="1">
      <alignment horizontal="center" vertical="center"/>
      <protection locked="0"/>
    </xf>
    <xf numFmtId="3" fontId="25" fillId="4" borderId="22" xfId="2" applyNumberFormat="1" applyFont="1" applyFill="1" applyBorder="1" applyAlignment="1" applyProtection="1">
      <alignment vertical="center"/>
      <protection hidden="1"/>
    </xf>
    <xf numFmtId="3" fontId="25" fillId="4" borderId="23" xfId="2" applyNumberFormat="1" applyFont="1" applyFill="1" applyBorder="1" applyAlignment="1">
      <alignment horizontal="center" vertical="center"/>
    </xf>
    <xf numFmtId="3" fontId="26" fillId="0" borderId="13" xfId="2" applyNumberFormat="1" applyFont="1" applyBorder="1" applyAlignment="1" applyProtection="1">
      <alignment horizontal="left" vertical="top" wrapText="1"/>
      <protection locked="0"/>
    </xf>
    <xf numFmtId="173" fontId="26" fillId="3" borderId="33" xfId="2" applyNumberFormat="1" applyFont="1" applyFill="1" applyBorder="1" applyAlignment="1">
      <alignment horizontal="right" vertical="center" indent="1"/>
    </xf>
    <xf numFmtId="49" fontId="27" fillId="4" borderId="7" xfId="2" applyNumberFormat="1" applyFont="1" applyFill="1" applyBorder="1" applyAlignment="1">
      <alignment horizontal="right" vertical="center"/>
    </xf>
    <xf numFmtId="173" fontId="26" fillId="3" borderId="13" xfId="2" applyNumberFormat="1" applyFont="1" applyFill="1" applyBorder="1" applyAlignment="1">
      <alignment vertical="center"/>
    </xf>
    <xf numFmtId="49" fontId="26" fillId="0" borderId="19" xfId="2" applyNumberFormat="1" applyFont="1" applyBorder="1" applyAlignment="1" applyProtection="1">
      <alignment horizontal="right" vertical="center"/>
      <protection locked="0"/>
    </xf>
    <xf numFmtId="49" fontId="26" fillId="0" borderId="18" xfId="2" applyNumberFormat="1" applyFont="1" applyBorder="1" applyAlignment="1" applyProtection="1">
      <alignment horizontal="right" vertical="center"/>
      <protection locked="0"/>
    </xf>
    <xf numFmtId="49" fontId="27" fillId="4" borderId="21" xfId="2" applyNumberFormat="1" applyFont="1" applyFill="1" applyBorder="1" applyAlignment="1" applyProtection="1">
      <alignment horizontal="right" vertical="center"/>
      <protection locked="0"/>
    </xf>
    <xf numFmtId="173" fontId="26" fillId="0" borderId="13" xfId="2" applyNumberFormat="1" applyFont="1" applyFill="1" applyBorder="1" applyAlignment="1">
      <alignment vertical="center"/>
    </xf>
    <xf numFmtId="49" fontId="26" fillId="0" borderId="18" xfId="2" applyNumberFormat="1" applyFont="1" applyFill="1" applyBorder="1" applyAlignment="1" applyProtection="1">
      <alignment horizontal="right" vertical="center"/>
      <protection locked="0"/>
    </xf>
    <xf numFmtId="49" fontId="26" fillId="0" borderId="16" xfId="2" applyNumberFormat="1" applyFont="1" applyBorder="1" applyAlignment="1" applyProtection="1">
      <alignment horizontal="right" vertical="center"/>
      <protection locked="0"/>
    </xf>
    <xf numFmtId="173" fontId="26" fillId="3" borderId="14" xfId="2" applyNumberFormat="1" applyFont="1" applyFill="1" applyBorder="1" applyAlignment="1">
      <alignment vertical="center"/>
    </xf>
    <xf numFmtId="49" fontId="26" fillId="3" borderId="14" xfId="2" applyNumberFormat="1" applyFont="1" applyFill="1" applyBorder="1" applyAlignment="1">
      <alignment vertical="top"/>
    </xf>
    <xf numFmtId="49" fontId="26" fillId="0" borderId="17" xfId="2" applyNumberFormat="1" applyFont="1" applyBorder="1" applyAlignment="1" applyProtection="1">
      <alignment horizontal="right" vertical="center"/>
      <protection locked="0"/>
    </xf>
    <xf numFmtId="49" fontId="26" fillId="3" borderId="14" xfId="2" applyNumberFormat="1" applyFont="1" applyFill="1" applyBorder="1" applyAlignment="1">
      <alignment vertical="center"/>
    </xf>
    <xf numFmtId="49" fontId="26" fillId="3" borderId="13" xfId="2" applyNumberFormat="1" applyFont="1" applyFill="1" applyBorder="1" applyAlignment="1">
      <alignment vertical="center"/>
    </xf>
    <xf numFmtId="3" fontId="26" fillId="0" borderId="0" xfId="2" applyNumberFormat="1" applyFont="1" applyBorder="1" applyAlignment="1" applyProtection="1">
      <alignment horizontal="left" vertical="center" wrapText="1" indent="1"/>
      <protection locked="0"/>
    </xf>
    <xf numFmtId="173" fontId="26" fillId="3" borderId="38" xfId="2" applyNumberFormat="1" applyFont="1" applyFill="1" applyBorder="1" applyAlignment="1">
      <alignment vertical="center"/>
    </xf>
    <xf numFmtId="49" fontId="26" fillId="3" borderId="38" xfId="2" applyNumberFormat="1" applyFont="1" applyFill="1" applyBorder="1" applyAlignment="1">
      <alignment vertical="center"/>
    </xf>
    <xf numFmtId="3" fontId="26" fillId="0" borderId="38" xfId="2" applyNumberFormat="1" applyFont="1" applyBorder="1" applyAlignment="1" applyProtection="1">
      <alignment vertical="center"/>
      <protection locked="0"/>
    </xf>
    <xf numFmtId="49" fontId="26" fillId="0" borderId="39" xfId="2" applyNumberFormat="1" applyFont="1" applyBorder="1" applyAlignment="1" applyProtection="1">
      <alignment horizontal="right" vertical="center"/>
      <protection locked="0"/>
    </xf>
    <xf numFmtId="49" fontId="27" fillId="3" borderId="23" xfId="2" applyNumberFormat="1" applyFont="1" applyFill="1" applyBorder="1" applyAlignment="1">
      <alignment horizontal="right" vertical="center"/>
    </xf>
    <xf numFmtId="3" fontId="26" fillId="6" borderId="13" xfId="2" applyNumberFormat="1" applyFont="1" applyFill="1" applyBorder="1" applyAlignment="1" applyProtection="1">
      <alignment horizontal="right" vertical="center" indent="1"/>
      <protection locked="0"/>
    </xf>
    <xf numFmtId="3" fontId="26" fillId="6" borderId="18" xfId="2" applyNumberFormat="1" applyFont="1" applyFill="1" applyBorder="1" applyAlignment="1" applyProtection="1">
      <alignment horizontal="right" vertical="center" indent="1"/>
      <protection locked="0"/>
    </xf>
    <xf numFmtId="0" fontId="13" fillId="0" borderId="0" xfId="2" applyFont="1" applyBorder="1" applyAlignment="1" applyProtection="1">
      <alignment vertical="center"/>
      <protection locked="0"/>
    </xf>
    <xf numFmtId="179" fontId="27" fillId="4" borderId="7" xfId="2" applyNumberFormat="1" applyFont="1" applyFill="1" applyBorder="1" applyAlignment="1">
      <alignment horizontal="right" vertical="center" indent="1"/>
    </xf>
    <xf numFmtId="179" fontId="26" fillId="0" borderId="19" xfId="2" applyNumberFormat="1" applyFont="1" applyBorder="1" applyAlignment="1" applyProtection="1">
      <alignment horizontal="right" vertical="center" indent="1"/>
      <protection locked="0"/>
    </xf>
    <xf numFmtId="179" fontId="26" fillId="0" borderId="18" xfId="2" applyNumberFormat="1" applyFont="1" applyBorder="1" applyAlignment="1" applyProtection="1">
      <alignment horizontal="right" vertical="center" indent="1"/>
      <protection locked="0"/>
    </xf>
    <xf numFmtId="179" fontId="27" fillId="4" borderId="21" xfId="2" applyNumberFormat="1" applyFont="1" applyFill="1" applyBorder="1" applyAlignment="1">
      <alignment horizontal="right" vertical="center" indent="1"/>
    </xf>
    <xf numFmtId="179" fontId="26" fillId="0" borderId="16" xfId="2" applyNumberFormat="1" applyFont="1" applyBorder="1" applyAlignment="1" applyProtection="1">
      <alignment horizontal="right" vertical="center" indent="1"/>
      <protection locked="0"/>
    </xf>
    <xf numFmtId="179" fontId="26" fillId="0" borderId="17" xfId="2" applyNumberFormat="1" applyFont="1" applyBorder="1" applyAlignment="1" applyProtection="1">
      <alignment horizontal="right" vertical="center" indent="1"/>
      <protection locked="0"/>
    </xf>
    <xf numFmtId="179" fontId="27" fillId="3" borderId="23" xfId="2" applyNumberFormat="1" applyFont="1" applyFill="1" applyBorder="1" applyAlignment="1">
      <alignment horizontal="right" vertical="center" indent="1"/>
    </xf>
    <xf numFmtId="3" fontId="26" fillId="0" borderId="0" xfId="2" applyNumberFormat="1" applyFont="1" applyBorder="1" applyAlignment="1">
      <alignment horizontal="right" vertical="center" indent="1"/>
    </xf>
    <xf numFmtId="3" fontId="26" fillId="0" borderId="0" xfId="2" applyNumberFormat="1" applyFont="1" applyAlignment="1">
      <alignment vertical="center"/>
    </xf>
    <xf numFmtId="0" fontId="3" fillId="0" borderId="0" xfId="2" applyFont="1" applyAlignment="1" applyProtection="1">
      <alignment horizontal="left" vertical="center" wrapText="1"/>
      <protection locked="0"/>
    </xf>
    <xf numFmtId="0" fontId="26" fillId="0" borderId="24" xfId="2" applyFont="1" applyBorder="1" applyAlignment="1" applyProtection="1">
      <alignment horizontal="center" vertical="center" wrapText="1"/>
      <protection locked="0"/>
    </xf>
    <xf numFmtId="0" fontId="26" fillId="0" borderId="40" xfId="2" applyFont="1" applyBorder="1" applyAlignment="1" applyProtection="1">
      <alignment horizontal="center" vertical="center" wrapText="1"/>
      <protection locked="0"/>
    </xf>
    <xf numFmtId="0" fontId="26" fillId="0" borderId="41" xfId="2" applyFont="1" applyBorder="1" applyAlignment="1" applyProtection="1">
      <alignment horizontal="center" vertical="center" wrapText="1"/>
      <protection locked="0"/>
    </xf>
    <xf numFmtId="0" fontId="26" fillId="0" borderId="4" xfId="2" applyFont="1" applyBorder="1" applyAlignment="1" applyProtection="1">
      <alignment horizontal="center" vertical="center" wrapText="1"/>
      <protection locked="0"/>
    </xf>
    <xf numFmtId="0" fontId="3" fillId="0" borderId="24" xfId="2" applyFont="1" applyBorder="1" applyAlignment="1" applyProtection="1">
      <alignment horizontal="center" vertical="center" wrapText="1"/>
    </xf>
    <xf numFmtId="0" fontId="3" fillId="0" borderId="40" xfId="2" applyFont="1" applyBorder="1" applyAlignment="1" applyProtection="1">
      <alignment horizontal="center" vertical="center" wrapText="1"/>
    </xf>
    <xf numFmtId="0" fontId="3" fillId="0" borderId="41" xfId="2" applyFont="1" applyBorder="1" applyAlignment="1" applyProtection="1">
      <alignment horizontal="center" vertical="center" wrapText="1"/>
    </xf>
    <xf numFmtId="0" fontId="3" fillId="0" borderId="4" xfId="2" applyFont="1" applyBorder="1" applyAlignment="1" applyProtection="1">
      <alignment horizontal="center" vertical="center" wrapText="1"/>
    </xf>
    <xf numFmtId="0" fontId="37" fillId="0" borderId="0" xfId="2" applyFont="1" applyAlignment="1" applyProtection="1">
      <alignment horizontal="left" vertical="center"/>
      <protection locked="0"/>
    </xf>
    <xf numFmtId="0" fontId="38" fillId="0" borderId="0" xfId="0" applyFont="1" applyAlignment="1"/>
    <xf numFmtId="0" fontId="2" fillId="0" borderId="0" xfId="2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2" fillId="0" borderId="13" xfId="2" applyFont="1" applyBorder="1" applyAlignment="1" applyProtection="1">
      <alignment horizontal="center" vertical="center" textRotation="90" wrapText="1"/>
      <protection locked="0"/>
    </xf>
    <xf numFmtId="0" fontId="2" fillId="0" borderId="13" xfId="2" applyFont="1" applyBorder="1" applyAlignment="1" applyProtection="1">
      <alignment horizontal="center" vertical="center" wrapText="1"/>
      <protection locked="0"/>
    </xf>
    <xf numFmtId="0" fontId="3" fillId="0" borderId="24" xfId="2" applyFont="1" applyBorder="1" applyAlignment="1" applyProtection="1">
      <alignment horizontal="center" vertical="center" wrapText="1"/>
      <protection locked="0"/>
    </xf>
    <xf numFmtId="0" fontId="3" fillId="0" borderId="40" xfId="2" applyFont="1" applyBorder="1" applyAlignment="1" applyProtection="1">
      <alignment horizontal="center" vertical="center" wrapText="1"/>
      <protection locked="0"/>
    </xf>
    <xf numFmtId="0" fontId="3" fillId="0" borderId="41" xfId="2" applyFont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17" fillId="0" borderId="24" xfId="2" applyFont="1" applyBorder="1" applyAlignment="1" applyProtection="1">
      <alignment horizontal="center" vertical="center" wrapText="1"/>
      <protection locked="0"/>
    </xf>
    <xf numFmtId="0" fontId="17" fillId="0" borderId="40" xfId="2" applyFont="1" applyBorder="1" applyAlignment="1" applyProtection="1">
      <alignment horizontal="center" vertical="center" wrapText="1"/>
      <protection locked="0"/>
    </xf>
    <xf numFmtId="0" fontId="17" fillId="0" borderId="41" xfId="2" applyFont="1" applyBorder="1" applyAlignment="1" applyProtection="1">
      <alignment horizontal="center" vertical="center" wrapText="1"/>
      <protection locked="0"/>
    </xf>
    <xf numFmtId="0" fontId="17" fillId="0" borderId="4" xfId="2" applyFont="1" applyBorder="1" applyAlignment="1" applyProtection="1">
      <alignment horizontal="center" vertical="center" wrapText="1"/>
      <protection locked="0"/>
    </xf>
    <xf numFmtId="0" fontId="13" fillId="6" borderId="13" xfId="2" applyFont="1" applyFill="1" applyBorder="1" applyAlignment="1" applyProtection="1">
      <alignment horizontal="center" vertical="center" wrapText="1"/>
      <protection locked="0"/>
    </xf>
    <xf numFmtId="0" fontId="13" fillId="6" borderId="42" xfId="2" applyFont="1" applyFill="1" applyBorder="1" applyAlignment="1" applyProtection="1">
      <alignment horizontal="center" vertical="center" wrapText="1"/>
      <protection locked="0"/>
    </xf>
    <xf numFmtId="0" fontId="13" fillId="6" borderId="9" xfId="2" applyFont="1" applyFill="1" applyBorder="1" applyAlignment="1" applyProtection="1">
      <alignment horizontal="center" vertical="center" wrapText="1"/>
      <protection locked="0"/>
    </xf>
    <xf numFmtId="173" fontId="26" fillId="3" borderId="14" xfId="2" applyNumberFormat="1" applyFont="1" applyFill="1" applyBorder="1" applyAlignment="1">
      <alignment horizontal="right" vertical="center"/>
    </xf>
    <xf numFmtId="173" fontId="26" fillId="3" borderId="20" xfId="2" applyNumberFormat="1" applyFont="1" applyFill="1" applyBorder="1" applyAlignment="1">
      <alignment horizontal="right" vertical="center"/>
    </xf>
    <xf numFmtId="3" fontId="26" fillId="0" borderId="14" xfId="2" applyNumberFormat="1" applyFont="1" applyFill="1" applyBorder="1" applyAlignment="1" applyProtection="1">
      <alignment horizontal="right" vertical="center" indent="1"/>
      <protection locked="0"/>
    </xf>
    <xf numFmtId="3" fontId="26" fillId="0" borderId="20" xfId="2" applyNumberFormat="1" applyFont="1" applyFill="1" applyBorder="1" applyAlignment="1" applyProtection="1">
      <alignment horizontal="right" vertical="center" indent="1"/>
      <protection locked="0"/>
    </xf>
    <xf numFmtId="3" fontId="26" fillId="0" borderId="17" xfId="2" applyNumberFormat="1" applyFont="1" applyBorder="1" applyAlignment="1" applyProtection="1">
      <alignment horizontal="right" vertical="center" indent="1"/>
      <protection locked="0"/>
    </xf>
    <xf numFmtId="3" fontId="26" fillId="0" borderId="21" xfId="2" applyNumberFormat="1" applyFont="1" applyBorder="1" applyAlignment="1" applyProtection="1">
      <alignment horizontal="right" vertical="center" indent="1"/>
      <protection locked="0"/>
    </xf>
    <xf numFmtId="0" fontId="21" fillId="0" borderId="24" xfId="2" applyFont="1" applyBorder="1" applyAlignment="1" applyProtection="1">
      <alignment horizontal="center" vertical="center" wrapText="1"/>
      <protection locked="0"/>
    </xf>
    <xf numFmtId="0" fontId="21" fillId="0" borderId="40" xfId="2" applyFont="1" applyBorder="1" applyAlignment="1" applyProtection="1">
      <alignment horizontal="center" vertical="center" wrapText="1"/>
      <protection locked="0"/>
    </xf>
    <xf numFmtId="0" fontId="21" fillId="0" borderId="41" xfId="2" applyFont="1" applyBorder="1" applyAlignment="1" applyProtection="1">
      <alignment horizontal="center" vertical="center" wrapText="1"/>
      <protection locked="0"/>
    </xf>
    <xf numFmtId="0" fontId="21" fillId="0" borderId="4" xfId="2" applyFont="1" applyBorder="1" applyAlignment="1" applyProtection="1">
      <alignment horizontal="center" vertical="center" wrapText="1"/>
      <protection locked="0"/>
    </xf>
    <xf numFmtId="0" fontId="27" fillId="4" borderId="24" xfId="2" applyFont="1" applyFill="1" applyBorder="1" applyAlignment="1" applyProtection="1">
      <alignment horizontal="center" vertical="center" wrapText="1"/>
      <protection locked="0"/>
    </xf>
    <xf numFmtId="0" fontId="27" fillId="4" borderId="40" xfId="2" applyFont="1" applyFill="1" applyBorder="1" applyAlignment="1" applyProtection="1">
      <alignment horizontal="center" vertical="center" wrapText="1"/>
      <protection locked="0"/>
    </xf>
    <xf numFmtId="0" fontId="27" fillId="4" borderId="41" xfId="2" applyFont="1" applyFill="1" applyBorder="1" applyAlignment="1" applyProtection="1">
      <alignment horizontal="center" vertical="center" wrapText="1"/>
      <protection locked="0"/>
    </xf>
    <xf numFmtId="0" fontId="27" fillId="4" borderId="4" xfId="2" applyFont="1" applyFill="1" applyBorder="1" applyAlignment="1" applyProtection="1">
      <alignment horizontal="center" vertical="center" wrapText="1"/>
      <protection locked="0"/>
    </xf>
  </cellXfs>
  <cellStyles count="4">
    <cellStyle name="Měna" xfId="1" builtinId="4"/>
    <cellStyle name="Normální" xfId="0" builtinId="0"/>
    <cellStyle name="normální 2" xfId="2"/>
    <cellStyle name="normální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N25"/>
  <sheetViews>
    <sheetView zoomScaleNormal="100" workbookViewId="0">
      <selection activeCell="T21" sqref="T21:T22"/>
    </sheetView>
  </sheetViews>
  <sheetFormatPr defaultRowHeight="15"/>
  <cols>
    <col min="1" max="1" width="3.42578125" style="6" customWidth="1"/>
    <col min="2" max="2" width="49.5703125" style="4" customWidth="1"/>
    <col min="3" max="3" width="16.42578125" style="4" customWidth="1"/>
    <col min="4" max="4" width="17.7109375" style="4" customWidth="1"/>
    <col min="5" max="5" width="17.28515625" style="4" customWidth="1"/>
    <col min="6" max="6" width="17" style="4" customWidth="1"/>
    <col min="7" max="7" width="9.140625" style="4"/>
    <col min="8" max="8" width="10.140625" hidden="1" customWidth="1"/>
    <col min="9" max="10" width="0" hidden="1" customWidth="1"/>
    <col min="11" max="15" width="0" style="4" hidden="1" customWidth="1"/>
    <col min="16" max="16384" width="9.140625" style="4"/>
  </cols>
  <sheetData>
    <row r="1" spans="1:14" ht="15.75">
      <c r="A1" s="28" t="s">
        <v>19</v>
      </c>
      <c r="B1" s="1"/>
      <c r="C1" s="2"/>
      <c r="D1" s="2"/>
      <c r="E1" s="2"/>
    </row>
    <row r="2" spans="1:14" ht="15.75" thickBot="1">
      <c r="A2" s="5"/>
      <c r="B2" s="2"/>
      <c r="C2" s="2"/>
      <c r="D2" s="3"/>
      <c r="E2" s="2"/>
      <c r="F2" s="15" t="s">
        <v>9</v>
      </c>
    </row>
    <row r="3" spans="1:14" ht="26.25" customHeight="1">
      <c r="A3" s="472" t="s">
        <v>0</v>
      </c>
      <c r="B3" s="474" t="s">
        <v>2</v>
      </c>
      <c r="C3" s="47" t="s">
        <v>24</v>
      </c>
      <c r="D3" s="8" t="s">
        <v>27</v>
      </c>
      <c r="E3" s="26" t="s">
        <v>15</v>
      </c>
      <c r="F3" s="27" t="s">
        <v>18</v>
      </c>
    </row>
    <row r="4" spans="1:14" ht="12" customHeight="1" thickBot="1">
      <c r="A4" s="473"/>
      <c r="B4" s="475"/>
      <c r="C4" s="21" t="s">
        <v>5</v>
      </c>
      <c r="D4" s="21" t="s">
        <v>6</v>
      </c>
      <c r="E4" s="21" t="s">
        <v>7</v>
      </c>
      <c r="F4" s="22" t="s">
        <v>8</v>
      </c>
    </row>
    <row r="5" spans="1:14" ht="18" customHeight="1">
      <c r="A5" s="35">
        <v>1</v>
      </c>
      <c r="B5" s="38" t="s">
        <v>17</v>
      </c>
      <c r="C5" s="53">
        <f>SUM(C6:C9)</f>
        <v>1882679.8531699998</v>
      </c>
      <c r="D5" s="53">
        <f>SUM(D6:D9)</f>
        <v>498333.20366999996</v>
      </c>
      <c r="E5" s="53">
        <f>SUM(E6:E9)</f>
        <v>351682.53494765883</v>
      </c>
      <c r="F5" s="462">
        <f>C5/E5</f>
        <v>5.3533504399079712</v>
      </c>
      <c r="H5" s="469">
        <f>SUM(UK:VŠTE!J5)</f>
        <v>1882679.8531700002</v>
      </c>
      <c r="I5" s="469">
        <f>SUM(UK:VŠTE!K5)</f>
        <v>498333.20367000002</v>
      </c>
      <c r="J5" s="469">
        <f>SUM(UK:VŠTE!L5)</f>
        <v>351682.53494765877</v>
      </c>
      <c r="L5" s="470">
        <f>H5-C5</f>
        <v>0</v>
      </c>
      <c r="M5" s="4">
        <f t="shared" ref="M5:N14" si="0">I5-D5</f>
        <v>0</v>
      </c>
      <c r="N5" s="4">
        <f t="shared" si="0"/>
        <v>0</v>
      </c>
    </row>
    <row r="6" spans="1:14" ht="12.75" customHeight="1">
      <c r="A6" s="19">
        <v>2</v>
      </c>
      <c r="B6" s="39" t="s">
        <v>3</v>
      </c>
      <c r="C6" s="102">
        <f>SUM(UK:VŠTE!J6)</f>
        <v>163926.38994999998</v>
      </c>
      <c r="D6" s="130">
        <f>SUM(UK:VŠTE!K6)</f>
        <v>0</v>
      </c>
      <c r="E6" s="50">
        <f>SUM(UK:VŠTE!L6)</f>
        <v>304664.94529687503</v>
      </c>
      <c r="F6" s="463">
        <f t="shared" ref="F6:F14" si="1">C6/E6</f>
        <v>0.5380546481652656</v>
      </c>
      <c r="H6" s="469">
        <f>SUM(UK:VŠTE!J6)</f>
        <v>163926.38994999998</v>
      </c>
      <c r="I6" s="469">
        <f>SUM(UK:VŠTE!K6)</f>
        <v>0</v>
      </c>
      <c r="J6" s="469">
        <f>SUM(UK:VŠTE!L6)</f>
        <v>304664.94529687503</v>
      </c>
      <c r="K6" s="14"/>
      <c r="L6" s="14">
        <f t="shared" ref="L6:L14" si="2">H6-C6</f>
        <v>0</v>
      </c>
      <c r="M6" s="4">
        <f t="shared" si="0"/>
        <v>0</v>
      </c>
      <c r="N6" s="4">
        <f t="shared" si="0"/>
        <v>0</v>
      </c>
    </row>
    <row r="7" spans="1:14" ht="12.75" customHeight="1">
      <c r="A7" s="19">
        <v>3</v>
      </c>
      <c r="B7" s="40" t="s">
        <v>10</v>
      </c>
      <c r="C7" s="130">
        <f>SUM(UK:VŠTE!J7)</f>
        <v>497933.50366999995</v>
      </c>
      <c r="D7" s="130">
        <f>SUM(UK:VŠTE!K7)</f>
        <v>498097.00366999995</v>
      </c>
      <c r="E7" s="50">
        <f>SUM(UK:VŠTE!L7)</f>
        <v>35095.398507926642</v>
      </c>
      <c r="F7" s="464">
        <f t="shared" si="1"/>
        <v>14.187999704791405</v>
      </c>
      <c r="H7" s="469">
        <f>SUM(UK:VŠTE!J7)</f>
        <v>497933.50366999995</v>
      </c>
      <c r="I7" s="469">
        <f>SUM(UK:VŠTE!K7)</f>
        <v>498097.00366999995</v>
      </c>
      <c r="J7" s="469">
        <f>SUM(UK:VŠTE!L7)</f>
        <v>35095.398507926642</v>
      </c>
      <c r="K7" s="14"/>
      <c r="L7" s="14">
        <f t="shared" si="2"/>
        <v>0</v>
      </c>
      <c r="M7" s="4">
        <f t="shared" si="0"/>
        <v>0</v>
      </c>
      <c r="N7" s="4">
        <f t="shared" si="0"/>
        <v>0</v>
      </c>
    </row>
    <row r="8" spans="1:14" ht="12.75" customHeight="1">
      <c r="A8" s="19">
        <v>4</v>
      </c>
      <c r="B8" s="40" t="s">
        <v>11</v>
      </c>
      <c r="C8" s="130">
        <f>SUM(UK:VŠTE!J8)</f>
        <v>236.2</v>
      </c>
      <c r="D8" s="130">
        <f>SUM(UK:VŠTE!K8)</f>
        <v>236.2</v>
      </c>
      <c r="E8" s="50">
        <f>SUM(UK:VŠTE!L8)</f>
        <v>43</v>
      </c>
      <c r="F8" s="464">
        <f t="shared" si="1"/>
        <v>5.4930232558139531</v>
      </c>
      <c r="H8" s="469">
        <f>SUM(UK:VŠTE!J8)</f>
        <v>236.2</v>
      </c>
      <c r="I8" s="469">
        <f>SUM(UK:VŠTE!K8)</f>
        <v>236.2</v>
      </c>
      <c r="J8" s="469">
        <f>SUM(UK:VŠTE!L8)</f>
        <v>43</v>
      </c>
      <c r="K8" s="14"/>
      <c r="L8" s="14">
        <f t="shared" si="2"/>
        <v>0</v>
      </c>
      <c r="M8" s="4">
        <f t="shared" si="0"/>
        <v>0</v>
      </c>
      <c r="N8" s="4">
        <f t="shared" si="0"/>
        <v>0</v>
      </c>
    </row>
    <row r="9" spans="1:14" ht="12.75" customHeight="1">
      <c r="A9" s="19">
        <v>5</v>
      </c>
      <c r="B9" s="41" t="s">
        <v>4</v>
      </c>
      <c r="C9" s="130">
        <f>SUM(UK:VŠTE!J9)</f>
        <v>1220583.7595499998</v>
      </c>
      <c r="D9" s="130">
        <f>SUM(UK:VŠTE!K9)</f>
        <v>0</v>
      </c>
      <c r="E9" s="50">
        <f>SUM(UK:VŠTE!L9)</f>
        <v>11879.191142857142</v>
      </c>
      <c r="F9" s="464">
        <f t="shared" si="1"/>
        <v>102.74973648217848</v>
      </c>
      <c r="H9" s="469">
        <f>SUM(UK:VŠTE!J9)</f>
        <v>1220583.7595499998</v>
      </c>
      <c r="I9" s="469">
        <f>SUM(UK:VŠTE!K9)</f>
        <v>0</v>
      </c>
      <c r="J9" s="469">
        <f>SUM(UK:VŠTE!L9)</f>
        <v>11879.191142857142</v>
      </c>
      <c r="K9" s="14"/>
      <c r="L9" s="4">
        <f t="shared" si="2"/>
        <v>0</v>
      </c>
      <c r="M9" s="4">
        <f t="shared" si="0"/>
        <v>0</v>
      </c>
      <c r="N9" s="4">
        <f t="shared" si="0"/>
        <v>0</v>
      </c>
    </row>
    <row r="10" spans="1:14" ht="21" customHeight="1">
      <c r="A10" s="36">
        <v>6</v>
      </c>
      <c r="B10" s="42" t="s">
        <v>20</v>
      </c>
      <c r="C10" s="58">
        <f>SUM(C11:C13)</f>
        <v>562270.83688999992</v>
      </c>
      <c r="D10" s="138">
        <v>0</v>
      </c>
      <c r="E10" s="58">
        <f>SUM(E11:E13)</f>
        <v>169249.5484977779</v>
      </c>
      <c r="F10" s="465">
        <f t="shared" si="1"/>
        <v>3.3221408380736808</v>
      </c>
      <c r="H10" s="469">
        <f>SUM(UK:VŠTE!J10)</f>
        <v>562270.83688999992</v>
      </c>
      <c r="I10" s="469">
        <f>SUM(UK:VŠTE!K10)</f>
        <v>0</v>
      </c>
      <c r="J10" s="469">
        <f>SUM(UK:VŠTE!L10)</f>
        <v>169249.54849777787</v>
      </c>
      <c r="K10" s="14"/>
      <c r="L10" s="4">
        <f t="shared" si="2"/>
        <v>0</v>
      </c>
      <c r="M10" s="4">
        <f t="shared" si="0"/>
        <v>0</v>
      </c>
      <c r="N10" s="4">
        <f t="shared" si="0"/>
        <v>0</v>
      </c>
    </row>
    <row r="11" spans="1:14" ht="12.75" customHeight="1">
      <c r="A11" s="19">
        <v>7</v>
      </c>
      <c r="B11" s="43" t="s">
        <v>13</v>
      </c>
      <c r="C11" s="130">
        <f>SUM(UK:VŠTE!J11)</f>
        <v>454790.95306999999</v>
      </c>
      <c r="D11" s="130">
        <f>SUM(UK:VŠTE!K11)</f>
        <v>0</v>
      </c>
      <c r="E11" s="50">
        <f>SUM(UK:VŠTE!L11)</f>
        <v>63497</v>
      </c>
      <c r="F11" s="464">
        <f t="shared" si="1"/>
        <v>7.1624006342031903</v>
      </c>
      <c r="H11" s="469">
        <f>SUM(UK:VŠTE!J11)</f>
        <v>454790.95306999999</v>
      </c>
      <c r="I11" s="469">
        <f>SUM(UK:VŠTE!K11)</f>
        <v>0</v>
      </c>
      <c r="J11" s="469">
        <f>SUM(UK:VŠTE!L11)</f>
        <v>63497</v>
      </c>
      <c r="L11" s="4">
        <f t="shared" si="2"/>
        <v>0</v>
      </c>
      <c r="M11" s="4">
        <f t="shared" si="0"/>
        <v>0</v>
      </c>
      <c r="N11" s="4">
        <f t="shared" si="0"/>
        <v>0</v>
      </c>
    </row>
    <row r="12" spans="1:14" ht="12.75" customHeight="1">
      <c r="A12" s="19">
        <v>8</v>
      </c>
      <c r="B12" s="44" t="s">
        <v>12</v>
      </c>
      <c r="C12" s="130">
        <f>SUM(UK:VŠTE!J12)</f>
        <v>30552.50317</v>
      </c>
      <c r="D12" s="130">
        <f>SUM(UK:VŠTE!K12)</f>
        <v>0</v>
      </c>
      <c r="E12" s="50">
        <f>SUM(UK:VŠTE!L12)</f>
        <v>47996</v>
      </c>
      <c r="F12" s="466">
        <f t="shared" si="1"/>
        <v>0.63656352966913909</v>
      </c>
      <c r="H12" s="469">
        <f>SUM(UK:VŠTE!J12)</f>
        <v>30552.50317</v>
      </c>
      <c r="I12" s="469">
        <f>SUM(UK:VŠTE!K12)</f>
        <v>0</v>
      </c>
      <c r="J12" s="469">
        <f>SUM(UK:VŠTE!L12)</f>
        <v>47996</v>
      </c>
      <c r="L12" s="4">
        <f t="shared" si="2"/>
        <v>0</v>
      </c>
      <c r="M12" s="4">
        <f t="shared" si="0"/>
        <v>0</v>
      </c>
      <c r="N12" s="4">
        <f t="shared" si="0"/>
        <v>0</v>
      </c>
    </row>
    <row r="13" spans="1:14" ht="12.75" customHeight="1" thickBot="1">
      <c r="A13" s="20">
        <v>9</v>
      </c>
      <c r="B13" s="45"/>
      <c r="C13" s="140">
        <f>SUM(UK:VŠTE!J13)</f>
        <v>76927.380649999992</v>
      </c>
      <c r="D13" s="140">
        <f>SUM(UK:VŠTE!K13)</f>
        <v>24</v>
      </c>
      <c r="E13" s="51">
        <f>SUM(UK:VŠTE!L13)</f>
        <v>57756.548497777883</v>
      </c>
      <c r="F13" s="467">
        <f t="shared" si="1"/>
        <v>1.3319248232598193</v>
      </c>
      <c r="H13" s="469">
        <f>SUM(UK:VŠTE!J13)</f>
        <v>76927.380649999992</v>
      </c>
      <c r="I13" s="469">
        <f>SUM(UK:VŠTE!K13)</f>
        <v>24</v>
      </c>
      <c r="J13" s="469">
        <f>SUM(UK:VŠTE!L13)</f>
        <v>57756.548497777883</v>
      </c>
      <c r="L13" s="4">
        <f t="shared" si="2"/>
        <v>0</v>
      </c>
      <c r="M13" s="4">
        <f t="shared" si="0"/>
        <v>0</v>
      </c>
      <c r="N13" s="4">
        <f t="shared" si="0"/>
        <v>0</v>
      </c>
    </row>
    <row r="14" spans="1:14" ht="17.25" customHeight="1" thickBot="1">
      <c r="A14" s="23">
        <v>10</v>
      </c>
      <c r="B14" s="46" t="s">
        <v>1</v>
      </c>
      <c r="C14" s="62">
        <f>C5+C10</f>
        <v>2444950.6900599999</v>
      </c>
      <c r="D14" s="62">
        <f>D5+D10</f>
        <v>498333.20366999996</v>
      </c>
      <c r="E14" s="62">
        <f>E5+E10</f>
        <v>520932.08344543673</v>
      </c>
      <c r="F14" s="468">
        <f t="shared" si="1"/>
        <v>4.6934154523352332</v>
      </c>
      <c r="H14" s="469">
        <f>SUM(UK:VŠTE!J14)</f>
        <v>2444950.6900599995</v>
      </c>
      <c r="I14" s="469">
        <f>SUM(UK:VŠTE!K14)</f>
        <v>498333.20367000002</v>
      </c>
      <c r="J14" s="469">
        <f>SUM(UK:VŠTE!L14)</f>
        <v>520932.08344543667</v>
      </c>
      <c r="L14" s="4">
        <f t="shared" si="2"/>
        <v>0</v>
      </c>
      <c r="M14" s="4">
        <f t="shared" si="0"/>
        <v>0</v>
      </c>
      <c r="N14" s="4">
        <f t="shared" si="0"/>
        <v>0</v>
      </c>
    </row>
    <row r="15" spans="1:14" ht="12.75" customHeight="1">
      <c r="A15" s="29"/>
      <c r="B15" s="13"/>
      <c r="C15" s="16"/>
      <c r="D15" s="16"/>
      <c r="E15" s="17"/>
      <c r="F15" s="7"/>
    </row>
    <row r="16" spans="1:14" ht="12.75" customHeight="1">
      <c r="A16" s="10" t="s">
        <v>14</v>
      </c>
      <c r="B16" s="30"/>
      <c r="C16" s="31"/>
      <c r="D16" s="31"/>
      <c r="E16" s="32"/>
      <c r="F16" s="10"/>
      <c r="H16" s="12"/>
      <c r="I16" s="12"/>
      <c r="J16" s="12"/>
    </row>
    <row r="17" spans="1:10" ht="24.75" customHeight="1">
      <c r="A17" s="471" t="s">
        <v>22</v>
      </c>
      <c r="B17" s="471"/>
      <c r="C17" s="471"/>
      <c r="D17" s="471"/>
      <c r="E17" s="471"/>
      <c r="F17" s="471"/>
    </row>
    <row r="18" spans="1:10" ht="12.75" customHeight="1">
      <c r="A18" s="37" t="s">
        <v>21</v>
      </c>
      <c r="B18" s="9"/>
      <c r="C18" s="33"/>
      <c r="D18" s="33"/>
      <c r="E18" s="33"/>
      <c r="F18" s="11"/>
    </row>
    <row r="19" spans="1:10" ht="26.25" customHeight="1">
      <c r="A19" s="471" t="s">
        <v>25</v>
      </c>
      <c r="B19" s="471"/>
      <c r="C19" s="471"/>
      <c r="D19" s="471"/>
      <c r="E19" s="471"/>
      <c r="F19" s="471"/>
    </row>
    <row r="20" spans="1:10" ht="15" customHeight="1">
      <c r="A20" s="25" t="s">
        <v>23</v>
      </c>
      <c r="B20" s="24"/>
      <c r="C20" s="24"/>
      <c r="D20" s="24"/>
      <c r="E20" s="24"/>
      <c r="F20" s="24"/>
      <c r="H20" s="12"/>
      <c r="I20" s="12"/>
      <c r="J20" s="12"/>
    </row>
    <row r="21" spans="1:10" ht="27.75" customHeight="1">
      <c r="A21" s="471" t="s">
        <v>28</v>
      </c>
      <c r="B21" s="471"/>
      <c r="C21" s="471"/>
      <c r="D21" s="471"/>
      <c r="E21" s="471"/>
      <c r="F21" s="471"/>
      <c r="H21" s="12"/>
      <c r="I21" s="12"/>
      <c r="J21" s="12"/>
    </row>
    <row r="22" spans="1:10" ht="12.75" customHeight="1">
      <c r="A22" s="25"/>
      <c r="B22" s="24"/>
      <c r="C22" s="24"/>
      <c r="D22" s="24"/>
      <c r="E22" s="24"/>
      <c r="F22" s="24"/>
      <c r="H22" s="12"/>
      <c r="I22" s="12"/>
      <c r="J22" s="12"/>
    </row>
    <row r="23" spans="1:10" ht="12.75" customHeight="1">
      <c r="A23" s="25" t="s">
        <v>16</v>
      </c>
      <c r="B23" s="24"/>
      <c r="C23" s="24"/>
      <c r="D23" s="24"/>
      <c r="E23" s="24"/>
      <c r="F23" s="24"/>
      <c r="H23" s="12"/>
      <c r="I23" s="12"/>
      <c r="J23" s="12"/>
    </row>
    <row r="24" spans="1:10">
      <c r="A24" s="33" t="s">
        <v>26</v>
      </c>
      <c r="B24" s="34"/>
      <c r="C24" s="33"/>
      <c r="D24" s="33"/>
      <c r="E24" s="33"/>
      <c r="F24" s="11"/>
    </row>
    <row r="25" spans="1:10">
      <c r="A25" s="33"/>
      <c r="B25" s="2"/>
      <c r="C25" s="2"/>
      <c r="D25" s="18"/>
      <c r="E25" s="2"/>
    </row>
  </sheetData>
  <protectedRanges>
    <protectedRange sqref="D15:D16 C7:D8" name="Oblast1"/>
  </protectedRanges>
  <customSheetViews>
    <customSheetView guid="{2AF6EA2A-E5C5-45EB-B6C4-875AD1E4E056}" fitToPage="1">
      <pageMargins left="0.78740157480314965" right="0.78740157480314965" top="0.98425196850393704" bottom="0.98425196850393704" header="0.51181102362204722" footer="0.51181102362204722"/>
      <printOptions horizontalCentered="1"/>
      <pageSetup paperSize="9" orientation="landscape" cellComments="asDisplayed" horizontalDpi="300" verticalDpi="300" r:id="rId1"/>
      <headerFooter alignWithMargins="0"/>
    </customSheetView>
  </customSheetViews>
  <mergeCells count="5">
    <mergeCell ref="A21:F21"/>
    <mergeCell ref="A19:F19"/>
    <mergeCell ref="A17:F17"/>
    <mergeCell ref="A3:A4"/>
    <mergeCell ref="B3:B4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cellComments="asDisplayed" horizontalDpi="300" verticalDpi="300" r:id="rId2"/>
  <headerFooter alignWithMargins="0"/>
  <ignoredErrors>
    <ignoredError sqref="C5:D5 E5 E10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M19"/>
  <sheetViews>
    <sheetView zoomScale="85" zoomScaleNormal="85" workbookViewId="0">
      <selection activeCell="H1" sqref="H1:M65536"/>
    </sheetView>
  </sheetViews>
  <sheetFormatPr defaultRowHeight="15"/>
  <cols>
    <col min="1" max="1" width="5.7109375" customWidth="1"/>
    <col min="2" max="2" width="55.85546875" customWidth="1"/>
    <col min="3" max="6" width="18.7109375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>
      <c r="A1" s="246" t="s">
        <v>103</v>
      </c>
      <c r="B1" s="246"/>
      <c r="C1" s="246"/>
      <c r="D1" s="246"/>
      <c r="E1" s="246"/>
      <c r="F1" s="247" t="s">
        <v>29</v>
      </c>
    </row>
    <row r="2" spans="1:13" s="12" customFormat="1" ht="15.75" thickBot="1">
      <c r="A2" s="246"/>
      <c r="B2" s="461"/>
      <c r="C2" s="246"/>
      <c r="D2" s="246"/>
      <c r="E2" s="246"/>
      <c r="F2" s="247"/>
    </row>
    <row r="3" spans="1:13" s="12" customFormat="1" ht="25.5">
      <c r="A3" s="494" t="s">
        <v>101</v>
      </c>
      <c r="B3" s="495" t="s">
        <v>2</v>
      </c>
      <c r="C3" s="248" t="s">
        <v>104</v>
      </c>
      <c r="D3" s="248" t="s">
        <v>105</v>
      </c>
      <c r="E3" s="248" t="s">
        <v>106</v>
      </c>
      <c r="F3" s="248" t="s">
        <v>107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.75" thickBot="1">
      <c r="A4" s="494"/>
      <c r="B4" s="496"/>
      <c r="C4" s="248" t="s">
        <v>5</v>
      </c>
      <c r="D4" s="248" t="s">
        <v>6</v>
      </c>
      <c r="E4" s="248" t="s">
        <v>7</v>
      </c>
      <c r="F4" s="248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>
      <c r="A5" s="249">
        <v>1</v>
      </c>
      <c r="B5" s="250" t="s">
        <v>58</v>
      </c>
      <c r="C5" s="251">
        <f>SUM(C6:C9)</f>
        <v>12317</v>
      </c>
      <c r="D5" s="251">
        <f>SUM(D6:D9)</f>
        <v>10204</v>
      </c>
      <c r="E5" s="251">
        <f>SUM(E6:E9)</f>
        <v>5449</v>
      </c>
      <c r="F5" s="252">
        <v>0</v>
      </c>
      <c r="H5" s="35">
        <v>1</v>
      </c>
      <c r="I5" s="38" t="s">
        <v>17</v>
      </c>
      <c r="J5" s="53">
        <f>SUM(J6:J9)</f>
        <v>12317</v>
      </c>
      <c r="K5" s="53">
        <f>SUM(K6:K9)</f>
        <v>10204</v>
      </c>
      <c r="L5" s="53">
        <f>SUM(L6:L9)</f>
        <v>5449</v>
      </c>
      <c r="M5" s="54">
        <v>0</v>
      </c>
    </row>
    <row r="6" spans="1:13" ht="24">
      <c r="A6" s="253">
        <v>2</v>
      </c>
      <c r="B6" s="254" t="s">
        <v>3</v>
      </c>
      <c r="C6" s="255">
        <v>2083</v>
      </c>
      <c r="D6" s="256">
        <v>0</v>
      </c>
      <c r="E6" s="255">
        <v>4119</v>
      </c>
      <c r="F6" s="255">
        <f>+C6/E6*1000</f>
        <v>505.70526826899732</v>
      </c>
      <c r="H6" s="19">
        <v>2</v>
      </c>
      <c r="I6" s="39" t="s">
        <v>3</v>
      </c>
      <c r="J6" s="55">
        <v>2083</v>
      </c>
      <c r="K6" s="56">
        <v>0</v>
      </c>
      <c r="L6" s="50">
        <v>4119</v>
      </c>
      <c r="M6" s="57">
        <v>505.70526826899732</v>
      </c>
    </row>
    <row r="7" spans="1:13">
      <c r="A7" s="253">
        <v>3</v>
      </c>
      <c r="B7" s="257" t="s">
        <v>60</v>
      </c>
      <c r="C7" s="255">
        <v>10181</v>
      </c>
      <c r="D7" s="258">
        <f>+C7</f>
        <v>10181</v>
      </c>
      <c r="E7" s="255">
        <v>1321</v>
      </c>
      <c r="F7" s="255">
        <f>+C7/E7*1000</f>
        <v>7707.0401211203634</v>
      </c>
      <c r="H7" s="19">
        <v>3</v>
      </c>
      <c r="I7" s="40" t="s">
        <v>10</v>
      </c>
      <c r="J7" s="56">
        <v>10181</v>
      </c>
      <c r="K7" s="56">
        <v>10181</v>
      </c>
      <c r="L7" s="50">
        <v>1321</v>
      </c>
      <c r="M7" s="52">
        <v>7707.0401211203634</v>
      </c>
    </row>
    <row r="8" spans="1:13">
      <c r="A8" s="253">
        <v>4</v>
      </c>
      <c r="B8" s="257" t="s">
        <v>108</v>
      </c>
      <c r="C8" s="255">
        <v>23</v>
      </c>
      <c r="D8" s="258">
        <f>+C8</f>
        <v>23</v>
      </c>
      <c r="E8" s="255">
        <v>8</v>
      </c>
      <c r="F8" s="255">
        <f>+C8/E8*1000</f>
        <v>2875</v>
      </c>
      <c r="H8" s="19">
        <v>4</v>
      </c>
      <c r="I8" s="40" t="s">
        <v>11</v>
      </c>
      <c r="J8" s="56">
        <v>23</v>
      </c>
      <c r="K8" s="56">
        <v>23</v>
      </c>
      <c r="L8" s="50">
        <v>8</v>
      </c>
      <c r="M8" s="52">
        <v>2875</v>
      </c>
    </row>
    <row r="9" spans="1:13">
      <c r="A9" s="253">
        <v>5</v>
      </c>
      <c r="B9" s="254" t="s">
        <v>109</v>
      </c>
      <c r="C9" s="255">
        <v>30</v>
      </c>
      <c r="D9" s="256">
        <v>0</v>
      </c>
      <c r="E9" s="255">
        <v>1</v>
      </c>
      <c r="F9" s="255">
        <f>+C9/E9*1000</f>
        <v>30000</v>
      </c>
      <c r="H9" s="19">
        <v>5</v>
      </c>
      <c r="I9" s="41" t="s">
        <v>4</v>
      </c>
      <c r="J9" s="56">
        <v>30</v>
      </c>
      <c r="K9" s="56">
        <v>0</v>
      </c>
      <c r="L9" s="50">
        <v>1</v>
      </c>
      <c r="M9" s="52">
        <v>30000</v>
      </c>
    </row>
    <row r="10" spans="1:13">
      <c r="A10" s="249">
        <v>6</v>
      </c>
      <c r="B10" s="259" t="s">
        <v>110</v>
      </c>
      <c r="C10" s="251">
        <f>SUM(C11:C18)</f>
        <v>4220</v>
      </c>
      <c r="D10" s="252">
        <v>0</v>
      </c>
      <c r="E10" s="251">
        <f>SUM(E11:E18)</f>
        <v>4137</v>
      </c>
      <c r="F10" s="255">
        <v>0</v>
      </c>
      <c r="H10" s="36">
        <v>6</v>
      </c>
      <c r="I10" s="42" t="s">
        <v>33</v>
      </c>
      <c r="J10" s="58">
        <f>SUM(J11:J13)</f>
        <v>4220</v>
      </c>
      <c r="K10" s="138">
        <v>0</v>
      </c>
      <c r="L10" s="58">
        <f>SUM(L11:L13)</f>
        <v>4137</v>
      </c>
      <c r="M10" s="60">
        <v>0</v>
      </c>
    </row>
    <row r="11" spans="1:13">
      <c r="A11" s="253">
        <v>7</v>
      </c>
      <c r="B11" s="260" t="s">
        <v>13</v>
      </c>
      <c r="C11" s="256">
        <v>3103</v>
      </c>
      <c r="D11" s="256">
        <v>0</v>
      </c>
      <c r="E11" s="255">
        <v>419</v>
      </c>
      <c r="F11" s="255">
        <f t="shared" ref="F11:F17" si="0">+C11/E11*1000</f>
        <v>7405.7279236276854</v>
      </c>
      <c r="H11" s="19">
        <v>7</v>
      </c>
      <c r="I11" s="43" t="s">
        <v>13</v>
      </c>
      <c r="J11" s="56">
        <v>3103</v>
      </c>
      <c r="K11" s="56">
        <v>0</v>
      </c>
      <c r="L11" s="50">
        <v>419</v>
      </c>
      <c r="M11" s="52">
        <v>7405.7279236276854</v>
      </c>
    </row>
    <row r="12" spans="1:13">
      <c r="A12" s="253">
        <v>8</v>
      </c>
      <c r="B12" s="260" t="s">
        <v>12</v>
      </c>
      <c r="C12" s="256">
        <v>831</v>
      </c>
      <c r="D12" s="256">
        <v>0</v>
      </c>
      <c r="E12" s="255">
        <v>1197</v>
      </c>
      <c r="F12" s="255">
        <f t="shared" si="0"/>
        <v>694.23558897243106</v>
      </c>
      <c r="H12" s="19">
        <v>8</v>
      </c>
      <c r="I12" s="44" t="s">
        <v>12</v>
      </c>
      <c r="J12" s="56">
        <v>831</v>
      </c>
      <c r="K12" s="56">
        <v>0</v>
      </c>
      <c r="L12" s="50">
        <v>1197</v>
      </c>
      <c r="M12" s="48">
        <v>694.23558897243106</v>
      </c>
    </row>
    <row r="13" spans="1:13" ht="15.75" thickBot="1">
      <c r="A13" s="114">
        <v>9</v>
      </c>
      <c r="B13" s="261" t="s">
        <v>111</v>
      </c>
      <c r="C13" s="256">
        <v>21</v>
      </c>
      <c r="D13" s="256">
        <v>0</v>
      </c>
      <c r="E13" s="262">
        <v>1489</v>
      </c>
      <c r="F13" s="255">
        <f t="shared" si="0"/>
        <v>14.103425117528543</v>
      </c>
      <c r="H13" s="20">
        <v>9</v>
      </c>
      <c r="I13" s="45"/>
      <c r="J13" s="61">
        <f>SUM(C13:C18)</f>
        <v>286</v>
      </c>
      <c r="K13" s="61">
        <f>SUM(D13:D18)</f>
        <v>0</v>
      </c>
      <c r="L13" s="51">
        <f>SUM(E13:E18)</f>
        <v>2521</v>
      </c>
      <c r="M13" s="245"/>
    </row>
    <row r="14" spans="1:13" ht="15.75" thickBot="1">
      <c r="A14" s="114">
        <v>10</v>
      </c>
      <c r="B14" s="261" t="s">
        <v>112</v>
      </c>
      <c r="C14" s="256">
        <v>51</v>
      </c>
      <c r="D14" s="256">
        <v>0</v>
      </c>
      <c r="E14" s="262">
        <v>539</v>
      </c>
      <c r="F14" s="255">
        <f t="shared" si="0"/>
        <v>94.619666048237477</v>
      </c>
      <c r="H14" s="23">
        <v>10</v>
      </c>
      <c r="I14" s="46" t="s">
        <v>1</v>
      </c>
      <c r="J14" s="62">
        <f>J5+J10</f>
        <v>16537</v>
      </c>
      <c r="K14" s="62">
        <f>K5+K10</f>
        <v>10204</v>
      </c>
      <c r="L14" s="62">
        <f>L5+L10</f>
        <v>9586</v>
      </c>
      <c r="M14" s="63">
        <v>0</v>
      </c>
    </row>
    <row r="15" spans="1:13" ht="25.5">
      <c r="A15" s="114">
        <v>11</v>
      </c>
      <c r="B15" s="261" t="s">
        <v>113</v>
      </c>
      <c r="C15" s="256">
        <v>55</v>
      </c>
      <c r="D15" s="256">
        <v>0</v>
      </c>
      <c r="E15" s="262">
        <v>21</v>
      </c>
      <c r="F15" s="255">
        <f t="shared" si="0"/>
        <v>2619.0476190476193</v>
      </c>
    </row>
    <row r="16" spans="1:13">
      <c r="A16" s="114">
        <v>12</v>
      </c>
      <c r="B16" s="261" t="s">
        <v>114</v>
      </c>
      <c r="C16" s="256">
        <v>1</v>
      </c>
      <c r="D16" s="256">
        <v>0</v>
      </c>
      <c r="E16" s="262">
        <v>11</v>
      </c>
      <c r="F16" s="255">
        <f t="shared" si="0"/>
        <v>90.909090909090907</v>
      </c>
    </row>
    <row r="17" spans="1:6">
      <c r="A17" s="114">
        <v>13</v>
      </c>
      <c r="B17" s="260" t="s">
        <v>115</v>
      </c>
      <c r="C17" s="256">
        <v>134</v>
      </c>
      <c r="D17" s="256">
        <v>0</v>
      </c>
      <c r="E17" s="262">
        <v>447</v>
      </c>
      <c r="F17" s="255">
        <f t="shared" si="0"/>
        <v>299.77628635346753</v>
      </c>
    </row>
    <row r="18" spans="1:6">
      <c r="A18" s="114">
        <v>14</v>
      </c>
      <c r="B18" s="261" t="s">
        <v>116</v>
      </c>
      <c r="C18" s="256">
        <v>24</v>
      </c>
      <c r="D18" s="256">
        <v>0</v>
      </c>
      <c r="E18" s="262">
        <v>14</v>
      </c>
      <c r="F18" s="255">
        <f>+C18/E18*1000</f>
        <v>1714.2857142857142</v>
      </c>
    </row>
    <row r="19" spans="1:6">
      <c r="A19" s="263">
        <v>15</v>
      </c>
      <c r="B19" s="264" t="s">
        <v>1</v>
      </c>
      <c r="C19" s="265">
        <f>C5+C10</f>
        <v>16537</v>
      </c>
      <c r="D19" s="265">
        <f>D5+D10</f>
        <v>10204</v>
      </c>
      <c r="E19" s="265">
        <f>E5+E10</f>
        <v>9586</v>
      </c>
      <c r="F19" s="252">
        <v>0</v>
      </c>
    </row>
  </sheetData>
  <protectedRanges>
    <protectedRange sqref="D7:D8" name="Oblast1"/>
    <protectedRange sqref="J7:K8" name="Oblast1_1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/>
  <dimension ref="A1:M16"/>
  <sheetViews>
    <sheetView zoomScale="85" zoomScaleNormal="85" workbookViewId="0">
      <selection activeCell="H1" sqref="H1:M65536"/>
    </sheetView>
  </sheetViews>
  <sheetFormatPr defaultRowHeight="15"/>
  <cols>
    <col min="1" max="1" width="3.42578125" customWidth="1"/>
    <col min="2" max="2" width="49.5703125" customWidth="1"/>
    <col min="3" max="3" width="16.42578125" customWidth="1"/>
    <col min="4" max="4" width="17.7109375" customWidth="1"/>
    <col min="5" max="5" width="17.28515625" customWidth="1"/>
    <col min="6" max="6" width="17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ht="15.75">
      <c r="A1" s="28" t="s">
        <v>19</v>
      </c>
      <c r="B1" s="1"/>
      <c r="C1" s="2"/>
      <c r="D1" s="2"/>
      <c r="E1" s="2"/>
      <c r="F1" s="4"/>
    </row>
    <row r="2" spans="1:13" ht="15" customHeight="1" thickBot="1">
      <c r="A2" s="5"/>
      <c r="B2" s="2"/>
      <c r="C2" s="2"/>
      <c r="D2" s="3"/>
      <c r="E2" s="2"/>
      <c r="F2" s="15" t="s">
        <v>9</v>
      </c>
    </row>
    <row r="3" spans="1:13" ht="25.5">
      <c r="A3" s="472" t="s">
        <v>0</v>
      </c>
      <c r="B3" s="474" t="s">
        <v>2</v>
      </c>
      <c r="C3" s="47" t="s">
        <v>24</v>
      </c>
      <c r="D3" s="47" t="s">
        <v>48</v>
      </c>
      <c r="E3" s="26" t="s">
        <v>31</v>
      </c>
      <c r="F3" s="266" t="s">
        <v>32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" customHeight="1" thickBot="1">
      <c r="A4" s="473"/>
      <c r="B4" s="475"/>
      <c r="C4" s="125" t="s">
        <v>5</v>
      </c>
      <c r="D4" s="125" t="s">
        <v>6</v>
      </c>
      <c r="E4" s="125" t="s">
        <v>7</v>
      </c>
      <c r="F4" s="22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>
      <c r="A5" s="35">
        <v>1</v>
      </c>
      <c r="B5" s="38" t="s">
        <v>17</v>
      </c>
      <c r="C5" s="267">
        <f>SUM(C6:C8)</f>
        <v>48442</v>
      </c>
      <c r="D5" s="267">
        <f>SUM(D6:D8)</f>
        <v>35424</v>
      </c>
      <c r="E5" s="267">
        <f>SUM(E6:E8)</f>
        <v>16747</v>
      </c>
      <c r="F5" s="282" t="s">
        <v>49</v>
      </c>
      <c r="H5" s="35">
        <v>1</v>
      </c>
      <c r="I5" s="38" t="s">
        <v>17</v>
      </c>
      <c r="J5" s="53">
        <f>SUM(J6:J9)</f>
        <v>83866</v>
      </c>
      <c r="K5" s="53">
        <f>SUM(K6:K9)</f>
        <v>35424</v>
      </c>
      <c r="L5" s="53">
        <f>SUM(L6:L9)</f>
        <v>16747</v>
      </c>
      <c r="M5" s="54" t="s">
        <v>49</v>
      </c>
    </row>
    <row r="6" spans="1:13" ht="24">
      <c r="A6" s="19">
        <v>2</v>
      </c>
      <c r="B6" s="269" t="s">
        <v>3</v>
      </c>
      <c r="C6" s="270">
        <v>9911</v>
      </c>
      <c r="D6" s="283">
        <v>0</v>
      </c>
      <c r="E6" s="272">
        <v>12895</v>
      </c>
      <c r="F6" s="284">
        <f>C6/E6</f>
        <v>0.76859247770453665</v>
      </c>
      <c r="H6" s="19">
        <v>2</v>
      </c>
      <c r="I6" s="39" t="s">
        <v>3</v>
      </c>
      <c r="J6" s="55">
        <v>9911</v>
      </c>
      <c r="K6" s="56">
        <v>0</v>
      </c>
      <c r="L6" s="50">
        <v>12895</v>
      </c>
      <c r="M6" s="57">
        <v>0.76859247770453665</v>
      </c>
    </row>
    <row r="7" spans="1:13">
      <c r="A7" s="19">
        <v>3</v>
      </c>
      <c r="B7" s="273" t="s">
        <v>10</v>
      </c>
      <c r="C7" s="270">
        <v>0</v>
      </c>
      <c r="D7" s="270">
        <v>35424</v>
      </c>
      <c r="E7" s="272">
        <v>1230</v>
      </c>
      <c r="F7" s="284">
        <f>D7/E7</f>
        <v>28.8</v>
      </c>
      <c r="H7" s="19">
        <v>3</v>
      </c>
      <c r="I7" s="40" t="s">
        <v>10</v>
      </c>
      <c r="J7" s="56">
        <v>35424</v>
      </c>
      <c r="K7" s="56">
        <v>35424</v>
      </c>
      <c r="L7" s="50">
        <v>1230</v>
      </c>
      <c r="M7" s="52">
        <v>28.8</v>
      </c>
    </row>
    <row r="8" spans="1:13" ht="15.75" thickBot="1">
      <c r="A8" s="19">
        <v>5</v>
      </c>
      <c r="B8" s="274" t="s">
        <v>4</v>
      </c>
      <c r="C8" s="270">
        <v>38531</v>
      </c>
      <c r="D8" s="270">
        <v>0</v>
      </c>
      <c r="E8" s="272">
        <v>2622</v>
      </c>
      <c r="F8" s="284">
        <f>C8/E8</f>
        <v>14.695270785659801</v>
      </c>
      <c r="H8" s="19">
        <v>4</v>
      </c>
      <c r="I8" s="40" t="s">
        <v>11</v>
      </c>
      <c r="J8" s="56"/>
      <c r="K8" s="56"/>
      <c r="L8" s="50"/>
      <c r="M8" s="52"/>
    </row>
    <row r="9" spans="1:13">
      <c r="A9" s="35">
        <v>7</v>
      </c>
      <c r="B9" s="38" t="s">
        <v>33</v>
      </c>
      <c r="C9" s="275">
        <f>SUM(C10:C15)</f>
        <v>12982</v>
      </c>
      <c r="D9" s="275">
        <f>SUM(D10:D15)</f>
        <v>0</v>
      </c>
      <c r="E9" s="275">
        <f>SUM(E10:E15)</f>
        <v>13565.777777777777</v>
      </c>
      <c r="F9" s="285" t="s">
        <v>49</v>
      </c>
      <c r="H9" s="19">
        <v>5</v>
      </c>
      <c r="I9" s="41" t="s">
        <v>4</v>
      </c>
      <c r="J9" s="56">
        <v>38531</v>
      </c>
      <c r="K9" s="56">
        <v>0</v>
      </c>
      <c r="L9" s="50">
        <v>2622</v>
      </c>
      <c r="M9" s="52">
        <v>14.695270785659801</v>
      </c>
    </row>
    <row r="10" spans="1:13">
      <c r="A10" s="19">
        <v>8</v>
      </c>
      <c r="B10" s="277" t="s">
        <v>13</v>
      </c>
      <c r="C10" s="270">
        <v>3081</v>
      </c>
      <c r="D10" s="270">
        <v>0</v>
      </c>
      <c r="E10" s="272">
        <v>2874</v>
      </c>
      <c r="F10" s="286">
        <f>C10/E10</f>
        <v>1.0720250521920669</v>
      </c>
      <c r="H10" s="36">
        <v>6</v>
      </c>
      <c r="I10" s="42" t="s">
        <v>33</v>
      </c>
      <c r="J10" s="58">
        <f>SUM(J11:J13)</f>
        <v>12982</v>
      </c>
      <c r="K10" s="138">
        <v>0</v>
      </c>
      <c r="L10" s="58">
        <f>SUM(L11:L13)</f>
        <v>13565.777777777777</v>
      </c>
      <c r="M10" s="60" t="s">
        <v>49</v>
      </c>
    </row>
    <row r="11" spans="1:13">
      <c r="A11" s="19">
        <v>9</v>
      </c>
      <c r="B11" s="278" t="s">
        <v>12</v>
      </c>
      <c r="C11" s="270">
        <v>4264</v>
      </c>
      <c r="D11" s="270">
        <v>0</v>
      </c>
      <c r="E11" s="272">
        <v>1526</v>
      </c>
      <c r="F11" s="286">
        <f>C11/E11</f>
        <v>2.7942332896461335</v>
      </c>
      <c r="H11" s="19">
        <v>7</v>
      </c>
      <c r="I11" s="43" t="s">
        <v>13</v>
      </c>
      <c r="J11" s="56">
        <v>3081</v>
      </c>
      <c r="K11" s="56">
        <v>0</v>
      </c>
      <c r="L11" s="50">
        <v>2874</v>
      </c>
      <c r="M11" s="52">
        <v>1.0720250521920669</v>
      </c>
    </row>
    <row r="12" spans="1:13">
      <c r="A12" s="19">
        <v>10</v>
      </c>
      <c r="B12" s="135" t="s">
        <v>117</v>
      </c>
      <c r="C12" s="287">
        <v>521</v>
      </c>
      <c r="D12" s="270">
        <v>0</v>
      </c>
      <c r="E12" s="272">
        <f>C12/F12</f>
        <v>1157.7777777777778</v>
      </c>
      <c r="F12" s="286">
        <v>0.45</v>
      </c>
      <c r="H12" s="19">
        <v>8</v>
      </c>
      <c r="I12" s="44" t="s">
        <v>12</v>
      </c>
      <c r="J12" s="56">
        <v>4264</v>
      </c>
      <c r="K12" s="56">
        <v>0</v>
      </c>
      <c r="L12" s="50">
        <v>1526</v>
      </c>
      <c r="M12" s="48">
        <v>2.7942332896461335</v>
      </c>
    </row>
    <row r="13" spans="1:13" ht="15.75" thickBot="1">
      <c r="A13" s="19">
        <v>11</v>
      </c>
      <c r="B13" s="135" t="s">
        <v>118</v>
      </c>
      <c r="C13" s="287">
        <v>1497</v>
      </c>
      <c r="D13" s="270">
        <v>0</v>
      </c>
      <c r="E13" s="272">
        <f>C13/F13</f>
        <v>2994</v>
      </c>
      <c r="F13" s="288">
        <v>0.5</v>
      </c>
      <c r="H13" s="20">
        <v>9</v>
      </c>
      <c r="I13" s="45"/>
      <c r="J13" s="61">
        <f>SUM(C12:C15)</f>
        <v>5637</v>
      </c>
      <c r="K13" s="61">
        <f>SUM(D12:D15)</f>
        <v>0</v>
      </c>
      <c r="L13" s="51">
        <f>SUM(E12:E15)</f>
        <v>9165.7777777777774</v>
      </c>
      <c r="M13" s="245"/>
    </row>
    <row r="14" spans="1:13" ht="15.75" thickBot="1">
      <c r="A14" s="19"/>
      <c r="B14" s="135" t="s">
        <v>119</v>
      </c>
      <c r="C14" s="287">
        <v>0</v>
      </c>
      <c r="D14" s="270">
        <v>0</v>
      </c>
      <c r="E14" s="279" t="s">
        <v>120</v>
      </c>
      <c r="F14" s="289">
        <v>0</v>
      </c>
      <c r="H14" s="23">
        <v>10</v>
      </c>
      <c r="I14" s="46" t="s">
        <v>1</v>
      </c>
      <c r="J14" s="62">
        <f>J5+J10</f>
        <v>96848</v>
      </c>
      <c r="K14" s="62">
        <f>K5+K10</f>
        <v>35424</v>
      </c>
      <c r="L14" s="62">
        <f>L5+L10</f>
        <v>30312.777777777777</v>
      </c>
      <c r="M14" s="63">
        <v>0</v>
      </c>
    </row>
    <row r="15" spans="1:13" ht="15.75" thickBot="1">
      <c r="A15" s="19">
        <v>12</v>
      </c>
      <c r="B15" s="135" t="s">
        <v>121</v>
      </c>
      <c r="C15" s="287">
        <v>3619</v>
      </c>
      <c r="D15" s="290">
        <v>0</v>
      </c>
      <c r="E15" s="272">
        <v>5014</v>
      </c>
      <c r="F15" s="289">
        <v>0.33800000000000002</v>
      </c>
    </row>
    <row r="16" spans="1:13" ht="15.75" thickBot="1">
      <c r="A16" s="19">
        <v>13</v>
      </c>
      <c r="B16" s="46" t="s">
        <v>1</v>
      </c>
      <c r="C16" s="280">
        <f>C5+C9</f>
        <v>61424</v>
      </c>
      <c r="D16" s="280">
        <f>D5+D9</f>
        <v>35424</v>
      </c>
      <c r="E16" s="280">
        <f>E5+E9</f>
        <v>30312.777777777777</v>
      </c>
      <c r="F16" s="291">
        <v>0</v>
      </c>
    </row>
  </sheetData>
  <protectedRanges>
    <protectedRange sqref="C7:D7" name="Oblast1_1"/>
    <protectedRange sqref="J7:K8" name="Oblast1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"/>
  <dimension ref="A1:M14"/>
  <sheetViews>
    <sheetView zoomScale="85" zoomScaleNormal="85" workbookViewId="0">
      <selection activeCell="H1" sqref="H1:M65536"/>
    </sheetView>
  </sheetViews>
  <sheetFormatPr defaultRowHeight="15"/>
  <cols>
    <col min="1" max="1" width="3.42578125" customWidth="1"/>
    <col min="2" max="2" width="49.5703125" customWidth="1"/>
    <col min="3" max="3" width="16.42578125" customWidth="1"/>
    <col min="4" max="4" width="17.7109375" customWidth="1"/>
    <col min="5" max="5" width="17.28515625" customWidth="1"/>
    <col min="6" max="6" width="17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ht="15.75">
      <c r="A1" s="28" t="s">
        <v>19</v>
      </c>
      <c r="B1" s="1"/>
      <c r="C1" s="2"/>
      <c r="D1" s="2"/>
      <c r="E1" s="2"/>
      <c r="F1" s="4"/>
    </row>
    <row r="2" spans="1:13" ht="15.75" thickBot="1">
      <c r="A2" s="5"/>
      <c r="B2" s="2"/>
      <c r="C2" s="2"/>
      <c r="D2" s="3"/>
      <c r="E2" s="2"/>
      <c r="F2" s="15" t="s">
        <v>9</v>
      </c>
    </row>
    <row r="3" spans="1:13" ht="25.5">
      <c r="A3" s="472" t="s">
        <v>0</v>
      </c>
      <c r="B3" s="474" t="s">
        <v>2</v>
      </c>
      <c r="C3" s="47" t="s">
        <v>24</v>
      </c>
      <c r="D3" s="47" t="s">
        <v>48</v>
      </c>
      <c r="E3" s="127" t="s">
        <v>31</v>
      </c>
      <c r="F3" s="27" t="s">
        <v>32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.75" thickBot="1">
      <c r="A4" s="473"/>
      <c r="B4" s="475"/>
      <c r="C4" s="125" t="s">
        <v>5</v>
      </c>
      <c r="D4" s="125" t="s">
        <v>6</v>
      </c>
      <c r="E4" s="125" t="s">
        <v>7</v>
      </c>
      <c r="F4" s="22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>
      <c r="A5" s="35">
        <v>1</v>
      </c>
      <c r="B5" s="38" t="s">
        <v>17</v>
      </c>
      <c r="C5" s="53">
        <f>SUM(C6:C9)</f>
        <v>5143.3974500000004</v>
      </c>
      <c r="D5" s="53">
        <f>SUM(D6:D9)</f>
        <v>1511</v>
      </c>
      <c r="E5" s="53">
        <f>SUM(E6:E9)</f>
        <v>4750</v>
      </c>
      <c r="F5" s="54">
        <v>0</v>
      </c>
      <c r="H5" s="35">
        <v>1</v>
      </c>
      <c r="I5" s="38" t="s">
        <v>17</v>
      </c>
      <c r="J5" s="53">
        <f>SUM(J6:J9)</f>
        <v>6654.3974500000004</v>
      </c>
      <c r="K5" s="53">
        <f>SUM(K6:K9)</f>
        <v>1511</v>
      </c>
      <c r="L5" s="53">
        <f>SUM(L6:L9)</f>
        <v>4750</v>
      </c>
      <c r="M5" s="54">
        <v>0</v>
      </c>
    </row>
    <row r="6" spans="1:13" ht="24">
      <c r="A6" s="19">
        <v>2</v>
      </c>
      <c r="B6" s="39" t="s">
        <v>3</v>
      </c>
      <c r="C6" s="102">
        <v>2005.0368000000001</v>
      </c>
      <c r="D6" s="56">
        <v>0</v>
      </c>
      <c r="E6" s="103">
        <v>4453</v>
      </c>
      <c r="F6" s="57">
        <v>0.5</v>
      </c>
      <c r="H6" s="19">
        <v>2</v>
      </c>
      <c r="I6" s="39" t="s">
        <v>3</v>
      </c>
      <c r="J6" s="55">
        <v>2005.0368000000001</v>
      </c>
      <c r="K6" s="56">
        <v>0</v>
      </c>
      <c r="L6" s="50">
        <v>4453</v>
      </c>
      <c r="M6" s="57">
        <v>0.5</v>
      </c>
    </row>
    <row r="7" spans="1:13">
      <c r="A7" s="19">
        <v>3</v>
      </c>
      <c r="B7" s="40" t="s">
        <v>10</v>
      </c>
      <c r="C7" s="56"/>
      <c r="D7" s="497">
        <v>1511</v>
      </c>
      <c r="E7" s="499">
        <v>250</v>
      </c>
      <c r="F7" s="501">
        <f>D7/E7</f>
        <v>6.0439999999999996</v>
      </c>
      <c r="H7" s="19">
        <v>3</v>
      </c>
      <c r="I7" s="40" t="s">
        <v>10</v>
      </c>
      <c r="J7" s="56">
        <v>1511</v>
      </c>
      <c r="K7" s="56">
        <v>1511</v>
      </c>
      <c r="L7" s="50">
        <v>250</v>
      </c>
      <c r="M7" s="52">
        <v>6.0439999999999996</v>
      </c>
    </row>
    <row r="8" spans="1:13">
      <c r="A8" s="19">
        <v>4</v>
      </c>
      <c r="B8" s="40" t="s">
        <v>11</v>
      </c>
      <c r="C8" s="56"/>
      <c r="D8" s="498"/>
      <c r="E8" s="500"/>
      <c r="F8" s="502"/>
      <c r="H8" s="19">
        <v>4</v>
      </c>
      <c r="I8" s="40" t="s">
        <v>11</v>
      </c>
      <c r="J8" s="56"/>
      <c r="K8" s="56"/>
      <c r="L8" s="50"/>
      <c r="M8" s="52"/>
    </row>
    <row r="9" spans="1:13">
      <c r="A9" s="19">
        <v>5</v>
      </c>
      <c r="B9" s="41" t="s">
        <v>4</v>
      </c>
      <c r="C9" s="56">
        <v>3138.3606500000001</v>
      </c>
      <c r="D9" s="56">
        <v>0</v>
      </c>
      <c r="E9" s="103">
        <v>47</v>
      </c>
      <c r="F9" s="52">
        <f>C9/E9</f>
        <v>66.773630851063828</v>
      </c>
      <c r="H9" s="19">
        <v>5</v>
      </c>
      <c r="I9" s="41" t="s">
        <v>4</v>
      </c>
      <c r="J9" s="56">
        <v>3138.3606500000001</v>
      </c>
      <c r="K9" s="56">
        <v>0</v>
      </c>
      <c r="L9" s="50">
        <v>47</v>
      </c>
      <c r="M9" s="52">
        <v>66.773630851063828</v>
      </c>
    </row>
    <row r="10" spans="1:13">
      <c r="A10" s="36">
        <v>6</v>
      </c>
      <c r="B10" s="42" t="s">
        <v>33</v>
      </c>
      <c r="C10" s="58">
        <f>SUM(C11:C13)</f>
        <v>2488.2704000000003</v>
      </c>
      <c r="D10" s="59">
        <v>0</v>
      </c>
      <c r="E10" s="58">
        <f>SUM(E11:E13)</f>
        <v>1028</v>
      </c>
      <c r="F10" s="60">
        <v>0</v>
      </c>
      <c r="H10" s="36">
        <v>6</v>
      </c>
      <c r="I10" s="42" t="s">
        <v>33</v>
      </c>
      <c r="J10" s="58">
        <f>SUM(J11:J13)</f>
        <v>2488.2704000000003</v>
      </c>
      <c r="K10" s="138">
        <v>0</v>
      </c>
      <c r="L10" s="58">
        <f>SUM(L11:L13)</f>
        <v>1028</v>
      </c>
      <c r="M10" s="60">
        <v>0</v>
      </c>
    </row>
    <row r="11" spans="1:13">
      <c r="A11" s="19">
        <v>7</v>
      </c>
      <c r="B11" s="43" t="s">
        <v>13</v>
      </c>
      <c r="C11" s="56">
        <v>2363.4704000000002</v>
      </c>
      <c r="D11" s="56">
        <v>0</v>
      </c>
      <c r="E11" s="103">
        <v>718</v>
      </c>
      <c r="F11" s="52">
        <f>C11/E11</f>
        <v>3.2917415041782734</v>
      </c>
      <c r="H11" s="19">
        <v>7</v>
      </c>
      <c r="I11" s="43" t="s">
        <v>13</v>
      </c>
      <c r="J11" s="56">
        <v>2363.4704000000002</v>
      </c>
      <c r="K11" s="56">
        <v>0</v>
      </c>
      <c r="L11" s="50">
        <v>718</v>
      </c>
      <c r="M11" s="52">
        <v>3.2917415041782734</v>
      </c>
    </row>
    <row r="12" spans="1:13">
      <c r="A12" s="19">
        <v>8</v>
      </c>
      <c r="B12" s="44" t="s">
        <v>12</v>
      </c>
      <c r="C12" s="56">
        <v>124.8</v>
      </c>
      <c r="D12" s="56">
        <v>0</v>
      </c>
      <c r="E12" s="103">
        <v>310</v>
      </c>
      <c r="F12" s="52">
        <f>C12/E12</f>
        <v>0.40258064516129033</v>
      </c>
      <c r="H12" s="19">
        <v>8</v>
      </c>
      <c r="I12" s="44" t="s">
        <v>12</v>
      </c>
      <c r="J12" s="56">
        <v>124.8</v>
      </c>
      <c r="K12" s="56">
        <v>0</v>
      </c>
      <c r="L12" s="50">
        <v>310</v>
      </c>
      <c r="M12" s="48">
        <v>0.40258064516129033</v>
      </c>
    </row>
    <row r="13" spans="1:13" ht="15.75" thickBot="1">
      <c r="A13" s="20">
        <v>9</v>
      </c>
      <c r="B13" s="45"/>
      <c r="C13" s="61"/>
      <c r="D13" s="61">
        <v>0</v>
      </c>
      <c r="E13" s="133"/>
      <c r="F13" s="49"/>
      <c r="H13" s="20">
        <v>9</v>
      </c>
      <c r="I13" s="45"/>
      <c r="J13" s="61"/>
      <c r="K13" s="61">
        <v>0</v>
      </c>
      <c r="L13" s="51"/>
      <c r="M13" s="245"/>
    </row>
    <row r="14" spans="1:13" ht="15.75" thickBot="1">
      <c r="A14" s="23">
        <v>10</v>
      </c>
      <c r="B14" s="46" t="s">
        <v>1</v>
      </c>
      <c r="C14" s="62">
        <f>C5+C10</f>
        <v>7631.6678500000007</v>
      </c>
      <c r="D14" s="62">
        <f>D5+D10</f>
        <v>1511</v>
      </c>
      <c r="E14" s="62">
        <f>E5+E10</f>
        <v>5778</v>
      </c>
      <c r="F14" s="63">
        <v>0</v>
      </c>
      <c r="H14" s="23">
        <v>10</v>
      </c>
      <c r="I14" s="46" t="s">
        <v>1</v>
      </c>
      <c r="J14" s="62">
        <f>J5+J10</f>
        <v>9142.6678500000016</v>
      </c>
      <c r="K14" s="62">
        <f>K5+K10</f>
        <v>1511</v>
      </c>
      <c r="L14" s="62">
        <f>L5+L10</f>
        <v>5778</v>
      </c>
      <c r="M14" s="63">
        <v>0</v>
      </c>
    </row>
  </sheetData>
  <protectedRanges>
    <protectedRange sqref="C7:D8" name="Oblast1"/>
    <protectedRange sqref="J7:K8" name="Oblast1_1"/>
  </protectedRanges>
  <mergeCells count="7">
    <mergeCell ref="I3:I4"/>
    <mergeCell ref="A3:A4"/>
    <mergeCell ref="B3:B4"/>
    <mergeCell ref="D7:D8"/>
    <mergeCell ref="E7:E8"/>
    <mergeCell ref="F7:F8"/>
    <mergeCell ref="H3:H4"/>
  </mergeCells>
  <pageMargins left="0.7" right="0.7" top="0.78740157499999996" bottom="0.78740157499999996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M15"/>
  <sheetViews>
    <sheetView zoomScale="85" zoomScaleNormal="85" workbookViewId="0">
      <selection activeCell="H1" sqref="H1:M65536"/>
    </sheetView>
  </sheetViews>
  <sheetFormatPr defaultRowHeight="15"/>
  <cols>
    <col min="1" max="1" width="3.42578125" customWidth="1"/>
    <col min="2" max="2" width="49.5703125" customWidth="1"/>
    <col min="3" max="3" width="16.42578125" customWidth="1"/>
    <col min="4" max="4" width="17.7109375" customWidth="1"/>
    <col min="5" max="5" width="17.28515625" customWidth="1"/>
    <col min="6" max="6" width="17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ht="15.75">
      <c r="A1" s="28" t="s">
        <v>19</v>
      </c>
      <c r="B1" s="1"/>
      <c r="C1" s="2"/>
      <c r="D1" s="2"/>
      <c r="E1" s="2"/>
      <c r="F1" s="4"/>
    </row>
    <row r="2" spans="1:13" ht="15.75" thickBot="1">
      <c r="A2" s="5"/>
      <c r="B2" s="2"/>
      <c r="C2" s="2"/>
      <c r="D2" s="3"/>
      <c r="E2" s="2"/>
      <c r="F2" s="15" t="s">
        <v>122</v>
      </c>
    </row>
    <row r="3" spans="1:13" ht="25.5">
      <c r="A3" s="472" t="s">
        <v>0</v>
      </c>
      <c r="B3" s="474" t="s">
        <v>2</v>
      </c>
      <c r="C3" s="47" t="s">
        <v>104</v>
      </c>
      <c r="D3" s="47" t="s">
        <v>96</v>
      </c>
      <c r="E3" s="127" t="s">
        <v>123</v>
      </c>
      <c r="F3" s="128" t="s">
        <v>98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.75" thickBot="1">
      <c r="A4" s="473"/>
      <c r="B4" s="475"/>
      <c r="C4" s="125" t="s">
        <v>5</v>
      </c>
      <c r="D4" s="125" t="s">
        <v>6</v>
      </c>
      <c r="E4" s="125" t="s">
        <v>7</v>
      </c>
      <c r="F4" s="22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>
      <c r="A5" s="101">
        <v>1</v>
      </c>
      <c r="B5" s="38" t="s">
        <v>17</v>
      </c>
      <c r="C5" s="53">
        <f>SUM(C6:C9)</f>
        <v>23665</v>
      </c>
      <c r="D5" s="53">
        <f>SUM(D6:D9)</f>
        <v>17232</v>
      </c>
      <c r="E5" s="53">
        <f>SUM(E6:E9)</f>
        <v>13398</v>
      </c>
      <c r="F5" s="54">
        <v>0</v>
      </c>
      <c r="H5" s="35">
        <v>1</v>
      </c>
      <c r="I5" s="38" t="s">
        <v>17</v>
      </c>
      <c r="J5" s="53">
        <f>SUM(J6:J9)</f>
        <v>23665</v>
      </c>
      <c r="K5" s="53">
        <f>SUM(K6:K9)</f>
        <v>17232</v>
      </c>
      <c r="L5" s="53">
        <f>SUM(L6:L9)</f>
        <v>13398</v>
      </c>
      <c r="M5" s="54">
        <v>0</v>
      </c>
    </row>
    <row r="6" spans="1:13" ht="24">
      <c r="A6" s="19">
        <v>2</v>
      </c>
      <c r="B6" s="39" t="s">
        <v>3</v>
      </c>
      <c r="C6" s="55">
        <v>6206</v>
      </c>
      <c r="D6" s="56">
        <v>0</v>
      </c>
      <c r="E6" s="50">
        <v>12412</v>
      </c>
      <c r="F6" s="292">
        <v>0.5</v>
      </c>
      <c r="H6" s="19">
        <v>2</v>
      </c>
      <c r="I6" s="39" t="s">
        <v>3</v>
      </c>
      <c r="J6" s="55">
        <v>6206</v>
      </c>
      <c r="K6" s="56">
        <v>0</v>
      </c>
      <c r="L6" s="50">
        <v>12412</v>
      </c>
      <c r="M6" s="57">
        <v>0.5</v>
      </c>
    </row>
    <row r="7" spans="1:13">
      <c r="A7" s="19">
        <v>3</v>
      </c>
      <c r="B7" s="40" t="s">
        <v>10</v>
      </c>
      <c r="C7" s="56">
        <v>17220</v>
      </c>
      <c r="D7" s="56">
        <v>17220</v>
      </c>
      <c r="E7" s="50">
        <v>979</v>
      </c>
      <c r="F7" s="293">
        <v>17.579999999999998</v>
      </c>
      <c r="H7" s="19">
        <v>3</v>
      </c>
      <c r="I7" s="40" t="s">
        <v>10</v>
      </c>
      <c r="J7" s="56">
        <v>17220</v>
      </c>
      <c r="K7" s="56">
        <v>17220</v>
      </c>
      <c r="L7" s="50">
        <v>979</v>
      </c>
      <c r="M7" s="52">
        <v>17.579999999999998</v>
      </c>
    </row>
    <row r="8" spans="1:13">
      <c r="A8" s="19">
        <v>4</v>
      </c>
      <c r="B8" s="40" t="s">
        <v>11</v>
      </c>
      <c r="C8" s="56">
        <v>12</v>
      </c>
      <c r="D8" s="56">
        <v>12</v>
      </c>
      <c r="E8" s="50">
        <v>4</v>
      </c>
      <c r="F8" s="293">
        <v>2.93</v>
      </c>
      <c r="H8" s="19">
        <v>4</v>
      </c>
      <c r="I8" s="40" t="s">
        <v>11</v>
      </c>
      <c r="J8" s="56">
        <v>12</v>
      </c>
      <c r="K8" s="56">
        <v>12</v>
      </c>
      <c r="L8" s="50">
        <v>4</v>
      </c>
      <c r="M8" s="52">
        <v>2.93</v>
      </c>
    </row>
    <row r="9" spans="1:13">
      <c r="A9" s="19">
        <v>5</v>
      </c>
      <c r="B9" s="41" t="s">
        <v>4</v>
      </c>
      <c r="C9" s="56">
        <v>227</v>
      </c>
      <c r="D9" s="56">
        <v>0</v>
      </c>
      <c r="E9" s="50">
        <v>3</v>
      </c>
      <c r="F9" s="293">
        <v>75.67</v>
      </c>
      <c r="H9" s="19">
        <v>5</v>
      </c>
      <c r="I9" s="41" t="s">
        <v>4</v>
      </c>
      <c r="J9" s="56">
        <v>227</v>
      </c>
      <c r="K9" s="56">
        <v>0</v>
      </c>
      <c r="L9" s="50">
        <v>3</v>
      </c>
      <c r="M9" s="52">
        <v>75.67</v>
      </c>
    </row>
    <row r="10" spans="1:13">
      <c r="A10" s="106">
        <v>6</v>
      </c>
      <c r="B10" s="42" t="s">
        <v>99</v>
      </c>
      <c r="C10" s="58">
        <f>SUM(C11:C14)</f>
        <v>16889</v>
      </c>
      <c r="D10" s="59">
        <v>0</v>
      </c>
      <c r="E10" s="58">
        <f>SUM(E11:E14)</f>
        <v>5834</v>
      </c>
      <c r="F10" s="60">
        <v>0</v>
      </c>
      <c r="H10" s="36">
        <v>6</v>
      </c>
      <c r="I10" s="42" t="s">
        <v>33</v>
      </c>
      <c r="J10" s="58">
        <f>SUM(J11:J13)</f>
        <v>16889</v>
      </c>
      <c r="K10" s="138">
        <v>0</v>
      </c>
      <c r="L10" s="58">
        <f>SUM(L11:L13)</f>
        <v>5834</v>
      </c>
      <c r="M10" s="60">
        <v>0</v>
      </c>
    </row>
    <row r="11" spans="1:13">
      <c r="A11" s="19">
        <v>7</v>
      </c>
      <c r="B11" s="43" t="s">
        <v>13</v>
      </c>
      <c r="C11" s="56">
        <v>14406</v>
      </c>
      <c r="D11" s="56">
        <v>0</v>
      </c>
      <c r="E11" s="50">
        <v>2565</v>
      </c>
      <c r="F11" s="293">
        <v>5.65</v>
      </c>
      <c r="H11" s="19">
        <v>7</v>
      </c>
      <c r="I11" s="43" t="s">
        <v>13</v>
      </c>
      <c r="J11" s="56">
        <v>14406</v>
      </c>
      <c r="K11" s="56">
        <v>0</v>
      </c>
      <c r="L11" s="50">
        <v>2565</v>
      </c>
      <c r="M11" s="52">
        <v>5.65</v>
      </c>
    </row>
    <row r="12" spans="1:13">
      <c r="A12" s="19">
        <v>8</v>
      </c>
      <c r="B12" s="44" t="s">
        <v>12</v>
      </c>
      <c r="C12" s="56">
        <v>1283</v>
      </c>
      <c r="D12" s="56">
        <v>0</v>
      </c>
      <c r="E12" s="50">
        <v>2566</v>
      </c>
      <c r="F12" s="294">
        <v>0.5</v>
      </c>
      <c r="H12" s="19">
        <v>8</v>
      </c>
      <c r="I12" s="44" t="s">
        <v>12</v>
      </c>
      <c r="J12" s="56">
        <v>1283</v>
      </c>
      <c r="K12" s="56">
        <v>0</v>
      </c>
      <c r="L12" s="50">
        <v>2566</v>
      </c>
      <c r="M12" s="48">
        <v>0.5</v>
      </c>
    </row>
    <row r="13" spans="1:13" ht="15.75" thickBot="1">
      <c r="A13" s="20">
        <v>9</v>
      </c>
      <c r="B13" s="45" t="s">
        <v>124</v>
      </c>
      <c r="C13" s="61">
        <v>999</v>
      </c>
      <c r="D13" s="61">
        <v>0</v>
      </c>
      <c r="E13" s="51">
        <v>636</v>
      </c>
      <c r="F13" s="107">
        <v>1.57</v>
      </c>
      <c r="H13" s="20">
        <v>9</v>
      </c>
      <c r="I13" s="45"/>
      <c r="J13" s="61">
        <f>C13+C14</f>
        <v>1200</v>
      </c>
      <c r="K13" s="61">
        <f>D13+D14</f>
        <v>0</v>
      </c>
      <c r="L13" s="51">
        <f>E13+E14</f>
        <v>703</v>
      </c>
      <c r="M13" s="245"/>
    </row>
    <row r="14" spans="1:13" ht="15.75" thickBot="1">
      <c r="A14" s="295">
        <v>10</v>
      </c>
      <c r="B14" s="296" t="s">
        <v>125</v>
      </c>
      <c r="C14" s="297">
        <v>201</v>
      </c>
      <c r="D14" s="297">
        <v>0</v>
      </c>
      <c r="E14" s="298">
        <v>67</v>
      </c>
      <c r="F14" s="299">
        <v>3</v>
      </c>
      <c r="H14" s="23">
        <v>10</v>
      </c>
      <c r="I14" s="46" t="s">
        <v>1</v>
      </c>
      <c r="J14" s="62">
        <f>J5+J10</f>
        <v>40554</v>
      </c>
      <c r="K14" s="62">
        <f>K5+K10</f>
        <v>17232</v>
      </c>
      <c r="L14" s="62">
        <f>L5+L10</f>
        <v>19232</v>
      </c>
      <c r="M14" s="63">
        <v>0</v>
      </c>
    </row>
    <row r="15" spans="1:13" ht="15.75" thickBot="1">
      <c r="A15" s="23">
        <v>11</v>
      </c>
      <c r="B15" s="46" t="s">
        <v>1</v>
      </c>
      <c r="C15" s="62">
        <f>C5+C10</f>
        <v>40554</v>
      </c>
      <c r="D15" s="62">
        <f>D5+D10</f>
        <v>17232</v>
      </c>
      <c r="E15" s="62">
        <f>E5+E10</f>
        <v>19232</v>
      </c>
      <c r="F15" s="63">
        <v>0</v>
      </c>
    </row>
  </sheetData>
  <protectedRanges>
    <protectedRange sqref="C7:D8" name="Oblast1"/>
    <protectedRange sqref="J7:K8" name="Oblast1_1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M14"/>
  <sheetViews>
    <sheetView zoomScale="85" zoomScaleNormal="85" workbookViewId="0">
      <selection activeCell="H1" sqref="H1:M65536"/>
    </sheetView>
  </sheetViews>
  <sheetFormatPr defaultRowHeight="15"/>
  <cols>
    <col min="1" max="1" width="3.42578125" customWidth="1"/>
    <col min="2" max="2" width="49.5703125" customWidth="1"/>
    <col min="3" max="3" width="16.42578125" customWidth="1"/>
    <col min="4" max="4" width="17.7109375" customWidth="1"/>
    <col min="5" max="5" width="17.28515625" customWidth="1"/>
    <col min="6" max="6" width="17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ht="15.75">
      <c r="A1" s="300" t="s">
        <v>19</v>
      </c>
      <c r="B1" s="301"/>
      <c r="C1" s="302"/>
      <c r="D1" s="302"/>
      <c r="E1" s="302"/>
      <c r="F1" s="303"/>
    </row>
    <row r="2" spans="1:13" ht="16.5" thickBot="1">
      <c r="A2" s="304"/>
      <c r="B2" s="302"/>
      <c r="C2" s="302"/>
      <c r="D2" s="305"/>
      <c r="E2" s="302"/>
      <c r="F2" s="306" t="s">
        <v>9</v>
      </c>
    </row>
    <row r="3" spans="1:13" ht="31.5">
      <c r="A3" s="503" t="s">
        <v>0</v>
      </c>
      <c r="B3" s="505" t="s">
        <v>2</v>
      </c>
      <c r="C3" s="307" t="s">
        <v>24</v>
      </c>
      <c r="D3" s="307" t="s">
        <v>126</v>
      </c>
      <c r="E3" s="308" t="s">
        <v>56</v>
      </c>
      <c r="F3" s="309" t="s">
        <v>127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6.5" thickBot="1">
      <c r="A4" s="504"/>
      <c r="B4" s="506"/>
      <c r="C4" s="310" t="s">
        <v>5</v>
      </c>
      <c r="D4" s="310" t="s">
        <v>6</v>
      </c>
      <c r="E4" s="310" t="s">
        <v>7</v>
      </c>
      <c r="F4" s="311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 ht="31.5">
      <c r="A5" s="312">
        <v>1</v>
      </c>
      <c r="B5" s="313" t="s">
        <v>17</v>
      </c>
      <c r="C5" s="314">
        <f>SUM(C6:C9)</f>
        <v>15296</v>
      </c>
      <c r="D5" s="314">
        <f>SUM(D6:D9)</f>
        <v>10357</v>
      </c>
      <c r="E5" s="314">
        <f>SUM(E6:E9)</f>
        <v>5812</v>
      </c>
      <c r="F5" s="315">
        <f>C5/E5</f>
        <v>2.6317962835512732</v>
      </c>
      <c r="H5" s="35">
        <v>1</v>
      </c>
      <c r="I5" s="38" t="s">
        <v>17</v>
      </c>
      <c r="J5" s="53">
        <f>SUM(J6:J9)</f>
        <v>15296</v>
      </c>
      <c r="K5" s="53">
        <f>SUM(K6:K9)</f>
        <v>10357</v>
      </c>
      <c r="L5" s="53">
        <f>SUM(L6:L9)</f>
        <v>5812</v>
      </c>
      <c r="M5" s="54">
        <v>2.6317962835512732</v>
      </c>
    </row>
    <row r="6" spans="1:13" ht="31.5">
      <c r="A6" s="316">
        <v>2</v>
      </c>
      <c r="B6" s="317" t="s">
        <v>3</v>
      </c>
      <c r="C6" s="318">
        <v>2945</v>
      </c>
      <c r="D6" s="319">
        <v>0</v>
      </c>
      <c r="E6" s="320">
        <f>5216+117</f>
        <v>5333</v>
      </c>
      <c r="F6" s="321">
        <f t="shared" ref="F6:F14" si="0">C6/E6</f>
        <v>0.55222201387586722</v>
      </c>
      <c r="H6" s="19">
        <v>2</v>
      </c>
      <c r="I6" s="39" t="s">
        <v>3</v>
      </c>
      <c r="J6" s="55">
        <v>2945</v>
      </c>
      <c r="K6" s="56">
        <v>0</v>
      </c>
      <c r="L6" s="50">
        <v>5333</v>
      </c>
      <c r="M6" s="57">
        <v>0.55222201387586722</v>
      </c>
    </row>
    <row r="7" spans="1:13" ht="15.75">
      <c r="A7" s="316">
        <v>3</v>
      </c>
      <c r="B7" s="322" t="s">
        <v>10</v>
      </c>
      <c r="C7" s="319">
        <v>10357</v>
      </c>
      <c r="D7" s="319">
        <v>10357</v>
      </c>
      <c r="E7" s="320">
        <v>436</v>
      </c>
      <c r="F7" s="323">
        <f t="shared" si="0"/>
        <v>23.754587155963304</v>
      </c>
      <c r="H7" s="19">
        <v>3</v>
      </c>
      <c r="I7" s="40" t="s">
        <v>10</v>
      </c>
      <c r="J7" s="56">
        <v>10357</v>
      </c>
      <c r="K7" s="56">
        <v>10357</v>
      </c>
      <c r="L7" s="50">
        <v>436</v>
      </c>
      <c r="M7" s="52">
        <v>23.754587155963304</v>
      </c>
    </row>
    <row r="8" spans="1:13" ht="15.75">
      <c r="A8" s="316">
        <v>4</v>
      </c>
      <c r="B8" s="322" t="s">
        <v>11</v>
      </c>
      <c r="C8" s="319"/>
      <c r="D8" s="319"/>
      <c r="E8" s="320"/>
      <c r="F8" s="323"/>
      <c r="H8" s="19">
        <v>4</v>
      </c>
      <c r="I8" s="40" t="s">
        <v>11</v>
      </c>
      <c r="J8" s="56"/>
      <c r="K8" s="56"/>
      <c r="L8" s="50"/>
      <c r="M8" s="52"/>
    </row>
    <row r="9" spans="1:13" ht="15.75">
      <c r="A9" s="316">
        <v>5</v>
      </c>
      <c r="B9" s="317" t="s">
        <v>4</v>
      </c>
      <c r="C9" s="319">
        <v>1994</v>
      </c>
      <c r="D9" s="319">
        <v>0</v>
      </c>
      <c r="E9" s="320">
        <v>43</v>
      </c>
      <c r="F9" s="323">
        <f t="shared" si="0"/>
        <v>46.372093023255815</v>
      </c>
      <c r="H9" s="19">
        <v>5</v>
      </c>
      <c r="I9" s="41" t="s">
        <v>4</v>
      </c>
      <c r="J9" s="56">
        <v>1994</v>
      </c>
      <c r="K9" s="56">
        <v>0</v>
      </c>
      <c r="L9" s="50">
        <v>43</v>
      </c>
      <c r="M9" s="52">
        <v>46.372093023255815</v>
      </c>
    </row>
    <row r="10" spans="1:13" ht="31.5">
      <c r="A10" s="324">
        <v>6</v>
      </c>
      <c r="B10" s="325" t="s">
        <v>128</v>
      </c>
      <c r="C10" s="326">
        <f>SUM(C11:C13)</f>
        <v>5489.0529999999999</v>
      </c>
      <c r="D10" s="327">
        <v>0</v>
      </c>
      <c r="E10" s="326">
        <f>SUM(E11:E13)</f>
        <v>2239</v>
      </c>
      <c r="F10" s="328">
        <f t="shared" si="0"/>
        <v>2.4515645377400626</v>
      </c>
      <c r="H10" s="36">
        <v>6</v>
      </c>
      <c r="I10" s="42" t="s">
        <v>33</v>
      </c>
      <c r="J10" s="58">
        <f>SUM(J11:J13)</f>
        <v>5489.0529999999999</v>
      </c>
      <c r="K10" s="138">
        <v>0</v>
      </c>
      <c r="L10" s="58">
        <f>SUM(L11:L13)</f>
        <v>2239</v>
      </c>
      <c r="M10" s="60">
        <v>2.4515645377400626</v>
      </c>
    </row>
    <row r="11" spans="1:13" ht="31.5">
      <c r="A11" s="316">
        <v>7</v>
      </c>
      <c r="B11" s="329" t="s">
        <v>13</v>
      </c>
      <c r="C11" s="319">
        <f>1537.743+2472.31</f>
        <v>4010.0529999999999</v>
      </c>
      <c r="D11" s="319">
        <v>0</v>
      </c>
      <c r="E11" s="320">
        <f>444+352</f>
        <v>796</v>
      </c>
      <c r="F11" s="323">
        <f t="shared" si="0"/>
        <v>5.0377550251256276</v>
      </c>
      <c r="H11" s="19">
        <v>7</v>
      </c>
      <c r="I11" s="43" t="s">
        <v>13</v>
      </c>
      <c r="J11" s="56">
        <v>4010.0529999999999</v>
      </c>
      <c r="K11" s="56">
        <v>0</v>
      </c>
      <c r="L11" s="50">
        <v>796</v>
      </c>
      <c r="M11" s="52">
        <v>5.0377550251256276</v>
      </c>
    </row>
    <row r="12" spans="1:13" ht="15.75">
      <c r="A12" s="316">
        <v>8</v>
      </c>
      <c r="B12" s="330" t="s">
        <v>12</v>
      </c>
      <c r="C12" s="319">
        <v>1479</v>
      </c>
      <c r="D12" s="319">
        <v>0</v>
      </c>
      <c r="E12" s="320">
        <v>1443</v>
      </c>
      <c r="F12" s="331">
        <f t="shared" si="0"/>
        <v>1.0249480249480249</v>
      </c>
      <c r="H12" s="19">
        <v>8</v>
      </c>
      <c r="I12" s="44" t="s">
        <v>12</v>
      </c>
      <c r="J12" s="56">
        <v>1479</v>
      </c>
      <c r="K12" s="56">
        <v>0</v>
      </c>
      <c r="L12" s="50">
        <v>1443</v>
      </c>
      <c r="M12" s="48">
        <v>1.0249480249480249</v>
      </c>
    </row>
    <row r="13" spans="1:13" ht="16.5" thickBot="1">
      <c r="A13" s="332">
        <v>9</v>
      </c>
      <c r="B13" s="333"/>
      <c r="C13" s="334"/>
      <c r="D13" s="334">
        <v>0</v>
      </c>
      <c r="E13" s="335"/>
      <c r="F13" s="336"/>
      <c r="H13" s="20">
        <v>9</v>
      </c>
      <c r="I13" s="45"/>
      <c r="J13" s="61"/>
      <c r="K13" s="61">
        <v>0</v>
      </c>
      <c r="L13" s="51"/>
      <c r="M13" s="245"/>
    </row>
    <row r="14" spans="1:13" ht="16.5" thickBot="1">
      <c r="A14" s="337">
        <v>10</v>
      </c>
      <c r="B14" s="338" t="s">
        <v>1</v>
      </c>
      <c r="C14" s="339">
        <f>C5+C10</f>
        <v>20785.053</v>
      </c>
      <c r="D14" s="339">
        <f>D5+D10</f>
        <v>10357</v>
      </c>
      <c r="E14" s="339">
        <f>E5+E10</f>
        <v>8051</v>
      </c>
      <c r="F14" s="340">
        <f t="shared" si="0"/>
        <v>2.5816734567134518</v>
      </c>
      <c r="H14" s="23">
        <v>10</v>
      </c>
      <c r="I14" s="46" t="s">
        <v>1</v>
      </c>
      <c r="J14" s="62">
        <f>J5+J10</f>
        <v>20785.053</v>
      </c>
      <c r="K14" s="62">
        <f>K5+K10</f>
        <v>10357</v>
      </c>
      <c r="L14" s="62">
        <f>L5+L10</f>
        <v>8051</v>
      </c>
      <c r="M14" s="63">
        <v>2.5816734567134518</v>
      </c>
    </row>
  </sheetData>
  <protectedRanges>
    <protectedRange sqref="C7:D8" name="Oblast1"/>
    <protectedRange sqref="J7:K8" name="Oblast1_1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M19"/>
  <sheetViews>
    <sheetView zoomScale="85" zoomScaleNormal="85" workbookViewId="0">
      <selection activeCell="H1" sqref="H1:M65536"/>
    </sheetView>
  </sheetViews>
  <sheetFormatPr defaultRowHeight="15"/>
  <cols>
    <col min="1" max="1" width="3.42578125" customWidth="1"/>
    <col min="2" max="2" width="49.5703125" customWidth="1"/>
    <col min="3" max="3" width="16.42578125" customWidth="1"/>
    <col min="4" max="4" width="17.7109375" customWidth="1"/>
    <col min="5" max="5" width="17.28515625" customWidth="1"/>
    <col min="6" max="6" width="17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ht="15.75">
      <c r="A1" s="28" t="s">
        <v>19</v>
      </c>
      <c r="B1" s="1"/>
      <c r="C1" s="2"/>
      <c r="D1" s="2"/>
      <c r="E1" s="2"/>
      <c r="F1" s="4"/>
    </row>
    <row r="2" spans="1:13" ht="15.75" thickBot="1">
      <c r="A2" s="5"/>
      <c r="B2" s="2"/>
      <c r="C2" s="2"/>
      <c r="D2" s="3"/>
      <c r="E2" s="2"/>
      <c r="F2" s="15" t="s">
        <v>122</v>
      </c>
    </row>
    <row r="3" spans="1:13" ht="25.5">
      <c r="A3" s="472" t="s">
        <v>0</v>
      </c>
      <c r="B3" s="474" t="s">
        <v>2</v>
      </c>
      <c r="C3" s="47" t="s">
        <v>24</v>
      </c>
      <c r="D3" s="47" t="s">
        <v>48</v>
      </c>
      <c r="E3" s="127" t="s">
        <v>31</v>
      </c>
      <c r="F3" s="128" t="s">
        <v>107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.75" thickBot="1">
      <c r="A4" s="473"/>
      <c r="B4" s="475"/>
      <c r="C4" s="125" t="s">
        <v>5</v>
      </c>
      <c r="D4" s="125" t="s">
        <v>6</v>
      </c>
      <c r="E4" s="125" t="s">
        <v>7</v>
      </c>
      <c r="F4" s="22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>
      <c r="A5" s="101">
        <v>1</v>
      </c>
      <c r="B5" s="38" t="s">
        <v>17</v>
      </c>
      <c r="C5" s="53">
        <f>SUM(C6:C9)</f>
        <v>4918.34</v>
      </c>
      <c r="D5" s="53">
        <f>SUM(D6:D9)</f>
        <v>11837.48</v>
      </c>
      <c r="E5" s="53">
        <f>SUM(E6:E9)</f>
        <v>7881</v>
      </c>
      <c r="F5" s="54">
        <v>0</v>
      </c>
      <c r="H5" s="35">
        <v>1</v>
      </c>
      <c r="I5" s="38" t="s">
        <v>17</v>
      </c>
      <c r="J5" s="53">
        <f>SUM(J6:J9)</f>
        <v>16755.82</v>
      </c>
      <c r="K5" s="53">
        <f>SUM(K6:K9)</f>
        <v>11837.48</v>
      </c>
      <c r="L5" s="53">
        <f>SUM(L6:L9)</f>
        <v>7881</v>
      </c>
      <c r="M5" s="54">
        <v>0</v>
      </c>
    </row>
    <row r="6" spans="1:13" ht="24">
      <c r="A6" s="19">
        <v>2</v>
      </c>
      <c r="B6" s="39" t="s">
        <v>3</v>
      </c>
      <c r="C6" s="102">
        <v>3737.64</v>
      </c>
      <c r="D6" s="56">
        <v>0</v>
      </c>
      <c r="E6" s="50">
        <v>7325</v>
      </c>
      <c r="F6" s="57">
        <v>500</v>
      </c>
      <c r="H6" s="19">
        <v>2</v>
      </c>
      <c r="I6" s="39" t="s">
        <v>3</v>
      </c>
      <c r="J6" s="55">
        <v>3737.64</v>
      </c>
      <c r="K6" s="56">
        <v>0</v>
      </c>
      <c r="L6" s="50">
        <v>7325</v>
      </c>
      <c r="M6" s="57">
        <v>500</v>
      </c>
    </row>
    <row r="7" spans="1:13">
      <c r="A7" s="19">
        <v>3</v>
      </c>
      <c r="B7" s="40" t="s">
        <v>10</v>
      </c>
      <c r="C7" s="130">
        <v>0</v>
      </c>
      <c r="D7" s="56">
        <v>11837.48</v>
      </c>
      <c r="E7" s="50">
        <v>521</v>
      </c>
      <c r="F7" s="52">
        <v>22720</v>
      </c>
      <c r="H7" s="19">
        <v>3</v>
      </c>
      <c r="I7" s="40" t="s">
        <v>10</v>
      </c>
      <c r="J7" s="56">
        <v>11837.48</v>
      </c>
      <c r="K7" s="56">
        <v>11837.48</v>
      </c>
      <c r="L7" s="50">
        <v>521</v>
      </c>
      <c r="M7" s="52">
        <v>22720</v>
      </c>
    </row>
    <row r="8" spans="1:13">
      <c r="A8" s="19">
        <v>4</v>
      </c>
      <c r="B8" s="40" t="s">
        <v>11</v>
      </c>
      <c r="C8" s="130">
        <v>0</v>
      </c>
      <c r="D8" s="341">
        <v>0</v>
      </c>
      <c r="E8" s="50">
        <v>0</v>
      </c>
      <c r="F8" s="52">
        <v>0</v>
      </c>
      <c r="H8" s="19">
        <v>4</v>
      </c>
      <c r="I8" s="40" t="s">
        <v>11</v>
      </c>
      <c r="J8" s="56">
        <v>0</v>
      </c>
      <c r="K8" s="56">
        <v>0</v>
      </c>
      <c r="L8" s="50">
        <v>0</v>
      </c>
      <c r="M8" s="52">
        <v>0</v>
      </c>
    </row>
    <row r="9" spans="1:13">
      <c r="A9" s="19">
        <v>5</v>
      </c>
      <c r="B9" s="41" t="s">
        <v>4</v>
      </c>
      <c r="C9" s="130">
        <v>1180.7</v>
      </c>
      <c r="D9" s="56">
        <v>0</v>
      </c>
      <c r="E9" s="50">
        <v>35</v>
      </c>
      <c r="F9" s="52">
        <v>33733</v>
      </c>
      <c r="H9" s="19">
        <v>5</v>
      </c>
      <c r="I9" s="41" t="s">
        <v>4</v>
      </c>
      <c r="J9" s="56">
        <v>1180.7</v>
      </c>
      <c r="K9" s="56">
        <v>0</v>
      </c>
      <c r="L9" s="50">
        <v>35</v>
      </c>
      <c r="M9" s="52">
        <v>33733</v>
      </c>
    </row>
    <row r="10" spans="1:13">
      <c r="A10" s="106">
        <v>6</v>
      </c>
      <c r="B10" s="42" t="s">
        <v>33</v>
      </c>
      <c r="C10" s="58">
        <f>SUM(C11:C18)</f>
        <v>2467.6579999999999</v>
      </c>
      <c r="D10" s="59">
        <v>0</v>
      </c>
      <c r="E10" s="58">
        <f>SUM(E11:E18)</f>
        <v>1672</v>
      </c>
      <c r="F10" s="60">
        <v>0</v>
      </c>
      <c r="H10" s="36">
        <v>6</v>
      </c>
      <c r="I10" s="42" t="s">
        <v>33</v>
      </c>
      <c r="J10" s="58">
        <f>SUM(J11:J13)</f>
        <v>2467.6579999999999</v>
      </c>
      <c r="K10" s="138">
        <v>0</v>
      </c>
      <c r="L10" s="58">
        <f>SUM(L11:L13)</f>
        <v>1672</v>
      </c>
      <c r="M10" s="60">
        <v>0</v>
      </c>
    </row>
    <row r="11" spans="1:13">
      <c r="A11" s="19">
        <v>7</v>
      </c>
      <c r="B11" s="43" t="s">
        <v>13</v>
      </c>
      <c r="C11" s="56">
        <v>2136.9079999999999</v>
      </c>
      <c r="D11" s="56">
        <v>0</v>
      </c>
      <c r="E11" s="50">
        <v>693</v>
      </c>
      <c r="F11" s="52">
        <v>32700</v>
      </c>
      <c r="H11" s="19">
        <v>7</v>
      </c>
      <c r="I11" s="43" t="s">
        <v>13</v>
      </c>
      <c r="J11" s="56">
        <v>2136.9079999999999</v>
      </c>
      <c r="K11" s="56">
        <v>0</v>
      </c>
      <c r="L11" s="50">
        <v>693</v>
      </c>
      <c r="M11" s="52">
        <v>32700</v>
      </c>
    </row>
    <row r="12" spans="1:13">
      <c r="A12" s="19">
        <v>8</v>
      </c>
      <c r="B12" s="44" t="s">
        <v>12</v>
      </c>
      <c r="C12" s="56">
        <v>287.7</v>
      </c>
      <c r="D12" s="56">
        <v>0</v>
      </c>
      <c r="E12" s="50">
        <v>790</v>
      </c>
      <c r="F12" s="48">
        <v>364</v>
      </c>
      <c r="H12" s="19">
        <v>8</v>
      </c>
      <c r="I12" s="44" t="s">
        <v>12</v>
      </c>
      <c r="J12" s="56">
        <v>287.7</v>
      </c>
      <c r="K12" s="56">
        <v>0</v>
      </c>
      <c r="L12" s="50">
        <v>790</v>
      </c>
      <c r="M12" s="48">
        <v>364</v>
      </c>
    </row>
    <row r="13" spans="1:13" ht="15.75" thickBot="1">
      <c r="A13" s="19">
        <v>9</v>
      </c>
      <c r="B13" s="45" t="s">
        <v>129</v>
      </c>
      <c r="C13" s="61">
        <v>6</v>
      </c>
      <c r="D13" s="61">
        <v>0</v>
      </c>
      <c r="E13" s="51">
        <v>6</v>
      </c>
      <c r="F13" s="49">
        <v>1000</v>
      </c>
      <c r="H13" s="20">
        <v>9</v>
      </c>
      <c r="I13" s="45"/>
      <c r="J13" s="61">
        <f>SUM(C13:C18)</f>
        <v>43.05</v>
      </c>
      <c r="K13" s="61">
        <f>SUM(D13:D18)</f>
        <v>0</v>
      </c>
      <c r="L13" s="51">
        <f>SUM(E13:E18)</f>
        <v>189</v>
      </c>
      <c r="M13" s="245"/>
    </row>
    <row r="14" spans="1:13" ht="15.75" thickBot="1">
      <c r="A14" s="19">
        <v>10</v>
      </c>
      <c r="B14" s="45" t="s">
        <v>130</v>
      </c>
      <c r="C14" s="61">
        <v>6.3</v>
      </c>
      <c r="D14" s="61">
        <v>0</v>
      </c>
      <c r="E14" s="51">
        <v>21</v>
      </c>
      <c r="F14" s="49">
        <v>300</v>
      </c>
      <c r="H14" s="23">
        <v>10</v>
      </c>
      <c r="I14" s="46" t="s">
        <v>1</v>
      </c>
      <c r="J14" s="62">
        <f>J5+J10</f>
        <v>19223.477999999999</v>
      </c>
      <c r="K14" s="62">
        <f>K5+K10</f>
        <v>11837.48</v>
      </c>
      <c r="L14" s="62">
        <f>L5+L10</f>
        <v>9553</v>
      </c>
      <c r="M14" s="63">
        <v>0</v>
      </c>
    </row>
    <row r="15" spans="1:13">
      <c r="A15" s="19">
        <v>11</v>
      </c>
      <c r="B15" s="45" t="s">
        <v>131</v>
      </c>
      <c r="C15" s="61">
        <v>11</v>
      </c>
      <c r="D15" s="61">
        <v>0</v>
      </c>
      <c r="E15" s="51">
        <v>55</v>
      </c>
      <c r="F15" s="49">
        <v>200</v>
      </c>
    </row>
    <row r="16" spans="1:13">
      <c r="A16" s="19">
        <v>12</v>
      </c>
      <c r="B16" s="45" t="s">
        <v>132</v>
      </c>
      <c r="C16" s="61">
        <v>13.75</v>
      </c>
      <c r="D16" s="61">
        <v>0</v>
      </c>
      <c r="E16" s="51">
        <v>69</v>
      </c>
      <c r="F16" s="49">
        <v>150</v>
      </c>
    </row>
    <row r="17" spans="1:6">
      <c r="A17" s="19">
        <v>13</v>
      </c>
      <c r="B17" s="45" t="s">
        <v>133</v>
      </c>
      <c r="C17" s="61">
        <v>4.5999999999999996</v>
      </c>
      <c r="D17" s="61">
        <v>0</v>
      </c>
      <c r="E17" s="51">
        <v>31</v>
      </c>
      <c r="F17" s="49">
        <v>150</v>
      </c>
    </row>
    <row r="18" spans="1:6" ht="15.75" thickBot="1">
      <c r="A18" s="20">
        <v>14</v>
      </c>
      <c r="B18" s="45" t="s">
        <v>134</v>
      </c>
      <c r="C18" s="61">
        <v>1.4</v>
      </c>
      <c r="D18" s="61">
        <v>0</v>
      </c>
      <c r="E18" s="51">
        <v>7</v>
      </c>
      <c r="F18" s="49">
        <v>200</v>
      </c>
    </row>
    <row r="19" spans="1:6" ht="15.75" thickBot="1">
      <c r="A19" s="342">
        <v>15</v>
      </c>
      <c r="B19" s="46" t="s">
        <v>1</v>
      </c>
      <c r="C19" s="62">
        <f>C5+C10</f>
        <v>7385.9979999999996</v>
      </c>
      <c r="D19" s="62">
        <f>D5+D10</f>
        <v>11837.48</v>
      </c>
      <c r="E19" s="62">
        <f>E5+E10</f>
        <v>9553</v>
      </c>
      <c r="F19" s="63">
        <v>0</v>
      </c>
    </row>
  </sheetData>
  <protectedRanges>
    <protectedRange sqref="C7:D8" name="Oblast1_1"/>
    <protectedRange sqref="J7:K8" name="Oblast1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M19"/>
  <sheetViews>
    <sheetView zoomScale="85" zoomScaleNormal="85" workbookViewId="0">
      <selection activeCell="H1" sqref="H1:M65536"/>
    </sheetView>
  </sheetViews>
  <sheetFormatPr defaultRowHeight="15"/>
  <cols>
    <col min="1" max="1" width="3.42578125" customWidth="1"/>
    <col min="2" max="2" width="49.5703125" customWidth="1"/>
    <col min="3" max="3" width="16.42578125" customWidth="1"/>
    <col min="4" max="4" width="17.7109375" customWidth="1"/>
    <col min="5" max="5" width="17.28515625" customWidth="1"/>
    <col min="6" max="6" width="17.5703125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ht="15.75">
      <c r="A1" s="343" t="s">
        <v>19</v>
      </c>
      <c r="B1" s="344"/>
      <c r="C1" s="345"/>
      <c r="D1" s="345"/>
      <c r="E1" s="345"/>
      <c r="F1" s="346"/>
    </row>
    <row r="2" spans="1:13" ht="15.75" thickBot="1">
      <c r="A2" s="347"/>
      <c r="B2" s="345"/>
      <c r="C2" s="345"/>
      <c r="D2" s="348"/>
      <c r="E2" s="345"/>
      <c r="F2" s="349" t="s">
        <v>135</v>
      </c>
    </row>
    <row r="3" spans="1:13" ht="25.5">
      <c r="A3" s="472" t="s">
        <v>0</v>
      </c>
      <c r="B3" s="474" t="s">
        <v>2</v>
      </c>
      <c r="C3" s="47" t="s">
        <v>104</v>
      </c>
      <c r="D3" s="47" t="s">
        <v>96</v>
      </c>
      <c r="E3" s="127" t="s">
        <v>123</v>
      </c>
      <c r="F3" s="128" t="s">
        <v>98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.75" thickBot="1">
      <c r="A4" s="473"/>
      <c r="B4" s="475"/>
      <c r="C4" s="125" t="s">
        <v>5</v>
      </c>
      <c r="D4" s="125" t="s">
        <v>6</v>
      </c>
      <c r="E4" s="125" t="s">
        <v>7</v>
      </c>
      <c r="F4" s="22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>
      <c r="A5" s="35">
        <v>1</v>
      </c>
      <c r="B5" s="38" t="s">
        <v>17</v>
      </c>
      <c r="C5" s="53">
        <f>SUM(C6:C9)</f>
        <v>28712</v>
      </c>
      <c r="D5" s="53">
        <f>SUM(D6:D9)</f>
        <v>19466</v>
      </c>
      <c r="E5" s="53">
        <f>SUM(E6:E9)</f>
        <v>17448</v>
      </c>
      <c r="F5" s="54">
        <v>0</v>
      </c>
      <c r="H5" s="35">
        <v>1</v>
      </c>
      <c r="I5" s="38" t="s">
        <v>17</v>
      </c>
      <c r="J5" s="53">
        <f>SUM(J6:J9)</f>
        <v>28741</v>
      </c>
      <c r="K5" s="53">
        <f>SUM(K6:K9)</f>
        <v>19466</v>
      </c>
      <c r="L5" s="53">
        <f>SUM(L6:L9)</f>
        <v>17448</v>
      </c>
      <c r="M5" s="54">
        <v>0</v>
      </c>
    </row>
    <row r="6" spans="1:13" ht="24">
      <c r="A6" s="19">
        <v>2</v>
      </c>
      <c r="B6" s="40" t="s">
        <v>3</v>
      </c>
      <c r="C6" s="56">
        <f>7143+10</f>
        <v>7153</v>
      </c>
      <c r="D6" s="56">
        <v>0</v>
      </c>
      <c r="E6" s="50">
        <f>15082+929</f>
        <v>16011</v>
      </c>
      <c r="F6" s="350">
        <f>C6/E6</f>
        <v>0.4467553556929611</v>
      </c>
      <c r="H6" s="19">
        <v>2</v>
      </c>
      <c r="I6" s="39" t="s">
        <v>3</v>
      </c>
      <c r="J6" s="55">
        <v>7153</v>
      </c>
      <c r="K6" s="56">
        <v>0</v>
      </c>
      <c r="L6" s="50">
        <v>16011</v>
      </c>
      <c r="M6" s="57">
        <v>0.4467553556929611</v>
      </c>
    </row>
    <row r="7" spans="1:13">
      <c r="A7" s="19">
        <v>3</v>
      </c>
      <c r="B7" s="40" t="s">
        <v>10</v>
      </c>
      <c r="C7" s="56">
        <v>19188</v>
      </c>
      <c r="D7" s="56">
        <v>19437</v>
      </c>
      <c r="E7" s="50">
        <v>1361</v>
      </c>
      <c r="F7" s="350">
        <f>C7/E7</f>
        <v>14.098457016899339</v>
      </c>
      <c r="H7" s="19">
        <v>3</v>
      </c>
      <c r="I7" s="40" t="s">
        <v>10</v>
      </c>
      <c r="J7" s="56">
        <v>19188</v>
      </c>
      <c r="K7" s="56">
        <v>19437</v>
      </c>
      <c r="L7" s="50">
        <v>1361</v>
      </c>
      <c r="M7" s="52">
        <v>14.098457016899339</v>
      </c>
    </row>
    <row r="8" spans="1:13">
      <c r="A8" s="19">
        <v>4</v>
      </c>
      <c r="B8" s="40" t="s">
        <v>11</v>
      </c>
      <c r="C8" s="56">
        <v>0</v>
      </c>
      <c r="D8" s="56">
        <v>29</v>
      </c>
      <c r="E8" s="56">
        <v>0</v>
      </c>
      <c r="F8" s="52"/>
      <c r="H8" s="19">
        <v>4</v>
      </c>
      <c r="I8" s="40" t="s">
        <v>11</v>
      </c>
      <c r="J8" s="56">
        <v>29</v>
      </c>
      <c r="K8" s="56">
        <v>29</v>
      </c>
      <c r="L8" s="50">
        <v>0</v>
      </c>
      <c r="M8" s="52"/>
    </row>
    <row r="9" spans="1:13">
      <c r="A9" s="19">
        <v>5</v>
      </c>
      <c r="B9" s="41" t="s">
        <v>4</v>
      </c>
      <c r="C9" s="56">
        <v>2371</v>
      </c>
      <c r="D9" s="56">
        <v>0</v>
      </c>
      <c r="E9" s="50">
        <v>76</v>
      </c>
      <c r="F9" s="350">
        <f>C9/E9</f>
        <v>31.19736842105263</v>
      </c>
      <c r="H9" s="19">
        <v>5</v>
      </c>
      <c r="I9" s="41" t="s">
        <v>4</v>
      </c>
      <c r="J9" s="56">
        <v>2371</v>
      </c>
      <c r="K9" s="56">
        <v>0</v>
      </c>
      <c r="L9" s="50">
        <v>76</v>
      </c>
      <c r="M9" s="52">
        <v>31.19736842105263</v>
      </c>
    </row>
    <row r="10" spans="1:13">
      <c r="A10" s="36">
        <v>6</v>
      </c>
      <c r="B10" s="42" t="s">
        <v>99</v>
      </c>
      <c r="C10" s="58">
        <f>SUM(C11:C18)</f>
        <v>31833</v>
      </c>
      <c r="D10" s="59">
        <v>0</v>
      </c>
      <c r="E10" s="58">
        <f>SUM(E11:E18)</f>
        <v>14276</v>
      </c>
      <c r="F10" s="60">
        <v>0</v>
      </c>
      <c r="H10" s="36">
        <v>6</v>
      </c>
      <c r="I10" s="42" t="s">
        <v>33</v>
      </c>
      <c r="J10" s="58">
        <f>SUM(J11:J13)</f>
        <v>31833</v>
      </c>
      <c r="K10" s="138">
        <v>0</v>
      </c>
      <c r="L10" s="58">
        <f>SUM(L11:L13)</f>
        <v>14276</v>
      </c>
      <c r="M10" s="60">
        <v>0</v>
      </c>
    </row>
    <row r="11" spans="1:13">
      <c r="A11" s="19">
        <v>7</v>
      </c>
      <c r="B11" s="43" t="s">
        <v>13</v>
      </c>
      <c r="C11" s="56">
        <v>24028</v>
      </c>
      <c r="D11" s="56">
        <v>0</v>
      </c>
      <c r="E11" s="50">
        <v>2037</v>
      </c>
      <c r="F11" s="350">
        <f>C11/E11</f>
        <v>11.795778105056456</v>
      </c>
      <c r="H11" s="19">
        <v>7</v>
      </c>
      <c r="I11" s="43" t="s">
        <v>13</v>
      </c>
      <c r="J11" s="56">
        <v>24028</v>
      </c>
      <c r="K11" s="56">
        <v>0</v>
      </c>
      <c r="L11" s="50">
        <v>2037</v>
      </c>
      <c r="M11" s="52">
        <v>11.795778105056456</v>
      </c>
    </row>
    <row r="12" spans="1:13">
      <c r="A12" s="19">
        <v>8</v>
      </c>
      <c r="B12" s="44" t="s">
        <v>12</v>
      </c>
      <c r="C12" s="56">
        <v>1144</v>
      </c>
      <c r="D12" s="56">
        <v>0</v>
      </c>
      <c r="E12" s="50">
        <v>2996</v>
      </c>
      <c r="F12" s="350">
        <f>C12/E12</f>
        <v>0.38184245660881178</v>
      </c>
      <c r="H12" s="19">
        <v>8</v>
      </c>
      <c r="I12" s="44" t="s">
        <v>12</v>
      </c>
      <c r="J12" s="56">
        <v>1144</v>
      </c>
      <c r="K12" s="56">
        <v>0</v>
      </c>
      <c r="L12" s="50">
        <v>2996</v>
      </c>
      <c r="M12" s="48">
        <v>0.38184245660881178</v>
      </c>
    </row>
    <row r="13" spans="1:13" ht="15.75" thickBot="1">
      <c r="A13" s="20">
        <v>9</v>
      </c>
      <c r="B13" s="45" t="s">
        <v>136</v>
      </c>
      <c r="C13" s="61">
        <f>3485</f>
        <v>3485</v>
      </c>
      <c r="D13" s="61"/>
      <c r="E13" s="51">
        <f>1244+30</f>
        <v>1274</v>
      </c>
      <c r="F13" s="350">
        <f>C13/E13</f>
        <v>2.7354788069073783</v>
      </c>
      <c r="H13" s="20">
        <v>9</v>
      </c>
      <c r="I13" s="45"/>
      <c r="J13" s="61">
        <f>SUM(C13:C18)</f>
        <v>6661</v>
      </c>
      <c r="K13" s="61">
        <v>0</v>
      </c>
      <c r="L13" s="51">
        <f>SUM(E13:E18)</f>
        <v>9243</v>
      </c>
      <c r="M13" s="245"/>
    </row>
    <row r="14" spans="1:13" ht="15.75" thickBot="1">
      <c r="A14" s="20">
        <v>10</v>
      </c>
      <c r="B14" s="45" t="s">
        <v>137</v>
      </c>
      <c r="C14" s="61">
        <f>739+65</f>
        <v>804</v>
      </c>
      <c r="D14" s="61"/>
      <c r="E14" s="51"/>
      <c r="F14" s="49"/>
      <c r="H14" s="23">
        <v>10</v>
      </c>
      <c r="I14" s="46" t="s">
        <v>1</v>
      </c>
      <c r="J14" s="62">
        <f>J5+J10</f>
        <v>60574</v>
      </c>
      <c r="K14" s="62">
        <f>K5+K10</f>
        <v>19466</v>
      </c>
      <c r="L14" s="62">
        <f>L5+L10</f>
        <v>31724</v>
      </c>
      <c r="M14" s="63">
        <v>0</v>
      </c>
    </row>
    <row r="15" spans="1:13">
      <c r="A15" s="20">
        <v>11</v>
      </c>
      <c r="B15" s="45" t="s">
        <v>138</v>
      </c>
      <c r="C15" s="61">
        <v>367</v>
      </c>
      <c r="D15" s="61"/>
      <c r="E15" s="51"/>
      <c r="F15" s="49"/>
    </row>
    <row r="16" spans="1:13">
      <c r="A16" s="20">
        <v>12</v>
      </c>
      <c r="B16" s="45" t="s">
        <v>139</v>
      </c>
      <c r="C16" s="61">
        <v>149</v>
      </c>
      <c r="D16" s="61"/>
      <c r="E16" s="51"/>
      <c r="F16" s="49"/>
    </row>
    <row r="17" spans="1:6">
      <c r="A17" s="20">
        <v>13</v>
      </c>
      <c r="B17" s="45" t="s">
        <v>140</v>
      </c>
      <c r="C17" s="61">
        <v>1731</v>
      </c>
      <c r="D17" s="61"/>
      <c r="E17" s="51">
        <f>7232+737</f>
        <v>7969</v>
      </c>
      <c r="F17" s="350">
        <f>C17/E17</f>
        <v>0.21721671476973273</v>
      </c>
    </row>
    <row r="18" spans="1:6" ht="15.75" thickBot="1">
      <c r="A18" s="20">
        <v>14</v>
      </c>
      <c r="B18" s="45" t="s">
        <v>141</v>
      </c>
      <c r="C18" s="61">
        <v>125</v>
      </c>
      <c r="D18" s="61">
        <v>0</v>
      </c>
      <c r="E18" s="51"/>
      <c r="F18" s="49"/>
    </row>
    <row r="19" spans="1:6" ht="15.75" thickBot="1">
      <c r="A19" s="351">
        <v>10</v>
      </c>
      <c r="B19" s="352" t="s">
        <v>1</v>
      </c>
      <c r="C19" s="353">
        <f>C5+C10</f>
        <v>60545</v>
      </c>
      <c r="D19" s="353">
        <f>D5+D10</f>
        <v>19466</v>
      </c>
      <c r="E19" s="353">
        <f>E5+E10</f>
        <v>31724</v>
      </c>
      <c r="F19" s="354">
        <v>0</v>
      </c>
    </row>
  </sheetData>
  <protectedRanges>
    <protectedRange sqref="C7:D8 E8" name="Oblast1_1"/>
    <protectedRange sqref="J7:K8" name="Oblast1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M35"/>
  <sheetViews>
    <sheetView zoomScale="85" zoomScaleNormal="85" workbookViewId="0">
      <selection activeCell="H1" sqref="H1:M65536"/>
    </sheetView>
  </sheetViews>
  <sheetFormatPr defaultRowHeight="15"/>
  <cols>
    <col min="1" max="1" width="3.42578125" customWidth="1"/>
    <col min="2" max="2" width="49.5703125" customWidth="1"/>
    <col min="3" max="3" width="16.42578125" customWidth="1"/>
    <col min="4" max="4" width="17.7109375" customWidth="1"/>
    <col min="5" max="5" width="17.28515625" customWidth="1"/>
    <col min="6" max="6" width="17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ht="15.75">
      <c r="A1" s="28" t="s">
        <v>19</v>
      </c>
      <c r="B1" s="1"/>
      <c r="C1" s="2"/>
      <c r="D1" s="2"/>
      <c r="E1" s="2"/>
      <c r="F1" s="4"/>
    </row>
    <row r="2" spans="1:13" ht="15.75" thickBot="1">
      <c r="A2" s="5"/>
      <c r="B2" s="2"/>
      <c r="C2" s="2"/>
      <c r="D2" s="3"/>
      <c r="E2" s="2"/>
      <c r="F2" s="15" t="s">
        <v>9</v>
      </c>
    </row>
    <row r="3" spans="1:13" ht="25.5">
      <c r="A3" s="472" t="s">
        <v>0</v>
      </c>
      <c r="B3" s="474" t="s">
        <v>2</v>
      </c>
      <c r="C3" s="47" t="s">
        <v>24</v>
      </c>
      <c r="D3" s="47" t="s">
        <v>48</v>
      </c>
      <c r="E3" s="26" t="s">
        <v>31</v>
      </c>
      <c r="F3" s="27" t="s">
        <v>142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.75" thickBot="1">
      <c r="A4" s="473"/>
      <c r="B4" s="475"/>
      <c r="C4" s="125" t="s">
        <v>5</v>
      </c>
      <c r="D4" s="125" t="s">
        <v>6</v>
      </c>
      <c r="E4" s="125" t="s">
        <v>7</v>
      </c>
      <c r="F4" s="22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>
      <c r="A5" s="355">
        <v>1</v>
      </c>
      <c r="B5" s="38" t="s">
        <v>17</v>
      </c>
      <c r="C5" s="356">
        <f>SUM(C6+C18)</f>
        <v>12393</v>
      </c>
      <c r="D5" s="356">
        <f>SUM(D6:D18)</f>
        <v>13882</v>
      </c>
      <c r="E5" s="356">
        <f>SUM(E6+E16+E18)</f>
        <v>10148</v>
      </c>
      <c r="F5" s="268">
        <v>0</v>
      </c>
      <c r="H5" s="35">
        <v>1</v>
      </c>
      <c r="I5" s="38" t="s">
        <v>17</v>
      </c>
      <c r="J5" s="53">
        <f>SUM(J6:J9)</f>
        <v>26275</v>
      </c>
      <c r="K5" s="53">
        <f>SUM(K6:K9)</f>
        <v>13882</v>
      </c>
      <c r="L5" s="53">
        <f>SUM(L6:L9)</f>
        <v>10148</v>
      </c>
      <c r="M5" s="54">
        <v>0</v>
      </c>
    </row>
    <row r="6" spans="1:13" ht="25.5">
      <c r="A6" s="357">
        <v>2</v>
      </c>
      <c r="B6" s="358" t="s">
        <v>143</v>
      </c>
      <c r="C6" s="359">
        <f>SUM(C7:C14)</f>
        <v>4241</v>
      </c>
      <c r="D6" s="360">
        <v>0</v>
      </c>
      <c r="E6" s="361">
        <f>SUM(E7:E14)</f>
        <v>8482</v>
      </c>
      <c r="F6" s="362"/>
      <c r="H6" s="19">
        <v>2</v>
      </c>
      <c r="I6" s="39" t="s">
        <v>3</v>
      </c>
      <c r="J6" s="55">
        <v>4241</v>
      </c>
      <c r="K6" s="56">
        <v>0</v>
      </c>
      <c r="L6" s="50">
        <v>8482</v>
      </c>
      <c r="M6" s="57"/>
    </row>
    <row r="7" spans="1:13">
      <c r="A7" s="19"/>
      <c r="B7" s="39" t="s">
        <v>144</v>
      </c>
      <c r="C7" s="363">
        <v>317</v>
      </c>
      <c r="D7" s="360"/>
      <c r="E7" s="191">
        <v>634</v>
      </c>
      <c r="F7" s="362">
        <v>500</v>
      </c>
      <c r="H7" s="19">
        <v>3</v>
      </c>
      <c r="I7" s="40" t="s">
        <v>10</v>
      </c>
      <c r="J7" s="56">
        <v>13882</v>
      </c>
      <c r="K7" s="56">
        <v>13882</v>
      </c>
      <c r="L7" s="50">
        <v>1542</v>
      </c>
      <c r="M7" s="52">
        <v>9000</v>
      </c>
    </row>
    <row r="8" spans="1:13">
      <c r="A8" s="19"/>
      <c r="B8" s="39" t="s">
        <v>145</v>
      </c>
      <c r="C8" s="363">
        <v>1062</v>
      </c>
      <c r="D8" s="360"/>
      <c r="E8" s="191">
        <v>2124</v>
      </c>
      <c r="F8" s="362">
        <v>500</v>
      </c>
      <c r="H8" s="19">
        <v>4</v>
      </c>
      <c r="I8" s="40" t="s">
        <v>11</v>
      </c>
      <c r="J8" s="56"/>
      <c r="K8" s="56"/>
      <c r="L8" s="50"/>
      <c r="M8" s="52"/>
    </row>
    <row r="9" spans="1:13">
      <c r="A9" s="19"/>
      <c r="B9" s="39" t="s">
        <v>146</v>
      </c>
      <c r="C9" s="363">
        <v>432</v>
      </c>
      <c r="D9" s="360"/>
      <c r="E9" s="191">
        <v>864</v>
      </c>
      <c r="F9" s="362">
        <v>500</v>
      </c>
      <c r="H9" s="19">
        <v>5</v>
      </c>
      <c r="I9" s="41" t="s">
        <v>4</v>
      </c>
      <c r="J9" s="56">
        <v>8152</v>
      </c>
      <c r="K9" s="56">
        <v>0</v>
      </c>
      <c r="L9" s="50">
        <v>124</v>
      </c>
      <c r="M9" s="52">
        <v>65742</v>
      </c>
    </row>
    <row r="10" spans="1:13">
      <c r="A10" s="19"/>
      <c r="B10" s="39" t="s">
        <v>147</v>
      </c>
      <c r="C10" s="363">
        <v>629</v>
      </c>
      <c r="D10" s="360"/>
      <c r="E10" s="191">
        <v>1258</v>
      </c>
      <c r="F10" s="362">
        <v>500</v>
      </c>
      <c r="H10" s="36">
        <v>6</v>
      </c>
      <c r="I10" s="42" t="s">
        <v>33</v>
      </c>
      <c r="J10" s="58">
        <f>SUM(J11:J13)</f>
        <v>10084</v>
      </c>
      <c r="K10" s="138">
        <v>0</v>
      </c>
      <c r="L10" s="58">
        <f>SUM(L11:L13)</f>
        <v>2364</v>
      </c>
      <c r="M10" s="60">
        <v>0</v>
      </c>
    </row>
    <row r="11" spans="1:13">
      <c r="A11" s="19"/>
      <c r="B11" s="39" t="s">
        <v>148</v>
      </c>
      <c r="C11" s="363">
        <v>794</v>
      </c>
      <c r="D11" s="360"/>
      <c r="E11" s="191">
        <v>1588</v>
      </c>
      <c r="F11" s="362">
        <v>500</v>
      </c>
      <c r="H11" s="19">
        <v>7</v>
      </c>
      <c r="I11" s="43" t="s">
        <v>13</v>
      </c>
      <c r="J11" s="56">
        <v>8516</v>
      </c>
      <c r="K11" s="56"/>
      <c r="L11" s="50"/>
      <c r="M11" s="52"/>
    </row>
    <row r="12" spans="1:13">
      <c r="A12" s="19"/>
      <c r="B12" s="39" t="s">
        <v>149</v>
      </c>
      <c r="C12" s="363">
        <v>566</v>
      </c>
      <c r="D12" s="360"/>
      <c r="E12" s="191">
        <v>1132</v>
      </c>
      <c r="F12" s="362">
        <v>500</v>
      </c>
      <c r="H12" s="19">
        <v>8</v>
      </c>
      <c r="I12" s="44" t="s">
        <v>12</v>
      </c>
      <c r="J12" s="56">
        <v>386</v>
      </c>
      <c r="K12" s="56">
        <v>0</v>
      </c>
      <c r="L12" s="50"/>
      <c r="M12" s="48"/>
    </row>
    <row r="13" spans="1:13" ht="15.75" thickBot="1">
      <c r="A13" s="19"/>
      <c r="B13" s="39" t="s">
        <v>150</v>
      </c>
      <c r="C13" s="363">
        <v>389</v>
      </c>
      <c r="D13" s="360"/>
      <c r="E13" s="191">
        <v>778</v>
      </c>
      <c r="F13" s="362">
        <v>500</v>
      </c>
      <c r="H13" s="20">
        <v>9</v>
      </c>
      <c r="I13" s="45"/>
      <c r="J13" s="61">
        <f>SUM(C22:C29)</f>
        <v>1182</v>
      </c>
      <c r="K13" s="61">
        <v>0</v>
      </c>
      <c r="L13" s="51">
        <f>SUM(E22:E29)</f>
        <v>2364</v>
      </c>
      <c r="M13" s="245"/>
    </row>
    <row r="14" spans="1:13" ht="15.75" thickBot="1">
      <c r="A14" s="19"/>
      <c r="B14" s="39" t="s">
        <v>151</v>
      </c>
      <c r="C14" s="363">
        <v>52</v>
      </c>
      <c r="D14" s="360"/>
      <c r="E14" s="191">
        <v>104</v>
      </c>
      <c r="F14" s="362">
        <v>500</v>
      </c>
      <c r="H14" s="23">
        <v>10</v>
      </c>
      <c r="I14" s="46" t="s">
        <v>1</v>
      </c>
      <c r="J14" s="62">
        <f>J5+J10</f>
        <v>36359</v>
      </c>
      <c r="K14" s="62">
        <f>K5+K10</f>
        <v>13882</v>
      </c>
      <c r="L14" s="62">
        <f>L5+L10</f>
        <v>12512</v>
      </c>
      <c r="M14" s="63">
        <v>0</v>
      </c>
    </row>
    <row r="15" spans="1:13">
      <c r="A15" s="19"/>
      <c r="B15" s="39"/>
      <c r="C15" s="363"/>
      <c r="D15" s="360"/>
      <c r="E15" s="191"/>
      <c r="F15" s="362"/>
    </row>
    <row r="16" spans="1:13">
      <c r="A16" s="357">
        <v>3</v>
      </c>
      <c r="B16" s="364" t="s">
        <v>152</v>
      </c>
      <c r="C16" s="360"/>
      <c r="D16" s="365">
        <v>13882</v>
      </c>
      <c r="E16" s="361">
        <v>1542</v>
      </c>
      <c r="F16" s="286">
        <v>9000</v>
      </c>
    </row>
    <row r="17" spans="1:6">
      <c r="A17" s="357"/>
      <c r="B17" s="364"/>
      <c r="C17" s="360"/>
      <c r="D17" s="360"/>
      <c r="E17" s="191"/>
      <c r="F17" s="286"/>
    </row>
    <row r="18" spans="1:6">
      <c r="A18" s="357">
        <v>4</v>
      </c>
      <c r="B18" s="358" t="s">
        <v>153</v>
      </c>
      <c r="C18" s="365">
        <v>8152</v>
      </c>
      <c r="D18" s="360">
        <v>0</v>
      </c>
      <c r="E18" s="361">
        <v>124</v>
      </c>
      <c r="F18" s="286">
        <v>65742</v>
      </c>
    </row>
    <row r="19" spans="1:6">
      <c r="A19" s="366"/>
      <c r="B19" s="358"/>
      <c r="C19" s="367"/>
      <c r="D19" s="360"/>
      <c r="E19" s="368"/>
      <c r="F19" s="362"/>
    </row>
    <row r="20" spans="1:6">
      <c r="A20" s="369">
        <v>5</v>
      </c>
      <c r="B20" s="42" t="s">
        <v>33</v>
      </c>
      <c r="C20" s="370">
        <f>SUM(C21:C29)</f>
        <v>1182</v>
      </c>
      <c r="D20" s="371">
        <v>0</v>
      </c>
      <c r="E20" s="370">
        <f>SUM(E21:E34)</f>
        <v>2364</v>
      </c>
      <c r="F20" s="276">
        <v>0</v>
      </c>
    </row>
    <row r="21" spans="1:6">
      <c r="A21" s="19"/>
      <c r="B21" s="372" t="s">
        <v>154</v>
      </c>
      <c r="C21" s="360"/>
      <c r="D21" s="360">
        <v>0</v>
      </c>
      <c r="E21" s="191"/>
      <c r="F21" s="286"/>
    </row>
    <row r="22" spans="1:6">
      <c r="A22" s="19"/>
      <c r="B22" s="43" t="s">
        <v>144</v>
      </c>
      <c r="C22" s="271">
        <v>84</v>
      </c>
      <c r="D22" s="360"/>
      <c r="E22" s="191">
        <v>168</v>
      </c>
      <c r="F22" s="286">
        <v>500</v>
      </c>
    </row>
    <row r="23" spans="1:6">
      <c r="A23" s="19"/>
      <c r="B23" s="43" t="s">
        <v>145</v>
      </c>
      <c r="C23" s="271">
        <v>315</v>
      </c>
      <c r="D23" s="360"/>
      <c r="E23" s="191">
        <v>630</v>
      </c>
      <c r="F23" s="286">
        <v>500</v>
      </c>
    </row>
    <row r="24" spans="1:6">
      <c r="A24" s="19"/>
      <c r="B24" s="43" t="s">
        <v>146</v>
      </c>
      <c r="C24" s="271">
        <v>130</v>
      </c>
      <c r="D24" s="360"/>
      <c r="E24" s="191">
        <v>260</v>
      </c>
      <c r="F24" s="286">
        <v>500</v>
      </c>
    </row>
    <row r="25" spans="1:6">
      <c r="A25" s="19"/>
      <c r="B25" s="43" t="s">
        <v>147</v>
      </c>
      <c r="C25" s="271">
        <v>150</v>
      </c>
      <c r="D25" s="360"/>
      <c r="E25" s="191">
        <v>300</v>
      </c>
      <c r="F25" s="286">
        <v>500</v>
      </c>
    </row>
    <row r="26" spans="1:6">
      <c r="A26" s="19"/>
      <c r="B26" s="43" t="s">
        <v>148</v>
      </c>
      <c r="C26" s="271">
        <v>167</v>
      </c>
      <c r="D26" s="360"/>
      <c r="E26" s="191">
        <v>334</v>
      </c>
      <c r="F26" s="286">
        <v>500</v>
      </c>
    </row>
    <row r="27" spans="1:6">
      <c r="A27" s="19"/>
      <c r="B27" s="43" t="s">
        <v>149</v>
      </c>
      <c r="C27" s="271">
        <v>209</v>
      </c>
      <c r="D27" s="360"/>
      <c r="E27" s="191">
        <v>418</v>
      </c>
      <c r="F27" s="286">
        <v>500</v>
      </c>
    </row>
    <row r="28" spans="1:6">
      <c r="A28" s="19"/>
      <c r="B28" s="43" t="s">
        <v>150</v>
      </c>
      <c r="C28" s="271">
        <v>118</v>
      </c>
      <c r="D28" s="360"/>
      <c r="E28" s="191">
        <v>236</v>
      </c>
      <c r="F28" s="286">
        <v>500</v>
      </c>
    </row>
    <row r="29" spans="1:6">
      <c r="A29" s="19"/>
      <c r="B29" s="43" t="s">
        <v>151</v>
      </c>
      <c r="C29" s="271">
        <v>9</v>
      </c>
      <c r="D29" s="360"/>
      <c r="E29" s="191">
        <v>18</v>
      </c>
      <c r="F29" s="286">
        <v>500</v>
      </c>
    </row>
    <row r="30" spans="1:6">
      <c r="A30" s="19"/>
      <c r="B30" s="43"/>
      <c r="C30" s="360"/>
      <c r="D30" s="360"/>
      <c r="E30" s="191"/>
      <c r="F30" s="286"/>
    </row>
    <row r="31" spans="1:6">
      <c r="A31" s="357">
        <v>6</v>
      </c>
      <c r="B31" s="372" t="s">
        <v>155</v>
      </c>
      <c r="C31" s="365">
        <v>8516</v>
      </c>
      <c r="D31" s="360"/>
      <c r="E31" s="191"/>
      <c r="F31" s="286"/>
    </row>
    <row r="32" spans="1:6">
      <c r="A32" s="357"/>
      <c r="B32" s="372"/>
      <c r="C32" s="360"/>
      <c r="D32" s="360"/>
      <c r="E32" s="191"/>
      <c r="F32" s="286"/>
    </row>
    <row r="33" spans="1:6">
      <c r="A33" s="357">
        <v>7</v>
      </c>
      <c r="B33" s="373" t="s">
        <v>156</v>
      </c>
      <c r="C33" s="374">
        <v>386</v>
      </c>
      <c r="D33" s="360">
        <v>0</v>
      </c>
      <c r="E33" s="191"/>
      <c r="F33" s="375"/>
    </row>
    <row r="34" spans="1:6" ht="15.75" thickBot="1">
      <c r="A34" s="20"/>
      <c r="B34" s="45"/>
      <c r="C34" s="376"/>
      <c r="D34" s="376">
        <v>0</v>
      </c>
      <c r="E34" s="377"/>
      <c r="F34" s="289"/>
    </row>
    <row r="35" spans="1:6" ht="15.75" thickBot="1">
      <c r="A35" s="378">
        <v>8</v>
      </c>
      <c r="B35" s="46" t="s">
        <v>1</v>
      </c>
      <c r="C35" s="379">
        <f>C5+C20+C31+C33</f>
        <v>22477</v>
      </c>
      <c r="D35" s="379">
        <f>D5+D20</f>
        <v>13882</v>
      </c>
      <c r="E35" s="379">
        <f>E5+E20</f>
        <v>12512</v>
      </c>
      <c r="F35" s="281">
        <v>0</v>
      </c>
    </row>
  </sheetData>
  <protectedRanges>
    <protectedRange sqref="C16:D17" name="Oblast1"/>
    <protectedRange sqref="J7:K8" name="Oblast1_1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M23"/>
  <sheetViews>
    <sheetView zoomScale="85" zoomScaleNormal="85" workbookViewId="0">
      <selection activeCell="H1" sqref="H1:M65536"/>
    </sheetView>
  </sheetViews>
  <sheetFormatPr defaultRowHeight="15"/>
  <cols>
    <col min="1" max="1" width="3.42578125" customWidth="1"/>
    <col min="2" max="2" width="49.5703125" customWidth="1"/>
    <col min="3" max="3" width="16.42578125" customWidth="1"/>
    <col min="4" max="4" width="17.7109375" customWidth="1"/>
    <col min="5" max="5" width="17.28515625" customWidth="1"/>
    <col min="6" max="6" width="17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ht="15.75">
      <c r="A1" s="28" t="s">
        <v>157</v>
      </c>
      <c r="B1" s="1"/>
      <c r="C1" s="2"/>
      <c r="D1" s="2"/>
      <c r="E1" s="2"/>
      <c r="F1" s="4"/>
    </row>
    <row r="2" spans="1:13" ht="15.75" thickBot="1">
      <c r="A2" s="5"/>
      <c r="B2" s="2"/>
      <c r="C2" s="2"/>
      <c r="D2" s="3"/>
      <c r="E2" s="2"/>
      <c r="F2" s="15" t="s">
        <v>9</v>
      </c>
    </row>
    <row r="3" spans="1:13" ht="25.5">
      <c r="A3" s="472" t="s">
        <v>0</v>
      </c>
      <c r="B3" s="474" t="s">
        <v>2</v>
      </c>
      <c r="C3" s="47" t="s">
        <v>24</v>
      </c>
      <c r="D3" s="47" t="s">
        <v>48</v>
      </c>
      <c r="E3" s="26" t="s">
        <v>31</v>
      </c>
      <c r="F3" s="27" t="s">
        <v>32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.75" thickBot="1">
      <c r="A4" s="473"/>
      <c r="B4" s="475"/>
      <c r="C4" s="125" t="s">
        <v>5</v>
      </c>
      <c r="D4" s="125" t="s">
        <v>6</v>
      </c>
      <c r="E4" s="125" t="s">
        <v>7</v>
      </c>
      <c r="F4" s="22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>
      <c r="A5" s="35">
        <v>1</v>
      </c>
      <c r="B5" s="38" t="s">
        <v>17</v>
      </c>
      <c r="C5" s="53">
        <f>SUM(C6:C9)</f>
        <v>8227</v>
      </c>
      <c r="D5" s="53">
        <f>SUM(D6:D9)</f>
        <v>11228</v>
      </c>
      <c r="E5" s="53">
        <f>SUM(E6:E9)</f>
        <v>9918</v>
      </c>
      <c r="F5" s="54">
        <v>0</v>
      </c>
      <c r="H5" s="35">
        <v>1</v>
      </c>
      <c r="I5" s="38" t="s">
        <v>17</v>
      </c>
      <c r="J5" s="53">
        <f>SUM(J6:J9)</f>
        <v>19455</v>
      </c>
      <c r="K5" s="53">
        <f>SUM(K6:K9)</f>
        <v>11228</v>
      </c>
      <c r="L5" s="53">
        <f>SUM(L6:L9)</f>
        <v>9918</v>
      </c>
      <c r="M5" s="54">
        <v>0</v>
      </c>
    </row>
    <row r="6" spans="1:13" ht="24">
      <c r="A6" s="19">
        <v>2</v>
      </c>
      <c r="B6" s="39" t="s">
        <v>3</v>
      </c>
      <c r="C6" s="55">
        <v>3409</v>
      </c>
      <c r="D6" s="56">
        <v>0</v>
      </c>
      <c r="E6" s="50">
        <v>8449</v>
      </c>
      <c r="F6" s="57">
        <v>403</v>
      </c>
      <c r="H6" s="19">
        <v>2</v>
      </c>
      <c r="I6" s="39" t="s">
        <v>3</v>
      </c>
      <c r="J6" s="55">
        <v>3409</v>
      </c>
      <c r="K6" s="56">
        <v>0</v>
      </c>
      <c r="L6" s="50">
        <v>8449</v>
      </c>
      <c r="M6" s="57">
        <v>403</v>
      </c>
    </row>
    <row r="7" spans="1:13">
      <c r="A7" s="19">
        <v>3</v>
      </c>
      <c r="B7" s="40" t="s">
        <v>10</v>
      </c>
      <c r="C7" s="56">
        <v>0</v>
      </c>
      <c r="D7" s="56">
        <v>11207</v>
      </c>
      <c r="E7" s="50">
        <v>1354</v>
      </c>
      <c r="F7" s="52">
        <v>8277</v>
      </c>
      <c r="H7" s="19">
        <v>3</v>
      </c>
      <c r="I7" s="40" t="s">
        <v>10</v>
      </c>
      <c r="J7" s="56">
        <v>11207</v>
      </c>
      <c r="K7" s="56">
        <v>11207</v>
      </c>
      <c r="L7" s="50">
        <v>1354</v>
      </c>
      <c r="M7" s="52">
        <v>8277</v>
      </c>
    </row>
    <row r="8" spans="1:13">
      <c r="A8" s="19">
        <v>4</v>
      </c>
      <c r="B8" s="40" t="s">
        <v>11</v>
      </c>
      <c r="C8" s="56">
        <v>0</v>
      </c>
      <c r="D8" s="56">
        <v>21</v>
      </c>
      <c r="E8" s="50">
        <v>6</v>
      </c>
      <c r="F8" s="52">
        <v>3500</v>
      </c>
      <c r="H8" s="19">
        <v>4</v>
      </c>
      <c r="I8" s="40" t="s">
        <v>11</v>
      </c>
      <c r="J8" s="56">
        <v>21</v>
      </c>
      <c r="K8" s="56">
        <v>21</v>
      </c>
      <c r="L8" s="50">
        <v>6</v>
      </c>
      <c r="M8" s="52">
        <v>3500</v>
      </c>
    </row>
    <row r="9" spans="1:13">
      <c r="A9" s="19">
        <v>5</v>
      </c>
      <c r="B9" s="41" t="s">
        <v>4</v>
      </c>
      <c r="C9" s="56">
        <v>4818</v>
      </c>
      <c r="D9" s="56">
        <v>0</v>
      </c>
      <c r="E9" s="50">
        <v>109</v>
      </c>
      <c r="F9" s="52">
        <v>44202</v>
      </c>
      <c r="H9" s="19">
        <v>5</v>
      </c>
      <c r="I9" s="41" t="s">
        <v>4</v>
      </c>
      <c r="J9" s="56">
        <v>4818</v>
      </c>
      <c r="K9" s="56">
        <v>0</v>
      </c>
      <c r="L9" s="50">
        <v>109</v>
      </c>
      <c r="M9" s="52">
        <v>44202</v>
      </c>
    </row>
    <row r="10" spans="1:13">
      <c r="A10" s="36">
        <v>6</v>
      </c>
      <c r="B10" s="42" t="s">
        <v>33</v>
      </c>
      <c r="C10" s="58">
        <f>SUM(C11:C22)</f>
        <v>2647</v>
      </c>
      <c r="D10" s="59">
        <v>0</v>
      </c>
      <c r="E10" s="58">
        <f>SUM(E11:E22)</f>
        <v>1782</v>
      </c>
      <c r="F10" s="60">
        <v>0</v>
      </c>
      <c r="H10" s="36">
        <v>6</v>
      </c>
      <c r="I10" s="42" t="s">
        <v>33</v>
      </c>
      <c r="J10" s="58">
        <f>SUM(J11:J13)</f>
        <v>2647</v>
      </c>
      <c r="K10" s="138">
        <v>0</v>
      </c>
      <c r="L10" s="58">
        <f>SUM(L11:L13)</f>
        <v>1782</v>
      </c>
      <c r="M10" s="60">
        <v>0</v>
      </c>
    </row>
    <row r="11" spans="1:13">
      <c r="A11" s="19">
        <v>7</v>
      </c>
      <c r="B11" s="380" t="s">
        <v>158</v>
      </c>
      <c r="C11" s="56">
        <v>50</v>
      </c>
      <c r="D11" s="56">
        <v>0</v>
      </c>
      <c r="E11" s="56">
        <v>0</v>
      </c>
      <c r="F11" s="52">
        <v>100</v>
      </c>
      <c r="H11" s="19">
        <v>7</v>
      </c>
      <c r="I11" s="43" t="s">
        <v>13</v>
      </c>
      <c r="J11" s="56">
        <v>907</v>
      </c>
      <c r="K11" s="56">
        <v>0</v>
      </c>
      <c r="L11" s="50">
        <v>261</v>
      </c>
      <c r="M11" s="52">
        <v>3475</v>
      </c>
    </row>
    <row r="12" spans="1:13">
      <c r="A12" s="19">
        <v>8</v>
      </c>
      <c r="B12" s="380" t="s">
        <v>159</v>
      </c>
      <c r="C12" s="56">
        <v>120</v>
      </c>
      <c r="D12" s="56">
        <v>0</v>
      </c>
      <c r="E12" s="56">
        <v>0</v>
      </c>
      <c r="F12" s="48">
        <v>500</v>
      </c>
      <c r="H12" s="19">
        <v>8</v>
      </c>
      <c r="I12" s="44" t="s">
        <v>12</v>
      </c>
      <c r="J12" s="56">
        <v>749</v>
      </c>
      <c r="K12" s="56">
        <v>0</v>
      </c>
      <c r="L12" s="50">
        <v>1521</v>
      </c>
      <c r="M12" s="48">
        <v>492</v>
      </c>
    </row>
    <row r="13" spans="1:13" ht="15.75" thickBot="1">
      <c r="A13" s="20">
        <v>9</v>
      </c>
      <c r="B13" s="380" t="s">
        <v>160</v>
      </c>
      <c r="C13" s="61">
        <v>21</v>
      </c>
      <c r="D13" s="56">
        <v>0</v>
      </c>
      <c r="E13" s="56">
        <v>0</v>
      </c>
      <c r="F13" s="49">
        <v>100</v>
      </c>
      <c r="H13" s="20">
        <v>9</v>
      </c>
      <c r="I13" s="45"/>
      <c r="J13" s="61">
        <f>SUM(C11:C20)</f>
        <v>991</v>
      </c>
      <c r="K13" s="61">
        <f>SUM(D11:D20)</f>
        <v>0</v>
      </c>
      <c r="L13" s="51">
        <f>SUM(E11:E20)</f>
        <v>0</v>
      </c>
      <c r="M13" s="245"/>
    </row>
    <row r="14" spans="1:13" ht="15.75" thickBot="1">
      <c r="A14" s="20">
        <v>10</v>
      </c>
      <c r="B14" s="380" t="s">
        <v>161</v>
      </c>
      <c r="C14" s="61">
        <v>5</v>
      </c>
      <c r="D14" s="56">
        <v>0</v>
      </c>
      <c r="E14" s="56">
        <v>0</v>
      </c>
      <c r="F14" s="49" t="s">
        <v>162</v>
      </c>
      <c r="H14" s="23">
        <v>10</v>
      </c>
      <c r="I14" s="46" t="s">
        <v>1</v>
      </c>
      <c r="J14" s="62">
        <f>J5+J10</f>
        <v>22102</v>
      </c>
      <c r="K14" s="62">
        <f>K5+K10</f>
        <v>11228</v>
      </c>
      <c r="L14" s="62">
        <f>L5+L10</f>
        <v>11700</v>
      </c>
      <c r="M14" s="63">
        <v>0</v>
      </c>
    </row>
    <row r="15" spans="1:13">
      <c r="A15" s="20">
        <v>11</v>
      </c>
      <c r="B15" s="380" t="s">
        <v>163</v>
      </c>
      <c r="C15" s="61">
        <v>23</v>
      </c>
      <c r="D15" s="56">
        <v>0</v>
      </c>
      <c r="E15" s="56">
        <v>0</v>
      </c>
      <c r="F15" s="49">
        <v>1000</v>
      </c>
    </row>
    <row r="16" spans="1:13">
      <c r="A16" s="20">
        <v>12</v>
      </c>
      <c r="B16" s="380" t="s">
        <v>164</v>
      </c>
      <c r="C16" s="61">
        <v>7</v>
      </c>
      <c r="D16" s="56">
        <v>0</v>
      </c>
      <c r="E16" s="56">
        <v>0</v>
      </c>
      <c r="F16" s="49">
        <v>200</v>
      </c>
    </row>
    <row r="17" spans="1:6">
      <c r="A17" s="20">
        <v>13</v>
      </c>
      <c r="B17" s="381" t="s">
        <v>165</v>
      </c>
      <c r="C17" s="61">
        <v>475</v>
      </c>
      <c r="D17" s="56">
        <v>0</v>
      </c>
      <c r="E17" s="56">
        <v>0</v>
      </c>
      <c r="F17" s="49">
        <v>250</v>
      </c>
    </row>
    <row r="18" spans="1:6">
      <c r="A18" s="20">
        <v>14</v>
      </c>
      <c r="B18" s="382" t="s">
        <v>166</v>
      </c>
      <c r="C18" s="61">
        <v>15</v>
      </c>
      <c r="D18" s="56">
        <v>0</v>
      </c>
      <c r="E18" s="56">
        <v>0</v>
      </c>
      <c r="F18" s="49">
        <v>1000</v>
      </c>
    </row>
    <row r="19" spans="1:6">
      <c r="A19" s="20">
        <v>15</v>
      </c>
      <c r="B19" s="382" t="s">
        <v>167</v>
      </c>
      <c r="C19" s="61">
        <v>2</v>
      </c>
      <c r="D19" s="56">
        <v>0</v>
      </c>
      <c r="E19" s="56">
        <v>0</v>
      </c>
      <c r="F19" s="49">
        <v>500</v>
      </c>
    </row>
    <row r="20" spans="1:6">
      <c r="A20" s="20">
        <v>16</v>
      </c>
      <c r="B20" s="382" t="s">
        <v>168</v>
      </c>
      <c r="C20" s="61">
        <v>273</v>
      </c>
      <c r="D20" s="56">
        <v>0</v>
      </c>
      <c r="E20" s="56">
        <v>0</v>
      </c>
      <c r="F20" s="49">
        <v>3000</v>
      </c>
    </row>
    <row r="21" spans="1:6">
      <c r="A21" s="20">
        <v>17</v>
      </c>
      <c r="B21" s="43" t="s">
        <v>13</v>
      </c>
      <c r="C21" s="61">
        <v>907</v>
      </c>
      <c r="D21" s="56">
        <v>0</v>
      </c>
      <c r="E21" s="51">
        <v>261</v>
      </c>
      <c r="F21" s="49">
        <v>3475</v>
      </c>
    </row>
    <row r="22" spans="1:6" ht="15.75" thickBot="1">
      <c r="A22" s="20">
        <v>18</v>
      </c>
      <c r="B22" s="44" t="s">
        <v>12</v>
      </c>
      <c r="C22" s="61">
        <v>749</v>
      </c>
      <c r="D22" s="61">
        <v>0</v>
      </c>
      <c r="E22" s="51">
        <v>1521</v>
      </c>
      <c r="F22" s="49">
        <v>492</v>
      </c>
    </row>
    <row r="23" spans="1:6" ht="15.75" thickBot="1">
      <c r="A23" s="23">
        <v>19</v>
      </c>
      <c r="B23" s="46" t="s">
        <v>1</v>
      </c>
      <c r="C23" s="62">
        <f>C5+C10</f>
        <v>10874</v>
      </c>
      <c r="D23" s="62">
        <f>D5+D10</f>
        <v>11228</v>
      </c>
      <c r="E23" s="62" t="s">
        <v>49</v>
      </c>
      <c r="F23" s="63">
        <v>0</v>
      </c>
    </row>
  </sheetData>
  <protectedRanges>
    <protectedRange sqref="C7:D8" name="Oblast1"/>
    <protectedRange sqref="J7:K8" name="Oblast1_1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M14"/>
  <sheetViews>
    <sheetView tabSelected="1" zoomScale="85" zoomScaleNormal="85" workbookViewId="0">
      <selection activeCell="H1" sqref="H1:M65536"/>
    </sheetView>
  </sheetViews>
  <sheetFormatPr defaultRowHeight="15"/>
  <cols>
    <col min="1" max="1" width="3.42578125" customWidth="1"/>
    <col min="2" max="2" width="49.5703125" customWidth="1"/>
    <col min="3" max="3" width="16.42578125" customWidth="1"/>
    <col min="4" max="4" width="17.7109375" customWidth="1"/>
    <col min="5" max="5" width="17.28515625" customWidth="1"/>
    <col min="6" max="6" width="17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ht="15.75">
      <c r="A1" s="28" t="s">
        <v>19</v>
      </c>
      <c r="B1" s="1"/>
      <c r="C1" s="2"/>
      <c r="D1" s="2"/>
      <c r="E1" s="2"/>
      <c r="F1" s="4"/>
    </row>
    <row r="2" spans="1:13" ht="15.75" thickBot="1">
      <c r="A2" s="5"/>
      <c r="B2" s="2"/>
      <c r="C2" s="2"/>
      <c r="D2" s="3"/>
      <c r="E2" s="2"/>
      <c r="F2" s="15" t="s">
        <v>9</v>
      </c>
    </row>
    <row r="3" spans="1:13" ht="25.5">
      <c r="A3" s="472" t="s">
        <v>0</v>
      </c>
      <c r="B3" s="474" t="s">
        <v>2</v>
      </c>
      <c r="C3" s="47" t="s">
        <v>24</v>
      </c>
      <c r="D3" s="47" t="s">
        <v>75</v>
      </c>
      <c r="E3" s="26" t="s">
        <v>31</v>
      </c>
      <c r="F3" s="27" t="s">
        <v>32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.75" thickBot="1">
      <c r="A4" s="473"/>
      <c r="B4" s="475"/>
      <c r="C4" s="125" t="s">
        <v>5</v>
      </c>
      <c r="D4" s="125" t="s">
        <v>6</v>
      </c>
      <c r="E4" s="125" t="s">
        <v>7</v>
      </c>
      <c r="F4" s="22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>
      <c r="A5" s="35">
        <v>1</v>
      </c>
      <c r="B5" s="38" t="s">
        <v>17</v>
      </c>
      <c r="C5" s="53">
        <f>SUM(C6:C9)</f>
        <v>66119.236009999993</v>
      </c>
      <c r="D5" s="53">
        <f>SUM(D6:D9)</f>
        <v>37911.944329999998</v>
      </c>
      <c r="E5" s="53">
        <f>SUM(E6:E9)</f>
        <v>16294</v>
      </c>
      <c r="F5" s="54">
        <v>0</v>
      </c>
      <c r="H5" s="35">
        <v>1</v>
      </c>
      <c r="I5" s="38" t="s">
        <v>17</v>
      </c>
      <c r="J5" s="53">
        <f>SUM(J6:J9)</f>
        <v>104031.18033999999</v>
      </c>
      <c r="K5" s="53">
        <f>SUM(K6:K9)</f>
        <v>37911.944329999998</v>
      </c>
      <c r="L5" s="53">
        <f>SUM(L6:L9)</f>
        <v>16294</v>
      </c>
      <c r="M5" s="54">
        <v>0</v>
      </c>
    </row>
    <row r="6" spans="1:13" ht="24">
      <c r="A6" s="19">
        <v>2</v>
      </c>
      <c r="B6" s="39" t="s">
        <v>3</v>
      </c>
      <c r="C6" s="56">
        <v>8698</v>
      </c>
      <c r="D6" s="56">
        <v>0</v>
      </c>
      <c r="E6" s="50">
        <v>13505</v>
      </c>
      <c r="F6" s="383">
        <f>C6/E6*1000</f>
        <v>644.05775638652347</v>
      </c>
      <c r="H6" s="19">
        <v>2</v>
      </c>
      <c r="I6" s="39" t="s">
        <v>3</v>
      </c>
      <c r="J6" s="56">
        <v>8698</v>
      </c>
      <c r="K6" s="56">
        <v>0</v>
      </c>
      <c r="L6" s="50">
        <v>13505</v>
      </c>
      <c r="M6" s="383">
        <f>J6/L6*1000</f>
        <v>644.05775638652347</v>
      </c>
    </row>
    <row r="7" spans="1:13">
      <c r="A7" s="19">
        <v>3</v>
      </c>
      <c r="B7" s="40" t="s">
        <v>10</v>
      </c>
      <c r="C7" s="56">
        <v>0</v>
      </c>
      <c r="D7" s="56">
        <v>37911.944329999998</v>
      </c>
      <c r="E7" s="50">
        <v>2219</v>
      </c>
      <c r="F7" s="384">
        <f>C7/E7*1000</f>
        <v>0</v>
      </c>
      <c r="H7" s="19">
        <v>3</v>
      </c>
      <c r="I7" s="40" t="s">
        <v>10</v>
      </c>
      <c r="J7" s="56">
        <v>37911.944329999998</v>
      </c>
      <c r="K7" s="56">
        <v>37911.944329999998</v>
      </c>
      <c r="L7" s="50">
        <v>2219</v>
      </c>
      <c r="M7" s="384">
        <f>J7/L7*1000</f>
        <v>17085.148413699866</v>
      </c>
    </row>
    <row r="8" spans="1:13">
      <c r="A8" s="19">
        <v>4</v>
      </c>
      <c r="B8" s="40" t="s">
        <v>11</v>
      </c>
      <c r="C8" s="56">
        <v>0</v>
      </c>
      <c r="D8" s="56">
        <v>0</v>
      </c>
      <c r="E8" s="50">
        <v>0</v>
      </c>
      <c r="F8" s="384">
        <v>0</v>
      </c>
      <c r="H8" s="19">
        <v>4</v>
      </c>
      <c r="I8" s="40" t="s">
        <v>11</v>
      </c>
      <c r="J8" s="56">
        <v>0</v>
      </c>
      <c r="K8" s="56">
        <v>0</v>
      </c>
      <c r="L8" s="50">
        <v>0</v>
      </c>
      <c r="M8" s="384">
        <v>0</v>
      </c>
    </row>
    <row r="9" spans="1:13">
      <c r="A9" s="19">
        <v>5</v>
      </c>
      <c r="B9" s="41" t="s">
        <v>4</v>
      </c>
      <c r="C9" s="56">
        <v>57421.236010000001</v>
      </c>
      <c r="D9" s="56">
        <v>0</v>
      </c>
      <c r="E9" s="50">
        <v>570</v>
      </c>
      <c r="F9" s="384">
        <f>C9/E9*1000</f>
        <v>100739.01054385965</v>
      </c>
      <c r="H9" s="19">
        <v>5</v>
      </c>
      <c r="I9" s="41" t="s">
        <v>4</v>
      </c>
      <c r="J9" s="56">
        <v>57421.236010000001</v>
      </c>
      <c r="K9" s="56">
        <v>0</v>
      </c>
      <c r="L9" s="50">
        <v>570</v>
      </c>
      <c r="M9" s="384">
        <f>J9/L9*1000</f>
        <v>100739.01054385965</v>
      </c>
    </row>
    <row r="10" spans="1:13">
      <c r="A10" s="36">
        <v>6</v>
      </c>
      <c r="B10" s="42" t="s">
        <v>33</v>
      </c>
      <c r="C10" s="58">
        <f>SUM(C11:C13)</f>
        <v>37063.639349999998</v>
      </c>
      <c r="D10" s="59">
        <v>0</v>
      </c>
      <c r="E10" s="58">
        <f>SUM(E11:E13)</f>
        <v>5565</v>
      </c>
      <c r="F10" s="60">
        <v>0</v>
      </c>
      <c r="H10" s="36">
        <v>6</v>
      </c>
      <c r="I10" s="42" t="s">
        <v>33</v>
      </c>
      <c r="J10" s="58">
        <f>SUM(J11:J13)</f>
        <v>37063.639349999998</v>
      </c>
      <c r="K10" s="138">
        <v>0</v>
      </c>
      <c r="L10" s="58">
        <f>SUM(L11:L13)</f>
        <v>5565</v>
      </c>
      <c r="M10" s="60">
        <v>0</v>
      </c>
    </row>
    <row r="11" spans="1:13">
      <c r="A11" s="19">
        <v>7</v>
      </c>
      <c r="B11" s="43" t="s">
        <v>13</v>
      </c>
      <c r="C11" s="129">
        <v>34161</v>
      </c>
      <c r="D11" s="129">
        <v>0</v>
      </c>
      <c r="E11" s="103">
        <v>1245</v>
      </c>
      <c r="F11" s="385">
        <f>C11/E11*1000</f>
        <v>27438.554216867469</v>
      </c>
      <c r="H11" s="19">
        <v>7</v>
      </c>
      <c r="I11" s="43" t="s">
        <v>13</v>
      </c>
      <c r="J11" s="129">
        <v>34161</v>
      </c>
      <c r="K11" s="129">
        <v>0</v>
      </c>
      <c r="L11" s="103">
        <v>1245</v>
      </c>
      <c r="M11" s="385">
        <f>J11/L11*1000</f>
        <v>27438.554216867469</v>
      </c>
    </row>
    <row r="12" spans="1:13">
      <c r="A12" s="19">
        <v>8</v>
      </c>
      <c r="B12" s="44" t="s">
        <v>12</v>
      </c>
      <c r="C12" s="56">
        <v>2807.9349999999999</v>
      </c>
      <c r="D12" s="56">
        <v>0</v>
      </c>
      <c r="E12" s="50">
        <v>4047</v>
      </c>
      <c r="F12" s="386">
        <f>C12/E12*1000</f>
        <v>693.83123301210765</v>
      </c>
      <c r="H12" s="19">
        <v>8</v>
      </c>
      <c r="I12" s="44" t="s">
        <v>12</v>
      </c>
      <c r="J12" s="56">
        <v>2807.9349999999999</v>
      </c>
      <c r="K12" s="56">
        <v>0</v>
      </c>
      <c r="L12" s="50">
        <v>4047</v>
      </c>
      <c r="M12" s="386">
        <f>J12/L12*1000</f>
        <v>693.83123301210765</v>
      </c>
    </row>
    <row r="13" spans="1:13" ht="15.75" thickBot="1">
      <c r="A13" s="20">
        <v>9</v>
      </c>
      <c r="B13" s="45" t="s">
        <v>169</v>
      </c>
      <c r="C13" s="61">
        <v>94.704350000000005</v>
      </c>
      <c r="D13" s="61">
        <v>0</v>
      </c>
      <c r="E13" s="51">
        <v>273</v>
      </c>
      <c r="F13" s="387">
        <f>C13/E13*1000</f>
        <v>346.90238095238095</v>
      </c>
      <c r="H13" s="20">
        <v>9</v>
      </c>
      <c r="I13" s="45"/>
      <c r="J13" s="61">
        <v>94.704350000000005</v>
      </c>
      <c r="K13" s="61">
        <v>0</v>
      </c>
      <c r="L13" s="51">
        <v>273</v>
      </c>
      <c r="M13" s="387">
        <f>J13/L13*1000</f>
        <v>346.90238095238095</v>
      </c>
    </row>
    <row r="14" spans="1:13" ht="15.75" thickBot="1">
      <c r="A14" s="23">
        <v>10</v>
      </c>
      <c r="B14" s="46" t="s">
        <v>1</v>
      </c>
      <c r="C14" s="62">
        <f>C5+C10</f>
        <v>103182.87535999999</v>
      </c>
      <c r="D14" s="62">
        <f>D5+D10</f>
        <v>37911.944329999998</v>
      </c>
      <c r="E14" s="62">
        <f>E5+E10</f>
        <v>21859</v>
      </c>
      <c r="F14" s="63">
        <v>0</v>
      </c>
      <c r="H14" s="23">
        <v>10</v>
      </c>
      <c r="I14" s="46" t="s">
        <v>1</v>
      </c>
      <c r="J14" s="62">
        <f>J5+J10</f>
        <v>141094.81968999997</v>
      </c>
      <c r="K14" s="62">
        <f>K5+K10</f>
        <v>37911.944329999998</v>
      </c>
      <c r="L14" s="62">
        <f>L5+L10</f>
        <v>21859</v>
      </c>
      <c r="M14" s="63">
        <v>0</v>
      </c>
    </row>
  </sheetData>
  <protectedRanges>
    <protectedRange sqref="C7:D8 J7:K8" name="Oblast1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M26"/>
  <sheetViews>
    <sheetView zoomScale="85" zoomScaleNormal="85" workbookViewId="0">
      <selection activeCell="H1" sqref="H1:M65536"/>
    </sheetView>
  </sheetViews>
  <sheetFormatPr defaultRowHeight="15"/>
  <cols>
    <col min="1" max="1" width="3.42578125" customWidth="1"/>
    <col min="2" max="2" width="54.140625" customWidth="1"/>
    <col min="3" max="3" width="16.42578125" customWidth="1"/>
    <col min="4" max="4" width="17.7109375" customWidth="1"/>
    <col min="5" max="5" width="17.28515625" customWidth="1"/>
    <col min="6" max="6" width="17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ht="22.5">
      <c r="A1" s="65" t="s">
        <v>19</v>
      </c>
      <c r="B1" s="66"/>
      <c r="C1" s="67"/>
      <c r="D1" s="67"/>
      <c r="E1" s="67"/>
      <c r="F1" s="67"/>
    </row>
    <row r="2" spans="1:13" ht="16.5" thickBot="1">
      <c r="A2" s="68"/>
      <c r="B2" s="67"/>
      <c r="C2" s="67"/>
      <c r="D2" s="69"/>
      <c r="E2" s="67"/>
      <c r="F2" s="70" t="s">
        <v>29</v>
      </c>
    </row>
    <row r="3" spans="1:13" ht="25.5">
      <c r="A3" s="476" t="s">
        <v>0</v>
      </c>
      <c r="B3" s="478" t="s">
        <v>2</v>
      </c>
      <c r="C3" s="71" t="s">
        <v>24</v>
      </c>
      <c r="D3" s="71" t="s">
        <v>30</v>
      </c>
      <c r="E3" s="72" t="s">
        <v>31</v>
      </c>
      <c r="F3" s="73" t="s">
        <v>32</v>
      </c>
      <c r="H3" s="472" t="s">
        <v>0</v>
      </c>
      <c r="I3" s="474" t="s">
        <v>2</v>
      </c>
      <c r="J3" s="47" t="s">
        <v>24</v>
      </c>
      <c r="K3" s="47" t="s">
        <v>27</v>
      </c>
      <c r="L3" s="26" t="s">
        <v>15</v>
      </c>
      <c r="M3" s="27" t="s">
        <v>18</v>
      </c>
    </row>
    <row r="4" spans="1:13" ht="15.75" thickBot="1">
      <c r="A4" s="477"/>
      <c r="B4" s="479"/>
      <c r="C4" s="74" t="s">
        <v>5</v>
      </c>
      <c r="D4" s="74" t="s">
        <v>6</v>
      </c>
      <c r="E4" s="74" t="s">
        <v>7</v>
      </c>
      <c r="F4" s="75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>
      <c r="A5" s="76">
        <v>1</v>
      </c>
      <c r="B5" s="77" t="s">
        <v>17</v>
      </c>
      <c r="C5" s="78">
        <f>SUM(C6:C9)</f>
        <v>738856.48104999983</v>
      </c>
      <c r="D5" s="78">
        <f>SUM(D6:D9)</f>
        <v>130561.54934</v>
      </c>
      <c r="E5" s="78">
        <f>SUM(E6:E9)</f>
        <v>69129</v>
      </c>
      <c r="F5" s="79">
        <v>0</v>
      </c>
      <c r="H5" s="35">
        <v>1</v>
      </c>
      <c r="I5" s="38" t="s">
        <v>17</v>
      </c>
      <c r="J5" s="53">
        <f>SUM(J6:J9)</f>
        <v>869418.03038999985</v>
      </c>
      <c r="K5" s="53">
        <f>SUM(K6:K9)</f>
        <v>130561.54934</v>
      </c>
      <c r="L5" s="53">
        <f>SUM(L6:L9)</f>
        <v>69129</v>
      </c>
      <c r="M5" s="137">
        <v>0</v>
      </c>
    </row>
    <row r="6" spans="1:13" ht="24">
      <c r="A6" s="80">
        <v>2</v>
      </c>
      <c r="B6" s="81" t="s">
        <v>3</v>
      </c>
      <c r="C6" s="82">
        <v>34504.508159999998</v>
      </c>
      <c r="D6" s="83">
        <v>0</v>
      </c>
      <c r="E6" s="82">
        <v>57811</v>
      </c>
      <c r="F6" s="84">
        <f>IF(E6=0,"--",C6/E6)</f>
        <v>0.59685022158412759</v>
      </c>
      <c r="H6" s="19">
        <v>2</v>
      </c>
      <c r="I6" s="39" t="s">
        <v>3</v>
      </c>
      <c r="J6" s="102">
        <v>34504.508159999998</v>
      </c>
      <c r="K6" s="130">
        <v>0</v>
      </c>
      <c r="L6" s="50">
        <v>57811</v>
      </c>
      <c r="M6" s="57">
        <v>0.59685022158412759</v>
      </c>
    </row>
    <row r="7" spans="1:13">
      <c r="A7" s="80">
        <v>3</v>
      </c>
      <c r="B7" s="85" t="s">
        <v>10</v>
      </c>
      <c r="C7" s="83">
        <v>0</v>
      </c>
      <c r="D7" s="82">
        <v>130543.14934</v>
      </c>
      <c r="E7" s="82">
        <v>8165</v>
      </c>
      <c r="F7" s="84">
        <f>IF(E7=0,"--",D7/E7)</f>
        <v>15.988138314758114</v>
      </c>
      <c r="H7" s="19">
        <v>3</v>
      </c>
      <c r="I7" s="40" t="s">
        <v>10</v>
      </c>
      <c r="J7" s="130">
        <v>130543.14934</v>
      </c>
      <c r="K7" s="130">
        <v>130543.14934</v>
      </c>
      <c r="L7" s="50">
        <v>8165</v>
      </c>
      <c r="M7" s="52">
        <v>15.988138314758114</v>
      </c>
    </row>
    <row r="8" spans="1:13">
      <c r="A8" s="80">
        <v>4</v>
      </c>
      <c r="B8" s="85" t="s">
        <v>11</v>
      </c>
      <c r="C8" s="83">
        <v>0</v>
      </c>
      <c r="D8" s="82">
        <v>18.399999999999999</v>
      </c>
      <c r="E8" s="82">
        <v>5</v>
      </c>
      <c r="F8" s="84">
        <f>IF(E8=0,"--",D8/E8)</f>
        <v>3.6799999999999997</v>
      </c>
      <c r="H8" s="19">
        <v>4</v>
      </c>
      <c r="I8" s="40" t="s">
        <v>11</v>
      </c>
      <c r="J8" s="130">
        <v>18.399999999999999</v>
      </c>
      <c r="K8" s="130">
        <v>18.399999999999999</v>
      </c>
      <c r="L8" s="50">
        <v>5</v>
      </c>
      <c r="M8" s="52">
        <v>3.6799999999999997</v>
      </c>
    </row>
    <row r="9" spans="1:13">
      <c r="A9" s="80">
        <v>5</v>
      </c>
      <c r="B9" s="81" t="s">
        <v>4</v>
      </c>
      <c r="C9" s="82">
        <v>704351.97288999986</v>
      </c>
      <c r="D9" s="83">
        <v>0</v>
      </c>
      <c r="E9" s="82">
        <v>3148</v>
      </c>
      <c r="F9" s="84">
        <f>IF(E9=0,"--",C9/E9)</f>
        <v>223.74586178208381</v>
      </c>
      <c r="H9" s="19">
        <v>5</v>
      </c>
      <c r="I9" s="41" t="s">
        <v>4</v>
      </c>
      <c r="J9" s="130">
        <v>704351.97288999986</v>
      </c>
      <c r="K9" s="130">
        <v>0</v>
      </c>
      <c r="L9" s="50">
        <v>3148</v>
      </c>
      <c r="M9" s="52">
        <v>223.74586178208381</v>
      </c>
    </row>
    <row r="10" spans="1:13">
      <c r="A10" s="86">
        <v>6</v>
      </c>
      <c r="B10" s="87" t="s">
        <v>33</v>
      </c>
      <c r="C10" s="88">
        <f>SUM(C11:C25)</f>
        <v>206137.27929999997</v>
      </c>
      <c r="D10" s="88">
        <f>SUM(D11:D25)</f>
        <v>0</v>
      </c>
      <c r="E10" s="88">
        <f>SUM(E11:E25)</f>
        <v>24766</v>
      </c>
      <c r="F10" s="89">
        <v>0</v>
      </c>
      <c r="H10" s="36">
        <v>6</v>
      </c>
      <c r="I10" s="42" t="s">
        <v>20</v>
      </c>
      <c r="J10" s="58">
        <f>SUM(J11:J13)</f>
        <v>206137.27929999999</v>
      </c>
      <c r="K10" s="138">
        <v>0</v>
      </c>
      <c r="L10" s="58">
        <f>SUM(L11:L13)</f>
        <v>24766</v>
      </c>
      <c r="M10" s="139">
        <v>0</v>
      </c>
    </row>
    <row r="11" spans="1:13">
      <c r="A11" s="80">
        <v>7</v>
      </c>
      <c r="B11" s="90" t="s">
        <v>13</v>
      </c>
      <c r="C11" s="82">
        <v>191078.52166999999</v>
      </c>
      <c r="D11" s="83">
        <v>0</v>
      </c>
      <c r="E11" s="82">
        <v>9634</v>
      </c>
      <c r="F11" s="84">
        <f t="shared" ref="F11:F25" si="0">IF(E11=0,"--",C11/E11)</f>
        <v>19.833768078679675</v>
      </c>
      <c r="H11" s="19">
        <v>7</v>
      </c>
      <c r="I11" s="43" t="s">
        <v>13</v>
      </c>
      <c r="J11" s="130">
        <v>191078.52166999999</v>
      </c>
      <c r="K11" s="130">
        <v>0</v>
      </c>
      <c r="L11" s="50">
        <v>9634</v>
      </c>
      <c r="M11" s="52">
        <v>19.833768078679675</v>
      </c>
    </row>
    <row r="12" spans="1:13">
      <c r="A12" s="80">
        <v>8</v>
      </c>
      <c r="B12" s="91" t="s">
        <v>12</v>
      </c>
      <c r="C12" s="82">
        <v>3967.0681699999996</v>
      </c>
      <c r="D12" s="83">
        <v>0</v>
      </c>
      <c r="E12" s="82">
        <v>7571</v>
      </c>
      <c r="F12" s="84">
        <f t="shared" si="0"/>
        <v>0.52398205917316065</v>
      </c>
      <c r="H12" s="19">
        <v>8</v>
      </c>
      <c r="I12" s="44" t="s">
        <v>12</v>
      </c>
      <c r="J12" s="130">
        <v>3967.0681699999996</v>
      </c>
      <c r="K12" s="130">
        <v>0</v>
      </c>
      <c r="L12" s="50">
        <v>7571</v>
      </c>
      <c r="M12" s="48">
        <v>0.52398205917316065</v>
      </c>
    </row>
    <row r="13" spans="1:13" ht="15.75" thickBot="1">
      <c r="A13" s="80">
        <v>9</v>
      </c>
      <c r="B13" s="92" t="s">
        <v>34</v>
      </c>
      <c r="C13" s="82">
        <v>5689.1166199999998</v>
      </c>
      <c r="D13" s="83">
        <v>0</v>
      </c>
      <c r="E13" s="82">
        <v>231</v>
      </c>
      <c r="F13" s="84">
        <f t="shared" si="0"/>
        <v>24.628210476190475</v>
      </c>
      <c r="H13" s="20">
        <v>9</v>
      </c>
      <c r="I13" s="45"/>
      <c r="J13" s="140">
        <f>SUM(C13:C25)</f>
        <v>11091.68946</v>
      </c>
      <c r="K13" s="140">
        <f>SUM(D13:D25)</f>
        <v>0</v>
      </c>
      <c r="L13" s="140">
        <f>SUM(E13:E25)</f>
        <v>7561</v>
      </c>
      <c r="M13" s="140"/>
    </row>
    <row r="14" spans="1:13" ht="15.75" thickBot="1">
      <c r="A14" s="80">
        <v>10</v>
      </c>
      <c r="B14" s="92" t="s">
        <v>35</v>
      </c>
      <c r="C14" s="82">
        <v>3864.2170000000001</v>
      </c>
      <c r="D14" s="83">
        <v>0</v>
      </c>
      <c r="E14" s="82">
        <v>511</v>
      </c>
      <c r="F14" s="84">
        <f t="shared" si="0"/>
        <v>7.5620684931506847</v>
      </c>
      <c r="H14" s="23">
        <v>10</v>
      </c>
      <c r="I14" s="46" t="s">
        <v>1</v>
      </c>
      <c r="J14" s="62">
        <f>J5+J10</f>
        <v>1075555.3096899998</v>
      </c>
      <c r="K14" s="62">
        <f>K5+K10</f>
        <v>130561.54934</v>
      </c>
      <c r="L14" s="62">
        <f>L5+L10</f>
        <v>93895</v>
      </c>
      <c r="M14" s="141">
        <v>0</v>
      </c>
    </row>
    <row r="15" spans="1:13">
      <c r="A15" s="80">
        <v>11</v>
      </c>
      <c r="B15" s="92" t="s">
        <v>36</v>
      </c>
      <c r="C15" s="82">
        <v>167.46109999999999</v>
      </c>
      <c r="D15" s="83">
        <v>0</v>
      </c>
      <c r="E15" s="82">
        <v>26</v>
      </c>
      <c r="F15" s="84">
        <f t="shared" si="0"/>
        <v>6.4408115384615376</v>
      </c>
    </row>
    <row r="16" spans="1:13">
      <c r="A16" s="80">
        <v>12</v>
      </c>
      <c r="B16" s="92" t="s">
        <v>37</v>
      </c>
      <c r="C16" s="82">
        <v>64.861170000000001</v>
      </c>
      <c r="D16" s="83">
        <v>0</v>
      </c>
      <c r="E16" s="82">
        <v>184</v>
      </c>
      <c r="F16" s="84">
        <f t="shared" si="0"/>
        <v>0.35250635869565217</v>
      </c>
    </row>
    <row r="17" spans="1:6">
      <c r="A17" s="80">
        <v>13</v>
      </c>
      <c r="B17" s="92" t="s">
        <v>38</v>
      </c>
      <c r="C17" s="82">
        <v>46.07152</v>
      </c>
      <c r="D17" s="83">
        <v>0</v>
      </c>
      <c r="E17" s="82">
        <v>105</v>
      </c>
      <c r="F17" s="84">
        <f t="shared" si="0"/>
        <v>0.43877638095238097</v>
      </c>
    </row>
    <row r="18" spans="1:6" ht="25.5">
      <c r="A18" s="80">
        <v>15</v>
      </c>
      <c r="B18" s="92" t="s">
        <v>39</v>
      </c>
      <c r="C18" s="82">
        <v>0</v>
      </c>
      <c r="D18" s="83">
        <v>0</v>
      </c>
      <c r="E18" s="82">
        <v>0</v>
      </c>
      <c r="F18" s="84" t="str">
        <f t="shared" si="0"/>
        <v>--</v>
      </c>
    </row>
    <row r="19" spans="1:6" ht="38.25">
      <c r="A19" s="80">
        <v>16</v>
      </c>
      <c r="B19" s="92" t="s">
        <v>40</v>
      </c>
      <c r="C19" s="82">
        <v>0</v>
      </c>
      <c r="D19" s="83">
        <v>0</v>
      </c>
      <c r="E19" s="82">
        <v>0</v>
      </c>
      <c r="F19" s="84" t="str">
        <f t="shared" si="0"/>
        <v>--</v>
      </c>
    </row>
    <row r="20" spans="1:6">
      <c r="A20" s="80">
        <v>17</v>
      </c>
      <c r="B20" s="92" t="s">
        <v>41</v>
      </c>
      <c r="C20" s="82">
        <v>0</v>
      </c>
      <c r="D20" s="83">
        <v>0</v>
      </c>
      <c r="E20" s="82">
        <v>0</v>
      </c>
      <c r="F20" s="84" t="str">
        <f t="shared" si="0"/>
        <v>--</v>
      </c>
    </row>
    <row r="21" spans="1:6" ht="25.5">
      <c r="A21" s="80">
        <v>18</v>
      </c>
      <c r="B21" s="92" t="s">
        <v>42</v>
      </c>
      <c r="C21" s="82">
        <v>218.33443</v>
      </c>
      <c r="D21" s="83">
        <v>0</v>
      </c>
      <c r="E21" s="82">
        <v>396</v>
      </c>
      <c r="F21" s="84">
        <f t="shared" si="0"/>
        <v>0.55134957070707069</v>
      </c>
    </row>
    <row r="22" spans="1:6">
      <c r="A22" s="80">
        <v>19</v>
      </c>
      <c r="B22" s="92" t="s">
        <v>43</v>
      </c>
      <c r="C22" s="82">
        <v>0</v>
      </c>
      <c r="D22" s="83">
        <v>0</v>
      </c>
      <c r="E22" s="82">
        <v>0</v>
      </c>
      <c r="F22" s="84" t="str">
        <f t="shared" si="0"/>
        <v>--</v>
      </c>
    </row>
    <row r="23" spans="1:6">
      <c r="A23" s="80">
        <v>20</v>
      </c>
      <c r="B23" s="92" t="s">
        <v>44</v>
      </c>
      <c r="C23" s="82">
        <v>0</v>
      </c>
      <c r="D23" s="83">
        <v>0</v>
      </c>
      <c r="E23" s="82">
        <v>0</v>
      </c>
      <c r="F23" s="84" t="str">
        <f t="shared" si="0"/>
        <v>--</v>
      </c>
    </row>
    <row r="24" spans="1:6" ht="25.5">
      <c r="A24" s="80">
        <v>21</v>
      </c>
      <c r="B24" s="92" t="s">
        <v>45</v>
      </c>
      <c r="C24" s="82">
        <v>1041.62762</v>
      </c>
      <c r="D24" s="83">
        <v>0</v>
      </c>
      <c r="E24" s="82">
        <v>6108</v>
      </c>
      <c r="F24" s="84">
        <f t="shared" si="0"/>
        <v>0.17053497380484611</v>
      </c>
    </row>
    <row r="25" spans="1:6" ht="26.25" thickBot="1">
      <c r="A25" s="80">
        <v>22</v>
      </c>
      <c r="B25" s="92" t="s">
        <v>46</v>
      </c>
      <c r="C25" s="82">
        <v>0</v>
      </c>
      <c r="D25" s="83">
        <v>0</v>
      </c>
      <c r="E25" s="82">
        <v>0</v>
      </c>
      <c r="F25" s="84" t="str">
        <f t="shared" si="0"/>
        <v>--</v>
      </c>
    </row>
    <row r="26" spans="1:6" ht="16.5" thickBot="1">
      <c r="A26" s="93">
        <v>23</v>
      </c>
      <c r="B26" s="94" t="s">
        <v>47</v>
      </c>
      <c r="C26" s="95">
        <f>C5+C10</f>
        <v>944993.76034999976</v>
      </c>
      <c r="D26" s="95">
        <f>D5+D10</f>
        <v>130561.54934</v>
      </c>
      <c r="E26" s="95">
        <f>E5+E10</f>
        <v>93895</v>
      </c>
      <c r="F26" s="96">
        <v>0</v>
      </c>
    </row>
  </sheetData>
  <protectedRanges>
    <protectedRange sqref="J7:K8" name="Oblast1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M24"/>
  <sheetViews>
    <sheetView zoomScale="85" zoomScaleNormal="85" workbookViewId="0">
      <selection activeCell="H1" sqref="H1:M65536"/>
    </sheetView>
  </sheetViews>
  <sheetFormatPr defaultRowHeight="15"/>
  <cols>
    <col min="1" max="1" width="3.42578125" customWidth="1"/>
    <col min="2" max="2" width="49.5703125" customWidth="1"/>
    <col min="3" max="3" width="16.42578125" customWidth="1"/>
    <col min="4" max="4" width="17.7109375" customWidth="1"/>
    <col min="5" max="5" width="17.28515625" customWidth="1"/>
    <col min="6" max="6" width="17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ht="15.75">
      <c r="A1" s="28" t="s">
        <v>19</v>
      </c>
      <c r="B1" s="1"/>
      <c r="C1" s="2"/>
      <c r="D1" s="2"/>
      <c r="E1" s="2"/>
      <c r="F1" s="4"/>
    </row>
    <row r="2" spans="1:13" ht="15.75" thickBot="1">
      <c r="A2" s="5"/>
      <c r="B2" s="2"/>
      <c r="C2" s="2"/>
      <c r="D2" s="3"/>
      <c r="E2" s="2"/>
      <c r="F2" s="15" t="s">
        <v>9</v>
      </c>
    </row>
    <row r="3" spans="1:13" ht="25.5">
      <c r="A3" s="472" t="s">
        <v>0</v>
      </c>
      <c r="B3" s="474" t="s">
        <v>2</v>
      </c>
      <c r="C3" s="47" t="s">
        <v>24</v>
      </c>
      <c r="D3" s="47" t="s">
        <v>48</v>
      </c>
      <c r="E3" s="26" t="s">
        <v>31</v>
      </c>
      <c r="F3" s="27" t="s">
        <v>32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.75" thickBot="1">
      <c r="A4" s="473"/>
      <c r="B4" s="475"/>
      <c r="C4" s="125" t="s">
        <v>5</v>
      </c>
      <c r="D4" s="125" t="s">
        <v>6</v>
      </c>
      <c r="E4" s="125" t="s">
        <v>7</v>
      </c>
      <c r="F4" s="22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>
      <c r="A5" s="35">
        <v>1</v>
      </c>
      <c r="B5" s="38" t="s">
        <v>17</v>
      </c>
      <c r="C5" s="53">
        <f>SUM(C6:C9)</f>
        <v>64472</v>
      </c>
      <c r="D5" s="53">
        <f>SUM(D6:D9)</f>
        <v>20782</v>
      </c>
      <c r="E5" s="53">
        <f>SUM(E6:E9)</f>
        <v>27228</v>
      </c>
      <c r="F5" s="54">
        <v>0</v>
      </c>
      <c r="H5" s="35">
        <v>1</v>
      </c>
      <c r="I5" s="38" t="s">
        <v>17</v>
      </c>
      <c r="J5" s="53">
        <f>SUM(J6:J9)</f>
        <v>64472</v>
      </c>
      <c r="K5" s="53">
        <f>SUM(K6:K9)</f>
        <v>20782</v>
      </c>
      <c r="L5" s="53">
        <f>SUM(L6:L9)</f>
        <v>27228</v>
      </c>
      <c r="M5" s="54">
        <v>0</v>
      </c>
    </row>
    <row r="6" spans="1:13" ht="24">
      <c r="A6" s="19">
        <v>2</v>
      </c>
      <c r="B6" s="39" t="s">
        <v>3</v>
      </c>
      <c r="C6" s="102">
        <v>11788</v>
      </c>
      <c r="D6" s="56" t="s">
        <v>49</v>
      </c>
      <c r="E6" s="50">
        <v>23575</v>
      </c>
      <c r="F6" s="57">
        <v>500</v>
      </c>
      <c r="H6" s="19">
        <v>2</v>
      </c>
      <c r="I6" s="39" t="s">
        <v>3</v>
      </c>
      <c r="J6" s="55">
        <v>11788</v>
      </c>
      <c r="K6" s="56" t="s">
        <v>49</v>
      </c>
      <c r="L6" s="50">
        <v>23575</v>
      </c>
      <c r="M6" s="57">
        <v>500</v>
      </c>
    </row>
    <row r="7" spans="1:13">
      <c r="A7" s="19">
        <v>3</v>
      </c>
      <c r="B7" s="40" t="s">
        <v>10</v>
      </c>
      <c r="C7" s="56">
        <v>20782</v>
      </c>
      <c r="D7" s="56">
        <v>20782</v>
      </c>
      <c r="E7" s="50">
        <v>1385</v>
      </c>
      <c r="F7" s="52">
        <v>15000</v>
      </c>
      <c r="H7" s="19">
        <v>3</v>
      </c>
      <c r="I7" s="40" t="s">
        <v>10</v>
      </c>
      <c r="J7" s="56">
        <v>20782</v>
      </c>
      <c r="K7" s="56">
        <v>20782</v>
      </c>
      <c r="L7" s="50">
        <v>1385</v>
      </c>
      <c r="M7" s="52">
        <v>15000</v>
      </c>
    </row>
    <row r="8" spans="1:13">
      <c r="A8" s="19">
        <v>4</v>
      </c>
      <c r="B8" s="40" t="s">
        <v>11</v>
      </c>
      <c r="C8" s="56">
        <v>0</v>
      </c>
      <c r="D8" s="56">
        <v>0</v>
      </c>
      <c r="E8" s="50"/>
      <c r="F8" s="52"/>
      <c r="H8" s="19">
        <v>4</v>
      </c>
      <c r="I8" s="40" t="s">
        <v>11</v>
      </c>
      <c r="J8" s="56">
        <v>0</v>
      </c>
      <c r="K8" s="56">
        <v>0</v>
      </c>
      <c r="L8" s="50"/>
      <c r="M8" s="52"/>
    </row>
    <row r="9" spans="1:13" ht="38.25">
      <c r="A9" s="19">
        <v>5</v>
      </c>
      <c r="B9" s="41" t="s">
        <v>4</v>
      </c>
      <c r="C9" s="56">
        <v>31902</v>
      </c>
      <c r="D9" s="56">
        <v>0</v>
      </c>
      <c r="E9" s="50">
        <v>2268</v>
      </c>
      <c r="F9" s="388" t="s">
        <v>170</v>
      </c>
      <c r="H9" s="19">
        <v>5</v>
      </c>
      <c r="I9" s="41" t="s">
        <v>4</v>
      </c>
      <c r="J9" s="56">
        <v>31902</v>
      </c>
      <c r="K9" s="56">
        <v>0</v>
      </c>
      <c r="L9" s="50">
        <v>2268</v>
      </c>
      <c r="M9" s="52" t="s">
        <v>170</v>
      </c>
    </row>
    <row r="10" spans="1:13">
      <c r="A10" s="36">
        <v>6</v>
      </c>
      <c r="B10" s="42" t="s">
        <v>33</v>
      </c>
      <c r="C10" s="58">
        <f>SUM(C11:C23)</f>
        <v>24784.399999999998</v>
      </c>
      <c r="D10" s="59">
        <v>0</v>
      </c>
      <c r="E10" s="58">
        <f>SUM(E11:E23)</f>
        <v>15179</v>
      </c>
      <c r="F10" s="60">
        <v>0</v>
      </c>
      <c r="H10" s="36">
        <v>6</v>
      </c>
      <c r="I10" s="42" t="s">
        <v>33</v>
      </c>
      <c r="J10" s="58">
        <f>SUM(J11:J13)</f>
        <v>24784.400000000001</v>
      </c>
      <c r="K10" s="138">
        <v>0</v>
      </c>
      <c r="L10" s="58">
        <f>SUM(L11:L13)</f>
        <v>15179</v>
      </c>
      <c r="M10" s="60">
        <v>0</v>
      </c>
    </row>
    <row r="11" spans="1:13">
      <c r="A11" s="36">
        <v>7</v>
      </c>
      <c r="B11" s="43" t="s">
        <v>13</v>
      </c>
      <c r="C11" s="56">
        <v>20589</v>
      </c>
      <c r="D11" s="56">
        <v>0</v>
      </c>
      <c r="E11" s="50">
        <v>1333</v>
      </c>
      <c r="F11" s="52">
        <v>14065</v>
      </c>
      <c r="H11" s="19">
        <v>7</v>
      </c>
      <c r="I11" s="43" t="s">
        <v>13</v>
      </c>
      <c r="J11" s="56">
        <v>20589</v>
      </c>
      <c r="K11" s="56">
        <v>0</v>
      </c>
      <c r="L11" s="50">
        <v>1333</v>
      </c>
      <c r="M11" s="52">
        <v>14065</v>
      </c>
    </row>
    <row r="12" spans="1:13">
      <c r="A12" s="36">
        <v>8</v>
      </c>
      <c r="B12" s="44" t="s">
        <v>12</v>
      </c>
      <c r="C12" s="56">
        <v>2744</v>
      </c>
      <c r="D12" s="56">
        <v>0</v>
      </c>
      <c r="E12" s="50">
        <v>9146</v>
      </c>
      <c r="F12" s="48">
        <v>300</v>
      </c>
      <c r="H12" s="19">
        <v>8</v>
      </c>
      <c r="I12" s="44" t="s">
        <v>12</v>
      </c>
      <c r="J12" s="56">
        <v>2744</v>
      </c>
      <c r="K12" s="56">
        <v>0</v>
      </c>
      <c r="L12" s="50">
        <v>9146</v>
      </c>
      <c r="M12" s="48">
        <v>300</v>
      </c>
    </row>
    <row r="13" spans="1:13" ht="15.75" thickBot="1">
      <c r="A13" s="36">
        <v>9</v>
      </c>
      <c r="B13" s="389" t="s">
        <v>171</v>
      </c>
      <c r="C13" s="390">
        <v>0.8</v>
      </c>
      <c r="D13" s="391"/>
      <c r="E13" s="390">
        <v>1</v>
      </c>
      <c r="F13" s="392">
        <v>800</v>
      </c>
      <c r="H13" s="20">
        <v>9</v>
      </c>
      <c r="I13" s="45"/>
      <c r="J13" s="61">
        <f>SUM(C13:C23)</f>
        <v>1451.4</v>
      </c>
      <c r="K13" s="61">
        <v>0</v>
      </c>
      <c r="L13" s="51">
        <f>SUM(E13:E23)</f>
        <v>4700</v>
      </c>
      <c r="M13" s="245"/>
    </row>
    <row r="14" spans="1:13" ht="15.75" thickBot="1">
      <c r="A14" s="36">
        <v>10</v>
      </c>
      <c r="B14" s="389" t="s">
        <v>172</v>
      </c>
      <c r="C14" s="390">
        <v>2</v>
      </c>
      <c r="D14" s="391"/>
      <c r="E14" s="390">
        <v>4</v>
      </c>
      <c r="F14" s="392">
        <v>500</v>
      </c>
      <c r="H14" s="23">
        <v>10</v>
      </c>
      <c r="I14" s="46" t="s">
        <v>1</v>
      </c>
      <c r="J14" s="62">
        <f>J5+J10</f>
        <v>89256.4</v>
      </c>
      <c r="K14" s="62">
        <f>K5+K10</f>
        <v>20782</v>
      </c>
      <c r="L14" s="62">
        <f>L5+L10</f>
        <v>42407</v>
      </c>
      <c r="M14" s="63">
        <v>0</v>
      </c>
    </row>
    <row r="15" spans="1:13">
      <c r="A15" s="36">
        <v>11</v>
      </c>
      <c r="B15" s="389" t="s">
        <v>173</v>
      </c>
      <c r="C15" s="390">
        <v>29</v>
      </c>
      <c r="D15" s="391"/>
      <c r="E15" s="390">
        <v>58</v>
      </c>
      <c r="F15" s="392">
        <v>500</v>
      </c>
    </row>
    <row r="16" spans="1:13">
      <c r="A16" s="36">
        <v>12</v>
      </c>
      <c r="B16" s="389" t="s">
        <v>174</v>
      </c>
      <c r="C16" s="390">
        <v>5</v>
      </c>
      <c r="D16" s="391"/>
      <c r="E16" s="390">
        <v>10</v>
      </c>
      <c r="F16" s="392">
        <v>500</v>
      </c>
    </row>
    <row r="17" spans="1:6">
      <c r="A17" s="36">
        <v>13</v>
      </c>
      <c r="B17" s="389" t="s">
        <v>175</v>
      </c>
      <c r="C17" s="390">
        <v>2</v>
      </c>
      <c r="D17" s="391"/>
      <c r="E17" s="390">
        <v>4</v>
      </c>
      <c r="F17" s="392">
        <v>500</v>
      </c>
    </row>
    <row r="18" spans="1:6">
      <c r="A18" s="36">
        <v>14</v>
      </c>
      <c r="B18" s="389" t="s">
        <v>176</v>
      </c>
      <c r="C18" s="390">
        <v>39.5</v>
      </c>
      <c r="D18" s="391"/>
      <c r="E18" s="390">
        <v>79</v>
      </c>
      <c r="F18" s="392">
        <v>500</v>
      </c>
    </row>
    <row r="19" spans="1:6">
      <c r="A19" s="36">
        <v>15</v>
      </c>
      <c r="B19" s="389" t="s">
        <v>177</v>
      </c>
      <c r="C19" s="390">
        <v>60</v>
      </c>
      <c r="D19" s="391"/>
      <c r="E19" s="390">
        <v>400</v>
      </c>
      <c r="F19" s="392">
        <v>150</v>
      </c>
    </row>
    <row r="20" spans="1:6">
      <c r="A20" s="36">
        <v>16</v>
      </c>
      <c r="B20" s="389" t="s">
        <v>178</v>
      </c>
      <c r="C20" s="390">
        <v>0.1</v>
      </c>
      <c r="D20" s="391"/>
      <c r="E20" s="390">
        <v>1</v>
      </c>
      <c r="F20" s="392">
        <v>100</v>
      </c>
    </row>
    <row r="21" spans="1:6" ht="25.5">
      <c r="A21" s="36">
        <v>17</v>
      </c>
      <c r="B21" s="389" t="s">
        <v>179</v>
      </c>
      <c r="C21" s="390">
        <v>88</v>
      </c>
      <c r="D21" s="391"/>
      <c r="E21" s="390">
        <v>88</v>
      </c>
      <c r="F21" s="392">
        <v>1000</v>
      </c>
    </row>
    <row r="22" spans="1:6">
      <c r="A22" s="36">
        <v>18</v>
      </c>
      <c r="B22" s="389" t="s">
        <v>180</v>
      </c>
      <c r="C22" s="390">
        <v>1211</v>
      </c>
      <c r="D22" s="391"/>
      <c r="E22" s="390">
        <v>4037</v>
      </c>
      <c r="F22" s="392">
        <v>300</v>
      </c>
    </row>
    <row r="23" spans="1:6" ht="15.75" thickBot="1">
      <c r="A23" s="36">
        <v>19</v>
      </c>
      <c r="B23" s="389" t="s">
        <v>181</v>
      </c>
      <c r="C23" s="390">
        <v>14</v>
      </c>
      <c r="D23" s="391"/>
      <c r="E23" s="390">
        <v>18</v>
      </c>
      <c r="F23" s="392">
        <v>800</v>
      </c>
    </row>
    <row r="24" spans="1:6" ht="15.75" thickBot="1">
      <c r="A24" s="36">
        <v>20</v>
      </c>
      <c r="B24" s="393" t="s">
        <v>1</v>
      </c>
      <c r="C24" s="394">
        <f>C5+C10</f>
        <v>89256.4</v>
      </c>
      <c r="D24" s="394">
        <f>D5+D10</f>
        <v>20782</v>
      </c>
      <c r="E24" s="394">
        <f>E5+E10</f>
        <v>42407</v>
      </c>
      <c r="F24" s="395">
        <v>0</v>
      </c>
    </row>
  </sheetData>
  <protectedRanges>
    <protectedRange sqref="C7:D8" name="Oblast1_2"/>
    <protectedRange sqref="J7:K8" name="Oblast1_1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M16"/>
  <sheetViews>
    <sheetView zoomScale="85" zoomScaleNormal="85" workbookViewId="0">
      <selection activeCell="H1" sqref="H1:M65536"/>
    </sheetView>
  </sheetViews>
  <sheetFormatPr defaultRowHeight="15"/>
  <cols>
    <col min="1" max="1" width="3.42578125" customWidth="1"/>
    <col min="2" max="2" width="49.5703125" customWidth="1"/>
    <col min="3" max="3" width="16.42578125" customWidth="1"/>
    <col min="4" max="4" width="17.85546875" customWidth="1"/>
    <col min="5" max="5" width="17.140625" customWidth="1"/>
    <col min="6" max="6" width="17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ht="15.75">
      <c r="A1" s="28" t="s">
        <v>19</v>
      </c>
      <c r="B1" s="1"/>
      <c r="C1" s="2"/>
      <c r="D1" s="2"/>
      <c r="E1" s="2"/>
      <c r="F1" s="4"/>
    </row>
    <row r="2" spans="1:13" ht="15.75" thickBot="1">
      <c r="A2" s="5"/>
      <c r="B2" s="2"/>
      <c r="C2" s="2"/>
      <c r="D2" s="3"/>
      <c r="E2" s="2"/>
      <c r="F2" s="15" t="s">
        <v>9</v>
      </c>
    </row>
    <row r="3" spans="1:13" ht="25.5">
      <c r="A3" s="472" t="s">
        <v>0</v>
      </c>
      <c r="B3" s="474" t="s">
        <v>2</v>
      </c>
      <c r="C3" s="47" t="s">
        <v>95</v>
      </c>
      <c r="D3" s="47" t="s">
        <v>182</v>
      </c>
      <c r="E3" s="26" t="s">
        <v>183</v>
      </c>
      <c r="F3" s="27" t="s">
        <v>184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.75" thickBot="1">
      <c r="A4" s="473"/>
      <c r="B4" s="475"/>
      <c r="C4" s="125" t="s">
        <v>5</v>
      </c>
      <c r="D4" s="125" t="s">
        <v>6</v>
      </c>
      <c r="E4" s="125" t="s">
        <v>7</v>
      </c>
      <c r="F4" s="22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>
      <c r="A5" s="35">
        <v>1</v>
      </c>
      <c r="B5" s="38" t="s">
        <v>17</v>
      </c>
      <c r="C5" s="53">
        <f>SUM(C6:C9)</f>
        <v>23783</v>
      </c>
      <c r="D5" s="53">
        <f>SUM(D6:D9)</f>
        <v>8819</v>
      </c>
      <c r="E5" s="53">
        <f>SUM(E6:E9)</f>
        <v>8783</v>
      </c>
      <c r="F5" s="396">
        <v>0</v>
      </c>
      <c r="H5" s="35">
        <v>1</v>
      </c>
      <c r="I5" s="38" t="s">
        <v>17</v>
      </c>
      <c r="J5" s="53">
        <f>SUM(J6:J9)</f>
        <v>23783</v>
      </c>
      <c r="K5" s="53">
        <f>SUM(K6:K9)</f>
        <v>8819</v>
      </c>
      <c r="L5" s="53">
        <f>SUM(L6:L9)</f>
        <v>8783</v>
      </c>
      <c r="M5" s="54">
        <v>0</v>
      </c>
    </row>
    <row r="6" spans="1:13" ht="24">
      <c r="A6" s="19">
        <v>2</v>
      </c>
      <c r="B6" s="39" t="s">
        <v>3</v>
      </c>
      <c r="C6" s="55">
        <v>3515</v>
      </c>
      <c r="D6" s="56">
        <v>0</v>
      </c>
      <c r="E6" s="50">
        <v>7815</v>
      </c>
      <c r="F6" s="397">
        <v>0.45</v>
      </c>
      <c r="H6" s="19">
        <v>2</v>
      </c>
      <c r="I6" s="39" t="s">
        <v>3</v>
      </c>
      <c r="J6" s="55">
        <v>3515</v>
      </c>
      <c r="K6" s="56">
        <v>0</v>
      </c>
      <c r="L6" s="50">
        <v>7815</v>
      </c>
      <c r="M6" s="57">
        <v>0.45</v>
      </c>
    </row>
    <row r="7" spans="1:13">
      <c r="A7" s="19">
        <v>3</v>
      </c>
      <c r="B7" s="40" t="s">
        <v>10</v>
      </c>
      <c r="C7" s="56">
        <v>8819</v>
      </c>
      <c r="D7" s="56">
        <v>8819</v>
      </c>
      <c r="E7" s="50">
        <v>565</v>
      </c>
      <c r="F7" s="398">
        <v>15.609</v>
      </c>
      <c r="H7" s="19">
        <v>3</v>
      </c>
      <c r="I7" s="40" t="s">
        <v>10</v>
      </c>
      <c r="J7" s="56">
        <v>8819</v>
      </c>
      <c r="K7" s="56">
        <v>8819</v>
      </c>
      <c r="L7" s="50">
        <v>565</v>
      </c>
      <c r="M7" s="52">
        <v>15.609</v>
      </c>
    </row>
    <row r="8" spans="1:13">
      <c r="A8" s="19">
        <v>4</v>
      </c>
      <c r="B8" s="40" t="s">
        <v>11</v>
      </c>
      <c r="C8" s="56">
        <v>0</v>
      </c>
      <c r="D8" s="56"/>
      <c r="E8" s="50"/>
      <c r="F8" s="398"/>
      <c r="H8" s="19">
        <v>4</v>
      </c>
      <c r="I8" s="40" t="s">
        <v>11</v>
      </c>
      <c r="J8" s="56">
        <v>0</v>
      </c>
      <c r="K8" s="56"/>
      <c r="L8" s="50"/>
      <c r="M8" s="52"/>
    </row>
    <row r="9" spans="1:13">
      <c r="A9" s="19">
        <v>5</v>
      </c>
      <c r="B9" s="41" t="s">
        <v>4</v>
      </c>
      <c r="C9" s="56">
        <v>11449</v>
      </c>
      <c r="D9" s="56">
        <v>0</v>
      </c>
      <c r="E9" s="50">
        <v>403</v>
      </c>
      <c r="F9" s="398">
        <v>28.408999999999999</v>
      </c>
      <c r="H9" s="19">
        <v>5</v>
      </c>
      <c r="I9" s="41" t="s">
        <v>4</v>
      </c>
      <c r="J9" s="56">
        <v>11449</v>
      </c>
      <c r="K9" s="56">
        <v>0</v>
      </c>
      <c r="L9" s="50">
        <v>403</v>
      </c>
      <c r="M9" s="52">
        <v>28.408999999999999</v>
      </c>
    </row>
    <row r="10" spans="1:13">
      <c r="A10" s="36">
        <v>6</v>
      </c>
      <c r="B10" s="42" t="s">
        <v>33</v>
      </c>
      <c r="C10" s="58">
        <f>SUM(C11:C13)</f>
        <v>8082</v>
      </c>
      <c r="D10" s="59">
        <v>0</v>
      </c>
      <c r="E10" s="58">
        <f>SUM(E11:E13)</f>
        <v>5721</v>
      </c>
      <c r="F10" s="399">
        <v>0</v>
      </c>
      <c r="H10" s="36">
        <v>6</v>
      </c>
      <c r="I10" s="42" t="s">
        <v>33</v>
      </c>
      <c r="J10" s="58">
        <f>SUM(J11:J13)</f>
        <v>8983</v>
      </c>
      <c r="K10" s="138">
        <v>0</v>
      </c>
      <c r="L10" s="58">
        <f>SUM(L11:L13)</f>
        <v>5721</v>
      </c>
      <c r="M10" s="60">
        <v>0</v>
      </c>
    </row>
    <row r="11" spans="1:13">
      <c r="A11" s="19">
        <v>7</v>
      </c>
      <c r="B11" s="43" t="s">
        <v>13</v>
      </c>
      <c r="C11" s="56">
        <v>6492</v>
      </c>
      <c r="D11" s="56">
        <v>0</v>
      </c>
      <c r="E11" s="50">
        <v>1063</v>
      </c>
      <c r="F11" s="398">
        <v>6.1</v>
      </c>
      <c r="H11" s="19">
        <v>7</v>
      </c>
      <c r="I11" s="43" t="s">
        <v>13</v>
      </c>
      <c r="J11" s="56">
        <v>6492</v>
      </c>
      <c r="K11" s="56">
        <v>0</v>
      </c>
      <c r="L11" s="50">
        <v>1063</v>
      </c>
      <c r="M11" s="52">
        <v>6.1</v>
      </c>
    </row>
    <row r="12" spans="1:13" ht="15.75" thickBot="1">
      <c r="A12" s="20">
        <v>8</v>
      </c>
      <c r="B12" s="45" t="s">
        <v>12</v>
      </c>
      <c r="C12" s="61">
        <v>1162</v>
      </c>
      <c r="D12" s="61">
        <v>0</v>
      </c>
      <c r="E12" s="51">
        <v>1915</v>
      </c>
      <c r="F12" s="400">
        <v>0.6</v>
      </c>
      <c r="H12" s="19">
        <v>8</v>
      </c>
      <c r="I12" s="44" t="s">
        <v>12</v>
      </c>
      <c r="J12" s="56">
        <v>1162</v>
      </c>
      <c r="K12" s="56">
        <v>0</v>
      </c>
      <c r="L12" s="50">
        <v>1915</v>
      </c>
      <c r="M12" s="48">
        <v>0.6</v>
      </c>
    </row>
    <row r="13" spans="1:13" ht="15.75" thickBot="1">
      <c r="A13" s="401">
        <v>9</v>
      </c>
      <c r="B13" s="402" t="s">
        <v>185</v>
      </c>
      <c r="C13" s="403">
        <v>428</v>
      </c>
      <c r="D13" s="403">
        <v>0</v>
      </c>
      <c r="E13" s="404">
        <v>2743</v>
      </c>
      <c r="F13" s="405">
        <v>0.156</v>
      </c>
      <c r="H13" s="20">
        <v>9</v>
      </c>
      <c r="I13" s="45"/>
      <c r="J13" s="61">
        <f>SUM(C13:C15)</f>
        <v>1329</v>
      </c>
      <c r="K13" s="61">
        <v>0</v>
      </c>
      <c r="L13" s="51">
        <f>SUM(E13:E15)</f>
        <v>2743</v>
      </c>
      <c r="M13" s="245"/>
    </row>
    <row r="14" spans="1:13" ht="15.75" thickBot="1">
      <c r="A14" s="401"/>
      <c r="B14" s="406" t="s">
        <v>186</v>
      </c>
      <c r="C14" s="403">
        <v>52</v>
      </c>
      <c r="D14" s="403"/>
      <c r="E14" s="404" t="s">
        <v>120</v>
      </c>
      <c r="F14" s="405" t="s">
        <v>120</v>
      </c>
      <c r="H14" s="23">
        <v>10</v>
      </c>
      <c r="I14" s="46" t="s">
        <v>1</v>
      </c>
      <c r="J14" s="62">
        <f>J5+J10</f>
        <v>32766</v>
      </c>
      <c r="K14" s="62">
        <f>K5+K10</f>
        <v>8819</v>
      </c>
      <c r="L14" s="62">
        <f>L5+L10</f>
        <v>14504</v>
      </c>
      <c r="M14" s="63">
        <v>0</v>
      </c>
    </row>
    <row r="15" spans="1:13" ht="15.75" thickBot="1">
      <c r="A15" s="401"/>
      <c r="B15" s="406" t="s">
        <v>187</v>
      </c>
      <c r="C15" s="403">
        <v>849</v>
      </c>
      <c r="D15" s="403"/>
      <c r="E15" s="404" t="s">
        <v>120</v>
      </c>
      <c r="F15" s="405" t="s">
        <v>120</v>
      </c>
    </row>
    <row r="16" spans="1:13" ht="15.75" thickBot="1">
      <c r="A16" s="23">
        <v>10</v>
      </c>
      <c r="B16" s="46" t="s">
        <v>1</v>
      </c>
      <c r="C16" s="62">
        <f>C5+C10</f>
        <v>31865</v>
      </c>
      <c r="D16" s="62">
        <f>D5+D10</f>
        <v>8819</v>
      </c>
      <c r="E16" s="62">
        <f>E5+E10</f>
        <v>14504</v>
      </c>
      <c r="F16" s="407">
        <v>0</v>
      </c>
    </row>
  </sheetData>
  <protectedRanges>
    <protectedRange sqref="C7:D8" name="Oblast1"/>
    <protectedRange sqref="J7:K8" name="Oblast1_1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M21"/>
  <sheetViews>
    <sheetView zoomScale="85" zoomScaleNormal="85" workbookViewId="0">
      <selection activeCell="H1" sqref="H1:M65536"/>
    </sheetView>
  </sheetViews>
  <sheetFormatPr defaultRowHeight="15"/>
  <cols>
    <col min="1" max="1" width="3.42578125" customWidth="1"/>
    <col min="2" max="2" width="49.5703125" customWidth="1"/>
    <col min="3" max="3" width="16.42578125" customWidth="1"/>
    <col min="4" max="4" width="17.7109375" customWidth="1"/>
    <col min="5" max="5" width="17.28515625" customWidth="1"/>
    <col min="6" max="6" width="17.85546875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ht="15.75">
      <c r="A1" s="28" t="s">
        <v>19</v>
      </c>
      <c r="B1" s="1"/>
      <c r="C1" s="2"/>
      <c r="D1" s="2"/>
      <c r="E1" s="2"/>
      <c r="F1" s="4"/>
    </row>
    <row r="2" spans="1:13" ht="15.75" thickBot="1">
      <c r="A2" s="5"/>
      <c r="B2" s="2"/>
      <c r="C2" s="2"/>
      <c r="D2" s="3"/>
      <c r="E2" s="2"/>
      <c r="F2" s="408" t="s">
        <v>9</v>
      </c>
    </row>
    <row r="3" spans="1:13" ht="25.5">
      <c r="A3" s="507" t="s">
        <v>0</v>
      </c>
      <c r="B3" s="509" t="s">
        <v>2</v>
      </c>
      <c r="C3" s="409" t="s">
        <v>24</v>
      </c>
      <c r="D3" s="410" t="s">
        <v>188</v>
      </c>
      <c r="E3" s="409" t="s">
        <v>189</v>
      </c>
      <c r="F3" s="411" t="s">
        <v>190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.75" thickBot="1">
      <c r="A4" s="508"/>
      <c r="B4" s="510"/>
      <c r="C4" s="412" t="s">
        <v>5</v>
      </c>
      <c r="D4" s="412" t="s">
        <v>6</v>
      </c>
      <c r="E4" s="412" t="s">
        <v>7</v>
      </c>
      <c r="F4" s="413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 ht="15.75">
      <c r="A5" s="101">
        <v>1</v>
      </c>
      <c r="B5" s="38" t="s">
        <v>17</v>
      </c>
      <c r="C5" s="414">
        <f>SUM(C7:C9)</f>
        <v>20832</v>
      </c>
      <c r="D5" s="414">
        <f>SUM(D7:D9)</f>
        <v>2442</v>
      </c>
      <c r="E5" s="414">
        <f>SUM(E6:E9)</f>
        <v>2384</v>
      </c>
      <c r="F5" s="415" t="s">
        <v>120</v>
      </c>
      <c r="H5" s="35">
        <v>1</v>
      </c>
      <c r="I5" s="38" t="s">
        <v>17</v>
      </c>
      <c r="J5" s="53">
        <f>SUM(J6:J9)</f>
        <v>24416</v>
      </c>
      <c r="K5" s="53">
        <f>SUM(K6:K9)</f>
        <v>2442</v>
      </c>
      <c r="L5" s="53">
        <f>SUM(L6:L9)</f>
        <v>2384</v>
      </c>
      <c r="M5" s="54" t="s">
        <v>120</v>
      </c>
    </row>
    <row r="6" spans="1:13" ht="24">
      <c r="A6" s="19">
        <v>2</v>
      </c>
      <c r="B6" s="39" t="s">
        <v>3</v>
      </c>
      <c r="C6" s="416">
        <v>1142</v>
      </c>
      <c r="D6" s="417" t="s">
        <v>120</v>
      </c>
      <c r="E6" s="418">
        <f>688+429+827</f>
        <v>1944</v>
      </c>
      <c r="F6" s="419">
        <f>C6/E6</f>
        <v>0.58744855967078191</v>
      </c>
      <c r="H6" s="19">
        <v>2</v>
      </c>
      <c r="I6" s="39" t="s">
        <v>3</v>
      </c>
      <c r="J6" s="55">
        <v>1142</v>
      </c>
      <c r="K6" s="56" t="s">
        <v>120</v>
      </c>
      <c r="L6" s="50">
        <v>1944</v>
      </c>
      <c r="M6" s="57">
        <v>0.58744855967078191</v>
      </c>
    </row>
    <row r="7" spans="1:13" ht="15.75">
      <c r="A7" s="19">
        <v>3</v>
      </c>
      <c r="B7" s="40" t="s">
        <v>10</v>
      </c>
      <c r="C7" s="417" t="s">
        <v>120</v>
      </c>
      <c r="D7" s="416">
        <v>2442</v>
      </c>
      <c r="E7" s="418">
        <f>163+21+43</f>
        <v>227</v>
      </c>
      <c r="F7" s="419">
        <f>D7/E7</f>
        <v>10.757709251101321</v>
      </c>
      <c r="H7" s="19">
        <v>3</v>
      </c>
      <c r="I7" s="40" t="s">
        <v>10</v>
      </c>
      <c r="J7" s="56">
        <v>2442</v>
      </c>
      <c r="K7" s="56">
        <v>2442</v>
      </c>
      <c r="L7" s="50">
        <v>227</v>
      </c>
      <c r="M7" s="52">
        <v>10.757709251101321</v>
      </c>
    </row>
    <row r="8" spans="1:13" ht="15.75">
      <c r="A8" s="19">
        <v>4</v>
      </c>
      <c r="B8" s="40" t="s">
        <v>11</v>
      </c>
      <c r="C8" s="417" t="s">
        <v>120</v>
      </c>
      <c r="D8" s="417" t="s">
        <v>120</v>
      </c>
      <c r="E8" s="420" t="s">
        <v>120</v>
      </c>
      <c r="F8" s="421" t="s">
        <v>120</v>
      </c>
      <c r="H8" s="19">
        <v>4</v>
      </c>
      <c r="I8" s="40" t="s">
        <v>11</v>
      </c>
      <c r="J8" s="56" t="s">
        <v>120</v>
      </c>
      <c r="K8" s="56" t="s">
        <v>120</v>
      </c>
      <c r="L8" s="50" t="s">
        <v>120</v>
      </c>
      <c r="M8" s="52" t="s">
        <v>120</v>
      </c>
    </row>
    <row r="9" spans="1:13" ht="15.75">
      <c r="A9" s="19">
        <v>5</v>
      </c>
      <c r="B9" s="41" t="s">
        <v>4</v>
      </c>
      <c r="C9" s="416">
        <v>20832</v>
      </c>
      <c r="D9" s="417" t="s">
        <v>120</v>
      </c>
      <c r="E9" s="418">
        <f>172+4+37</f>
        <v>213</v>
      </c>
      <c r="F9" s="419">
        <f t="shared" ref="F9:F20" si="0">C9/E9</f>
        <v>97.802816901408448</v>
      </c>
      <c r="H9" s="19">
        <v>5</v>
      </c>
      <c r="I9" s="41" t="s">
        <v>4</v>
      </c>
      <c r="J9" s="56">
        <v>20832</v>
      </c>
      <c r="K9" s="56" t="s">
        <v>120</v>
      </c>
      <c r="L9" s="50">
        <v>213</v>
      </c>
      <c r="M9" s="52">
        <v>97.802816901408448</v>
      </c>
    </row>
    <row r="10" spans="1:13" ht="15.75">
      <c r="A10" s="106">
        <v>6</v>
      </c>
      <c r="B10" s="42" t="s">
        <v>33</v>
      </c>
      <c r="C10" s="422">
        <f>SUM(C11:C20)-C13</f>
        <v>34161</v>
      </c>
      <c r="D10" s="422">
        <f>SUM(D11:D20)-D13</f>
        <v>0</v>
      </c>
      <c r="E10" s="422">
        <f>SUM(E11:E20)-E13</f>
        <v>933</v>
      </c>
      <c r="F10" s="415" t="s">
        <v>120</v>
      </c>
      <c r="H10" s="36">
        <v>6</v>
      </c>
      <c r="I10" s="42" t="s">
        <v>33</v>
      </c>
      <c r="J10" s="58">
        <f>SUM(J11:J13)</f>
        <v>34161</v>
      </c>
      <c r="K10" s="138">
        <v>0</v>
      </c>
      <c r="L10" s="58">
        <f>SUM(L11:L13)</f>
        <v>933</v>
      </c>
      <c r="M10" s="60" t="s">
        <v>120</v>
      </c>
    </row>
    <row r="11" spans="1:13" ht="15.75">
      <c r="A11" s="19">
        <v>7</v>
      </c>
      <c r="B11" s="43" t="s">
        <v>13</v>
      </c>
      <c r="C11" s="423">
        <v>635</v>
      </c>
      <c r="D11" s="417" t="s">
        <v>120</v>
      </c>
      <c r="E11" s="418">
        <f>16+51</f>
        <v>67</v>
      </c>
      <c r="F11" s="419">
        <f t="shared" si="0"/>
        <v>9.4776119402985071</v>
      </c>
      <c r="H11" s="19">
        <v>7</v>
      </c>
      <c r="I11" s="43" t="s">
        <v>13</v>
      </c>
      <c r="J11" s="56">
        <v>635</v>
      </c>
      <c r="K11" s="56" t="s">
        <v>120</v>
      </c>
      <c r="L11" s="50">
        <v>67</v>
      </c>
      <c r="M11" s="52">
        <v>9.4776119402985071</v>
      </c>
    </row>
    <row r="12" spans="1:13" ht="15.75">
      <c r="A12" s="19">
        <v>8</v>
      </c>
      <c r="B12" s="44" t="s">
        <v>12</v>
      </c>
      <c r="C12" s="423">
        <v>7</v>
      </c>
      <c r="D12" s="417" t="s">
        <v>120</v>
      </c>
      <c r="E12" s="418">
        <f>22</f>
        <v>22</v>
      </c>
      <c r="F12" s="419">
        <f t="shared" si="0"/>
        <v>0.31818181818181818</v>
      </c>
      <c r="H12" s="19">
        <v>8</v>
      </c>
      <c r="I12" s="44" t="s">
        <v>12</v>
      </c>
      <c r="J12" s="56">
        <v>7</v>
      </c>
      <c r="K12" s="56" t="s">
        <v>120</v>
      </c>
      <c r="L12" s="50">
        <v>22</v>
      </c>
      <c r="M12" s="48">
        <v>0.31818181818181818</v>
      </c>
    </row>
    <row r="13" spans="1:13" ht="16.5" thickBot="1">
      <c r="A13" s="424">
        <v>9</v>
      </c>
      <c r="B13" s="425" t="s">
        <v>191</v>
      </c>
      <c r="C13" s="426">
        <v>33519</v>
      </c>
      <c r="D13" s="426">
        <v>0</v>
      </c>
      <c r="E13" s="426">
        <v>844</v>
      </c>
      <c r="F13" s="427">
        <f t="shared" si="0"/>
        <v>39.714454976303315</v>
      </c>
      <c r="H13" s="20">
        <v>9</v>
      </c>
      <c r="I13" s="45"/>
      <c r="J13" s="61">
        <f>C13</f>
        <v>33519</v>
      </c>
      <c r="K13" s="61">
        <f>D13</f>
        <v>0</v>
      </c>
      <c r="L13" s="51">
        <f>E13</f>
        <v>844</v>
      </c>
      <c r="M13" s="245"/>
    </row>
    <row r="14" spans="1:13" ht="16.5" thickBot="1">
      <c r="A14" s="20"/>
      <c r="B14" s="428" t="s">
        <v>102</v>
      </c>
      <c r="C14" s="429"/>
      <c r="D14" s="416"/>
      <c r="E14" s="430"/>
      <c r="F14" s="419"/>
      <c r="H14" s="23">
        <v>10</v>
      </c>
      <c r="I14" s="46" t="s">
        <v>1</v>
      </c>
      <c r="J14" s="62">
        <f>J5+J10</f>
        <v>58577</v>
      </c>
      <c r="K14" s="62">
        <f>K5+K10</f>
        <v>2442</v>
      </c>
      <c r="L14" s="62">
        <f>L5+L10</f>
        <v>3317</v>
      </c>
      <c r="M14" s="63">
        <v>0</v>
      </c>
    </row>
    <row r="15" spans="1:13" ht="15.75">
      <c r="A15" s="431">
        <f>A13+1</f>
        <v>10</v>
      </c>
      <c r="B15" s="432" t="s">
        <v>192</v>
      </c>
      <c r="C15" s="429">
        <f>0+12</f>
        <v>12</v>
      </c>
      <c r="D15" s="417" t="s">
        <v>120</v>
      </c>
      <c r="E15" s="430">
        <f>28+1</f>
        <v>29</v>
      </c>
      <c r="F15" s="419">
        <f t="shared" si="0"/>
        <v>0.41379310344827586</v>
      </c>
    </row>
    <row r="16" spans="1:13" ht="15.75">
      <c r="A16" s="431">
        <f t="shared" ref="A16:A21" si="1">A15+1</f>
        <v>11</v>
      </c>
      <c r="B16" s="432" t="s">
        <v>193</v>
      </c>
      <c r="C16" s="429">
        <f>1+59</f>
        <v>60</v>
      </c>
      <c r="D16" s="417" t="s">
        <v>120</v>
      </c>
      <c r="E16" s="430">
        <f>36+1</f>
        <v>37</v>
      </c>
      <c r="F16" s="419">
        <f t="shared" si="0"/>
        <v>1.6216216216216217</v>
      </c>
    </row>
    <row r="17" spans="1:6" ht="15.75">
      <c r="A17" s="431">
        <f t="shared" si="1"/>
        <v>12</v>
      </c>
      <c r="B17" s="432" t="s">
        <v>194</v>
      </c>
      <c r="C17" s="429">
        <f>23+150</f>
        <v>173</v>
      </c>
      <c r="D17" s="417" t="s">
        <v>120</v>
      </c>
      <c r="E17" s="430">
        <f>91+14</f>
        <v>105</v>
      </c>
      <c r="F17" s="419">
        <f t="shared" si="0"/>
        <v>1.6476190476190475</v>
      </c>
    </row>
    <row r="18" spans="1:6" ht="15.75">
      <c r="A18" s="431">
        <f t="shared" si="1"/>
        <v>13</v>
      </c>
      <c r="B18" s="432" t="s">
        <v>195</v>
      </c>
      <c r="C18" s="429">
        <f>52+20</f>
        <v>72</v>
      </c>
      <c r="D18" s="417" t="s">
        <v>120</v>
      </c>
      <c r="E18" s="430">
        <f>49+126</f>
        <v>175</v>
      </c>
      <c r="F18" s="419">
        <f t="shared" si="0"/>
        <v>0.41142857142857142</v>
      </c>
    </row>
    <row r="19" spans="1:6" ht="15.75">
      <c r="A19" s="431">
        <f t="shared" si="1"/>
        <v>14</v>
      </c>
      <c r="B19" s="428" t="s">
        <v>196</v>
      </c>
      <c r="C19" s="429">
        <v>33004</v>
      </c>
      <c r="D19" s="417" t="s">
        <v>120</v>
      </c>
      <c r="E19" s="430">
        <f>285+9+15</f>
        <v>309</v>
      </c>
      <c r="F19" s="419">
        <f t="shared" si="0"/>
        <v>106.80906148867314</v>
      </c>
    </row>
    <row r="20" spans="1:6" ht="16.5" thickBot="1">
      <c r="A20" s="431">
        <f t="shared" si="1"/>
        <v>15</v>
      </c>
      <c r="B20" s="432" t="s">
        <v>197</v>
      </c>
      <c r="C20" s="429">
        <v>198</v>
      </c>
      <c r="D20" s="433" t="s">
        <v>120</v>
      </c>
      <c r="E20" s="430">
        <f>5+184</f>
        <v>189</v>
      </c>
      <c r="F20" s="434">
        <f t="shared" si="0"/>
        <v>1.0476190476190477</v>
      </c>
    </row>
    <row r="21" spans="1:6" ht="16.5" thickBot="1">
      <c r="A21" s="435">
        <f t="shared" si="1"/>
        <v>16</v>
      </c>
      <c r="B21" s="393" t="s">
        <v>1</v>
      </c>
      <c r="C21" s="436">
        <v>54993</v>
      </c>
      <c r="D21" s="436">
        <v>2442</v>
      </c>
      <c r="E21" s="436">
        <v>3317</v>
      </c>
      <c r="F21" s="437" t="s">
        <v>120</v>
      </c>
    </row>
  </sheetData>
  <protectedRanges>
    <protectedRange sqref="C7:D8" name="Oblast1_2_1"/>
    <protectedRange sqref="C11:C12" name="Oblast1_1_1_1_1_1"/>
    <protectedRange sqref="C13:E13" name="Oblast1_1_1_1_1_1_1"/>
    <protectedRange sqref="J7:K8" name="Oblast1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M14"/>
  <sheetViews>
    <sheetView zoomScale="85" zoomScaleNormal="85" workbookViewId="0">
      <selection activeCell="H1" sqref="H1:M65536"/>
    </sheetView>
  </sheetViews>
  <sheetFormatPr defaultRowHeight="15"/>
  <cols>
    <col min="1" max="1" width="3.42578125" customWidth="1"/>
    <col min="2" max="2" width="49.5703125" customWidth="1"/>
    <col min="3" max="3" width="16.42578125" customWidth="1"/>
    <col min="4" max="4" width="17.7109375" customWidth="1"/>
    <col min="5" max="5" width="17.28515625" customWidth="1"/>
    <col min="6" max="6" width="17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ht="15.75">
      <c r="A1" s="28" t="s">
        <v>19</v>
      </c>
      <c r="B1" s="1"/>
      <c r="C1" s="2"/>
      <c r="D1" s="2"/>
      <c r="E1" s="2"/>
      <c r="F1" s="4"/>
    </row>
    <row r="2" spans="1:13" ht="15.75" thickBot="1">
      <c r="A2" s="5"/>
      <c r="B2" s="2"/>
      <c r="C2" s="2"/>
      <c r="D2" s="3"/>
      <c r="E2" s="2"/>
      <c r="F2" s="15" t="s">
        <v>9</v>
      </c>
    </row>
    <row r="3" spans="1:13" ht="25.5">
      <c r="A3" s="472" t="s">
        <v>0</v>
      </c>
      <c r="B3" s="474" t="s">
        <v>2</v>
      </c>
      <c r="C3" s="47" t="s">
        <v>24</v>
      </c>
      <c r="D3" s="47" t="s">
        <v>48</v>
      </c>
      <c r="E3" s="26" t="s">
        <v>31</v>
      </c>
      <c r="F3" s="27" t="s">
        <v>32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.75" thickBot="1">
      <c r="A4" s="473"/>
      <c r="B4" s="475"/>
      <c r="C4" s="125" t="s">
        <v>5</v>
      </c>
      <c r="D4" s="125" t="s">
        <v>6</v>
      </c>
      <c r="E4" s="125" t="s">
        <v>7</v>
      </c>
      <c r="F4" s="22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>
      <c r="A5" s="35">
        <v>1</v>
      </c>
      <c r="B5" s="38" t="s">
        <v>17</v>
      </c>
      <c r="C5" s="53">
        <f>SUM(C6:C9)</f>
        <v>279</v>
      </c>
      <c r="D5" s="53">
        <f>SUM(D6:D9)</f>
        <v>59</v>
      </c>
      <c r="E5" s="53">
        <f>SUM(E6:E9)</f>
        <v>342</v>
      </c>
      <c r="F5" s="54">
        <v>0</v>
      </c>
      <c r="H5" s="35">
        <v>1</v>
      </c>
      <c r="I5" s="38" t="s">
        <v>17</v>
      </c>
      <c r="J5" s="53">
        <f>SUM(J6:J9)</f>
        <v>279</v>
      </c>
      <c r="K5" s="53">
        <f>SUM(K6:K9)</f>
        <v>59</v>
      </c>
      <c r="L5" s="53">
        <f>SUM(L6:L9)</f>
        <v>342</v>
      </c>
      <c r="M5" s="54">
        <v>0</v>
      </c>
    </row>
    <row r="6" spans="1:13" ht="24">
      <c r="A6" s="19">
        <v>2</v>
      </c>
      <c r="B6" s="39" t="s">
        <v>3</v>
      </c>
      <c r="C6" s="55">
        <v>220</v>
      </c>
      <c r="D6" s="56">
        <v>0</v>
      </c>
      <c r="E6" s="50">
        <v>338</v>
      </c>
      <c r="F6" s="57">
        <v>1</v>
      </c>
      <c r="H6" s="19">
        <v>2</v>
      </c>
      <c r="I6" s="39" t="s">
        <v>3</v>
      </c>
      <c r="J6" s="55">
        <v>220</v>
      </c>
      <c r="K6" s="56">
        <v>0</v>
      </c>
      <c r="L6" s="50">
        <v>338</v>
      </c>
      <c r="M6" s="57">
        <v>1</v>
      </c>
    </row>
    <row r="7" spans="1:13">
      <c r="A7" s="19">
        <v>3</v>
      </c>
      <c r="B7" s="40" t="s">
        <v>10</v>
      </c>
      <c r="C7" s="56">
        <v>59</v>
      </c>
      <c r="D7" s="56">
        <v>59</v>
      </c>
      <c r="E7" s="50">
        <v>4</v>
      </c>
      <c r="F7" s="52">
        <v>15</v>
      </c>
      <c r="H7" s="19">
        <v>3</v>
      </c>
      <c r="I7" s="40" t="s">
        <v>10</v>
      </c>
      <c r="J7" s="56">
        <v>59</v>
      </c>
      <c r="K7" s="56">
        <v>59</v>
      </c>
      <c r="L7" s="50">
        <v>4</v>
      </c>
      <c r="M7" s="52">
        <v>15</v>
      </c>
    </row>
    <row r="8" spans="1:13">
      <c r="A8" s="19">
        <v>4</v>
      </c>
      <c r="B8" s="40" t="s">
        <v>11</v>
      </c>
      <c r="C8" s="56"/>
      <c r="D8" s="56"/>
      <c r="E8" s="50"/>
      <c r="F8" s="52"/>
      <c r="H8" s="19">
        <v>4</v>
      </c>
      <c r="I8" s="40" t="s">
        <v>11</v>
      </c>
      <c r="J8" s="56"/>
      <c r="K8" s="56"/>
      <c r="L8" s="50"/>
      <c r="M8" s="52"/>
    </row>
    <row r="9" spans="1:13">
      <c r="A9" s="19">
        <v>5</v>
      </c>
      <c r="B9" s="41" t="s">
        <v>4</v>
      </c>
      <c r="C9" s="56"/>
      <c r="D9" s="56">
        <v>0</v>
      </c>
      <c r="E9" s="50"/>
      <c r="F9" s="52"/>
      <c r="H9" s="19">
        <v>5</v>
      </c>
      <c r="I9" s="41" t="s">
        <v>4</v>
      </c>
      <c r="J9" s="56"/>
      <c r="K9" s="56">
        <v>0</v>
      </c>
      <c r="L9" s="50"/>
      <c r="M9" s="52"/>
    </row>
    <row r="10" spans="1:13">
      <c r="A10" s="36">
        <v>6</v>
      </c>
      <c r="B10" s="42" t="s">
        <v>33</v>
      </c>
      <c r="C10" s="58">
        <f>SUM(C11:C13)</f>
        <v>197</v>
      </c>
      <c r="D10" s="59">
        <v>24</v>
      </c>
      <c r="E10" s="58">
        <f>SUM(E11:E13)</f>
        <v>29</v>
      </c>
      <c r="F10" s="60">
        <v>0</v>
      </c>
      <c r="H10" s="36">
        <v>6</v>
      </c>
      <c r="I10" s="42" t="s">
        <v>33</v>
      </c>
      <c r="J10" s="58">
        <f>SUM(J11:J13)</f>
        <v>197</v>
      </c>
      <c r="K10" s="138">
        <v>0</v>
      </c>
      <c r="L10" s="58">
        <f>SUM(L11:L13)</f>
        <v>29</v>
      </c>
      <c r="M10" s="60">
        <v>0</v>
      </c>
    </row>
    <row r="11" spans="1:13">
      <c r="A11" s="19">
        <v>7</v>
      </c>
      <c r="B11" s="43" t="s">
        <v>13</v>
      </c>
      <c r="C11" s="56">
        <v>173</v>
      </c>
      <c r="D11" s="56">
        <v>0</v>
      </c>
      <c r="E11" s="50">
        <v>5</v>
      </c>
      <c r="F11" s="52">
        <v>35</v>
      </c>
      <c r="H11" s="19">
        <v>7</v>
      </c>
      <c r="I11" s="43" t="s">
        <v>13</v>
      </c>
      <c r="J11" s="56">
        <v>173</v>
      </c>
      <c r="K11" s="56">
        <v>0</v>
      </c>
      <c r="L11" s="50">
        <v>5</v>
      </c>
      <c r="M11" s="52">
        <v>35</v>
      </c>
    </row>
    <row r="12" spans="1:13">
      <c r="A12" s="19">
        <v>8</v>
      </c>
      <c r="B12" s="44" t="s">
        <v>12</v>
      </c>
      <c r="C12" s="56"/>
      <c r="D12" s="56">
        <v>0</v>
      </c>
      <c r="E12" s="50"/>
      <c r="F12" s="48"/>
      <c r="H12" s="19">
        <v>8</v>
      </c>
      <c r="I12" s="44" t="s">
        <v>12</v>
      </c>
      <c r="J12" s="56"/>
      <c r="K12" s="56">
        <v>0</v>
      </c>
      <c r="L12" s="50"/>
      <c r="M12" s="48"/>
    </row>
    <row r="13" spans="1:13" ht="15.75" thickBot="1">
      <c r="A13" s="20">
        <v>9</v>
      </c>
      <c r="B13" s="45" t="s">
        <v>198</v>
      </c>
      <c r="C13" s="61">
        <v>24</v>
      </c>
      <c r="D13" s="61">
        <v>24</v>
      </c>
      <c r="E13" s="51">
        <v>24</v>
      </c>
      <c r="F13" s="49">
        <v>1</v>
      </c>
      <c r="H13" s="20">
        <v>9</v>
      </c>
      <c r="I13" s="45"/>
      <c r="J13" s="61">
        <v>24</v>
      </c>
      <c r="K13" s="61">
        <v>24</v>
      </c>
      <c r="L13" s="51">
        <v>24</v>
      </c>
      <c r="M13" s="245">
        <v>1</v>
      </c>
    </row>
    <row r="14" spans="1:13" ht="15.75" thickBot="1">
      <c r="A14" s="23">
        <v>10</v>
      </c>
      <c r="B14" s="46" t="s">
        <v>1</v>
      </c>
      <c r="C14" s="62">
        <f>C5+C10</f>
        <v>476</v>
      </c>
      <c r="D14" s="62">
        <f>D5+D10</f>
        <v>83</v>
      </c>
      <c r="E14" s="62">
        <f>E5+E10</f>
        <v>371</v>
      </c>
      <c r="F14" s="63">
        <v>0</v>
      </c>
      <c r="H14" s="23">
        <v>10</v>
      </c>
      <c r="I14" s="46" t="s">
        <v>1</v>
      </c>
      <c r="J14" s="62">
        <f>J5+J10</f>
        <v>476</v>
      </c>
      <c r="K14" s="62">
        <f>K5+K10</f>
        <v>59</v>
      </c>
      <c r="L14" s="62">
        <f>L5+L10</f>
        <v>371</v>
      </c>
      <c r="M14" s="63">
        <v>0</v>
      </c>
    </row>
  </sheetData>
  <protectedRanges>
    <protectedRange sqref="C7:D8" name="Oblast1_1"/>
    <protectedRange sqref="J7:K8" name="Oblast1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M20"/>
  <sheetViews>
    <sheetView zoomScale="85" zoomScaleNormal="85" workbookViewId="0">
      <selection activeCell="H1" sqref="H1:M65536"/>
    </sheetView>
  </sheetViews>
  <sheetFormatPr defaultRowHeight="15"/>
  <cols>
    <col min="1" max="1" width="3.42578125" customWidth="1"/>
    <col min="2" max="2" width="49.5703125" customWidth="1"/>
    <col min="3" max="3" width="16.42578125" customWidth="1"/>
    <col min="4" max="4" width="17.7109375" customWidth="1"/>
    <col min="5" max="5" width="17.28515625" customWidth="1"/>
    <col min="6" max="6" width="17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ht="15.75">
      <c r="A1" s="28" t="s">
        <v>19</v>
      </c>
      <c r="B1" s="1"/>
      <c r="C1" s="2"/>
      <c r="D1" s="2"/>
      <c r="E1" s="2"/>
      <c r="F1" s="4"/>
    </row>
    <row r="2" spans="1:13" ht="15.75" thickBot="1">
      <c r="A2" s="5"/>
      <c r="B2" s="2"/>
      <c r="C2" s="2"/>
      <c r="D2" s="3"/>
      <c r="E2" s="2"/>
      <c r="F2" s="15" t="s">
        <v>9</v>
      </c>
    </row>
    <row r="3" spans="1:13" ht="25.5">
      <c r="A3" s="472" t="s">
        <v>0</v>
      </c>
      <c r="B3" s="474" t="s">
        <v>2</v>
      </c>
      <c r="C3" s="47" t="s">
        <v>24</v>
      </c>
      <c r="D3" s="47" t="s">
        <v>48</v>
      </c>
      <c r="E3" s="26" t="s">
        <v>31</v>
      </c>
      <c r="F3" s="27" t="s">
        <v>32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.75" thickBot="1">
      <c r="A4" s="473"/>
      <c r="B4" s="475"/>
      <c r="C4" s="125" t="s">
        <v>5</v>
      </c>
      <c r="D4" s="125" t="s">
        <v>6</v>
      </c>
      <c r="E4" s="125" t="s">
        <v>7</v>
      </c>
      <c r="F4" s="22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>
      <c r="A5" s="35">
        <v>1</v>
      </c>
      <c r="B5" s="38" t="s">
        <v>17</v>
      </c>
      <c r="C5" s="53">
        <f>SUM(C6:C9)</f>
        <v>1855</v>
      </c>
      <c r="D5" s="53">
        <f>SUM(D6:D9)</f>
        <v>274</v>
      </c>
      <c r="E5" s="53">
        <f>SUM(E6:E9)</f>
        <v>892</v>
      </c>
      <c r="F5" s="54">
        <v>0</v>
      </c>
      <c r="H5" s="35">
        <v>1</v>
      </c>
      <c r="I5" s="38" t="s">
        <v>17</v>
      </c>
      <c r="J5" s="53">
        <f>SUM(J6:J9)</f>
        <v>2129</v>
      </c>
      <c r="K5" s="53">
        <f>SUM(K6:K9)</f>
        <v>274</v>
      </c>
      <c r="L5" s="53">
        <f>SUM(L6:L9)</f>
        <v>892</v>
      </c>
      <c r="M5" s="54">
        <v>0</v>
      </c>
    </row>
    <row r="6" spans="1:13" ht="24">
      <c r="A6" s="19">
        <v>2</v>
      </c>
      <c r="B6" s="39" t="s">
        <v>3</v>
      </c>
      <c r="C6" s="55">
        <v>428</v>
      </c>
      <c r="D6" s="56">
        <v>0</v>
      </c>
      <c r="E6" s="50">
        <v>856</v>
      </c>
      <c r="F6" s="292">
        <v>0.5</v>
      </c>
      <c r="H6" s="19">
        <v>2</v>
      </c>
      <c r="I6" s="39" t="s">
        <v>3</v>
      </c>
      <c r="J6" s="55">
        <v>428</v>
      </c>
      <c r="K6" s="56">
        <v>0</v>
      </c>
      <c r="L6" s="50">
        <v>856</v>
      </c>
      <c r="M6" s="57">
        <v>0.5</v>
      </c>
    </row>
    <row r="7" spans="1:13">
      <c r="A7" s="19">
        <v>3</v>
      </c>
      <c r="B7" s="40" t="s">
        <v>10</v>
      </c>
      <c r="C7" s="56"/>
      <c r="D7" s="56">
        <v>252</v>
      </c>
      <c r="E7" s="50">
        <v>11</v>
      </c>
      <c r="F7" s="52">
        <v>20</v>
      </c>
      <c r="H7" s="19">
        <v>3</v>
      </c>
      <c r="I7" s="40" t="s">
        <v>10</v>
      </c>
      <c r="J7" s="56">
        <v>252</v>
      </c>
      <c r="K7" s="56">
        <v>252</v>
      </c>
      <c r="L7" s="50">
        <v>11</v>
      </c>
      <c r="M7" s="52">
        <v>20</v>
      </c>
    </row>
    <row r="8" spans="1:13">
      <c r="A8" s="19">
        <v>4</v>
      </c>
      <c r="B8" s="40" t="s">
        <v>11</v>
      </c>
      <c r="C8" s="56"/>
      <c r="D8" s="56">
        <v>22</v>
      </c>
      <c r="E8" s="50">
        <v>6</v>
      </c>
      <c r="F8" s="52">
        <v>3</v>
      </c>
      <c r="H8" s="19">
        <v>4</v>
      </c>
      <c r="I8" s="40" t="s">
        <v>11</v>
      </c>
      <c r="J8" s="56">
        <v>22</v>
      </c>
      <c r="K8" s="56">
        <v>22</v>
      </c>
      <c r="L8" s="50">
        <v>6</v>
      </c>
      <c r="M8" s="52">
        <v>3</v>
      </c>
    </row>
    <row r="9" spans="1:13">
      <c r="A9" s="19">
        <v>5</v>
      </c>
      <c r="B9" s="41" t="s">
        <v>4</v>
      </c>
      <c r="C9" s="56">
        <v>1427</v>
      </c>
      <c r="D9" s="56">
        <v>0</v>
      </c>
      <c r="E9" s="50">
        <v>19</v>
      </c>
      <c r="F9" s="52">
        <v>75</v>
      </c>
      <c r="H9" s="19">
        <v>5</v>
      </c>
      <c r="I9" s="41" t="s">
        <v>4</v>
      </c>
      <c r="J9" s="56">
        <v>1427</v>
      </c>
      <c r="K9" s="56">
        <v>0</v>
      </c>
      <c r="L9" s="50">
        <v>19</v>
      </c>
      <c r="M9" s="52">
        <v>75</v>
      </c>
    </row>
    <row r="10" spans="1:13">
      <c r="A10" s="36">
        <v>6</v>
      </c>
      <c r="B10" s="42" t="s">
        <v>33</v>
      </c>
      <c r="C10" s="58">
        <f>SUM(C11:C19)</f>
        <v>827</v>
      </c>
      <c r="D10" s="59">
        <v>0</v>
      </c>
      <c r="E10" s="58">
        <f>SUM(E11:E19)</f>
        <v>213</v>
      </c>
      <c r="F10" s="60">
        <v>0</v>
      </c>
      <c r="H10" s="36">
        <v>6</v>
      </c>
      <c r="I10" s="42" t="s">
        <v>33</v>
      </c>
      <c r="J10" s="58">
        <f>SUM(J11:J13)</f>
        <v>827</v>
      </c>
      <c r="K10" s="138">
        <v>0</v>
      </c>
      <c r="L10" s="58">
        <f>SUM(L11:L13)</f>
        <v>213</v>
      </c>
      <c r="M10" s="60">
        <v>0</v>
      </c>
    </row>
    <row r="11" spans="1:13">
      <c r="A11" s="19">
        <v>7</v>
      </c>
      <c r="B11" s="43" t="s">
        <v>13</v>
      </c>
      <c r="C11" s="129">
        <v>693</v>
      </c>
      <c r="D11" s="56">
        <v>0</v>
      </c>
      <c r="E11" s="50">
        <v>165</v>
      </c>
      <c r="F11" s="107">
        <v>4.2</v>
      </c>
      <c r="H11" s="19">
        <v>7</v>
      </c>
      <c r="I11" s="43" t="s">
        <v>13</v>
      </c>
      <c r="J11" s="56">
        <v>693</v>
      </c>
      <c r="K11" s="56">
        <v>0</v>
      </c>
      <c r="L11" s="50">
        <v>165</v>
      </c>
      <c r="M11" s="52">
        <v>4.2</v>
      </c>
    </row>
    <row r="12" spans="1:13">
      <c r="A12" s="19">
        <v>8</v>
      </c>
      <c r="B12" s="44" t="s">
        <v>12</v>
      </c>
      <c r="C12" s="56"/>
      <c r="D12" s="56">
        <v>0</v>
      </c>
      <c r="E12" s="50"/>
      <c r="F12" s="48"/>
      <c r="H12" s="19">
        <v>8</v>
      </c>
      <c r="I12" s="44" t="s">
        <v>12</v>
      </c>
      <c r="J12" s="56"/>
      <c r="K12" s="56">
        <v>0</v>
      </c>
      <c r="L12" s="50"/>
      <c r="M12" s="48"/>
    </row>
    <row r="13" spans="1:13" ht="15.75" thickBot="1">
      <c r="A13" s="20">
        <f t="shared" ref="A13:A18" si="0">A12+1</f>
        <v>9</v>
      </c>
      <c r="B13" s="44" t="s">
        <v>199</v>
      </c>
      <c r="C13" s="61">
        <v>44</v>
      </c>
      <c r="D13" s="61"/>
      <c r="E13" s="51">
        <v>4</v>
      </c>
      <c r="F13" s="49">
        <v>11</v>
      </c>
      <c r="H13" s="20">
        <v>9</v>
      </c>
      <c r="I13" s="45"/>
      <c r="J13" s="61">
        <f>SUM(C13:C19)</f>
        <v>134</v>
      </c>
      <c r="K13" s="61">
        <v>0</v>
      </c>
      <c r="L13" s="51">
        <f>SUM(E13:E19)</f>
        <v>48</v>
      </c>
      <c r="M13" s="245"/>
    </row>
    <row r="14" spans="1:13" ht="15.75" thickBot="1">
      <c r="A14" s="20">
        <f t="shared" si="0"/>
        <v>10</v>
      </c>
      <c r="B14" s="438" t="s">
        <v>200</v>
      </c>
      <c r="C14" s="61">
        <v>78</v>
      </c>
      <c r="D14" s="61"/>
      <c r="E14" s="51">
        <v>26</v>
      </c>
      <c r="F14" s="49">
        <v>3</v>
      </c>
      <c r="H14" s="23">
        <v>10</v>
      </c>
      <c r="I14" s="46" t="s">
        <v>1</v>
      </c>
      <c r="J14" s="62">
        <f>J5+J10</f>
        <v>2956</v>
      </c>
      <c r="K14" s="62">
        <f>K5+K10</f>
        <v>274</v>
      </c>
      <c r="L14" s="62">
        <f>L5+L10</f>
        <v>1105</v>
      </c>
      <c r="M14" s="63">
        <v>0</v>
      </c>
    </row>
    <row r="15" spans="1:13">
      <c r="A15" s="20">
        <f t="shared" si="0"/>
        <v>11</v>
      </c>
      <c r="B15" s="438" t="s">
        <v>201</v>
      </c>
      <c r="C15" s="61">
        <v>2</v>
      </c>
      <c r="D15" s="61"/>
      <c r="E15" s="51">
        <v>1</v>
      </c>
      <c r="F15" s="49">
        <v>2</v>
      </c>
    </row>
    <row r="16" spans="1:13">
      <c r="A16" s="20">
        <f t="shared" si="0"/>
        <v>12</v>
      </c>
      <c r="B16" s="438" t="s">
        <v>202</v>
      </c>
      <c r="C16" s="61">
        <v>1</v>
      </c>
      <c r="D16" s="61"/>
      <c r="E16" s="51">
        <v>6</v>
      </c>
      <c r="F16" s="107">
        <v>0.2</v>
      </c>
    </row>
    <row r="17" spans="1:6">
      <c r="A17" s="20">
        <f t="shared" si="0"/>
        <v>13</v>
      </c>
      <c r="B17" s="438" t="s">
        <v>203</v>
      </c>
      <c r="C17" s="61">
        <v>1</v>
      </c>
      <c r="D17" s="61"/>
      <c r="E17" s="51">
        <v>2</v>
      </c>
      <c r="F17" s="107">
        <v>0.5</v>
      </c>
    </row>
    <row r="18" spans="1:6">
      <c r="A18" s="20">
        <f t="shared" si="0"/>
        <v>14</v>
      </c>
      <c r="B18" s="45" t="s">
        <v>204</v>
      </c>
      <c r="C18" s="61">
        <v>1</v>
      </c>
      <c r="D18" s="61"/>
      <c r="E18" s="51">
        <v>2</v>
      </c>
      <c r="F18" s="107">
        <v>0.5</v>
      </c>
    </row>
    <row r="19" spans="1:6" ht="15.75" thickBot="1">
      <c r="A19" s="20">
        <v>15</v>
      </c>
      <c r="B19" s="45" t="s">
        <v>205</v>
      </c>
      <c r="C19" s="61">
        <v>7</v>
      </c>
      <c r="D19" s="61"/>
      <c r="E19" s="51">
        <v>7</v>
      </c>
      <c r="F19" s="49">
        <v>1</v>
      </c>
    </row>
    <row r="20" spans="1:6" ht="15.75" thickBot="1">
      <c r="A20" s="23">
        <v>16</v>
      </c>
      <c r="B20" s="46" t="s">
        <v>1</v>
      </c>
      <c r="C20" s="62">
        <f>C5+C10</f>
        <v>2682</v>
      </c>
      <c r="D20" s="62">
        <f>D5+D10</f>
        <v>274</v>
      </c>
      <c r="E20" s="62">
        <f>E5+E10</f>
        <v>1105</v>
      </c>
      <c r="F20" s="63">
        <v>0</v>
      </c>
    </row>
  </sheetData>
  <protectedRanges>
    <protectedRange sqref="C7:D8" name="Oblast1"/>
    <protectedRange sqref="J7:K8" name="Oblast1_1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M15"/>
  <sheetViews>
    <sheetView zoomScale="85" zoomScaleNormal="85" workbookViewId="0">
      <selection activeCell="H1" sqref="H1:M65536"/>
    </sheetView>
  </sheetViews>
  <sheetFormatPr defaultRowHeight="15"/>
  <cols>
    <col min="1" max="1" width="3.42578125" customWidth="1"/>
    <col min="2" max="2" width="49.5703125" customWidth="1"/>
    <col min="3" max="3" width="16.42578125" customWidth="1"/>
    <col min="4" max="4" width="14.85546875" bestFit="1" customWidth="1"/>
    <col min="5" max="5" width="14.7109375" bestFit="1" customWidth="1"/>
    <col min="6" max="6" width="17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ht="15.75">
      <c r="A1" s="28" t="s">
        <v>19</v>
      </c>
      <c r="B1" s="1"/>
      <c r="C1" s="2"/>
      <c r="D1" s="2"/>
      <c r="E1" s="2"/>
      <c r="F1" s="4"/>
    </row>
    <row r="2" spans="1:13" ht="15.75" thickBot="1">
      <c r="A2" s="5"/>
      <c r="B2" s="2"/>
      <c r="C2" s="2"/>
      <c r="D2" s="3"/>
      <c r="E2" s="2"/>
      <c r="F2" s="15" t="s">
        <v>9</v>
      </c>
    </row>
    <row r="3" spans="1:13" ht="25.5">
      <c r="A3" s="472" t="s">
        <v>0</v>
      </c>
      <c r="B3" s="474" t="s">
        <v>2</v>
      </c>
      <c r="C3" s="47" t="s">
        <v>24</v>
      </c>
      <c r="D3" s="47" t="s">
        <v>48</v>
      </c>
      <c r="E3" s="26" t="s">
        <v>31</v>
      </c>
      <c r="F3" s="27" t="s">
        <v>32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.75" thickBot="1">
      <c r="A4" s="473"/>
      <c r="B4" s="475"/>
      <c r="C4" s="125" t="s">
        <v>5</v>
      </c>
      <c r="D4" s="125" t="s">
        <v>6</v>
      </c>
      <c r="E4" s="125" t="s">
        <v>7</v>
      </c>
      <c r="F4" s="22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>
      <c r="A5" s="35">
        <v>1</v>
      </c>
      <c r="B5" s="38" t="s">
        <v>17</v>
      </c>
      <c r="C5" s="53">
        <f>SUM(C6:C9)</f>
        <v>615</v>
      </c>
      <c r="D5" s="53">
        <f>SUM(D6:D9)</f>
        <v>609</v>
      </c>
      <c r="E5" s="53">
        <f>SUM(E6:E9)</f>
        <v>998</v>
      </c>
      <c r="F5" s="54">
        <v>0</v>
      </c>
      <c r="H5" s="35">
        <v>1</v>
      </c>
      <c r="I5" s="38" t="s">
        <v>17</v>
      </c>
      <c r="J5" s="53">
        <f>SUM(J6:J9)</f>
        <v>1224</v>
      </c>
      <c r="K5" s="53">
        <f>SUM(K6:K9)</f>
        <v>609</v>
      </c>
      <c r="L5" s="53">
        <f>SUM(L6:L9)</f>
        <v>998</v>
      </c>
      <c r="M5" s="54">
        <v>0</v>
      </c>
    </row>
    <row r="6" spans="1:13" ht="24">
      <c r="A6" s="19">
        <v>2</v>
      </c>
      <c r="B6" s="39" t="s">
        <v>3</v>
      </c>
      <c r="C6" s="55">
        <f>204+411</f>
        <v>615</v>
      </c>
      <c r="D6" s="56">
        <v>0</v>
      </c>
      <c r="E6" s="50">
        <f>318+633</f>
        <v>951</v>
      </c>
      <c r="F6" s="292">
        <f>C6/E6</f>
        <v>0.64668769716088326</v>
      </c>
      <c r="H6" s="19">
        <v>2</v>
      </c>
      <c r="I6" s="39" t="s">
        <v>3</v>
      </c>
      <c r="J6" s="55">
        <v>615</v>
      </c>
      <c r="K6" s="56">
        <v>0</v>
      </c>
      <c r="L6" s="50">
        <v>951</v>
      </c>
      <c r="M6" s="57">
        <v>0.64668769716088326</v>
      </c>
    </row>
    <row r="7" spans="1:13">
      <c r="A7" s="19">
        <v>3</v>
      </c>
      <c r="B7" s="40" t="s">
        <v>10</v>
      </c>
      <c r="C7" s="56"/>
      <c r="D7" s="56">
        <v>609</v>
      </c>
      <c r="E7" s="50">
        <v>47</v>
      </c>
      <c r="F7" s="293">
        <f>D7/E7</f>
        <v>12.957446808510639</v>
      </c>
      <c r="H7" s="19">
        <v>3</v>
      </c>
      <c r="I7" s="40" t="s">
        <v>10</v>
      </c>
      <c r="J7" s="56">
        <v>609</v>
      </c>
      <c r="K7" s="56">
        <v>609</v>
      </c>
      <c r="L7" s="50">
        <v>47</v>
      </c>
      <c r="M7" s="52">
        <v>12.957446808510639</v>
      </c>
    </row>
    <row r="8" spans="1:13">
      <c r="A8" s="19">
        <v>4</v>
      </c>
      <c r="B8" s="40" t="s">
        <v>11</v>
      </c>
      <c r="C8" s="56">
        <v>0</v>
      </c>
      <c r="D8" s="56">
        <v>0</v>
      </c>
      <c r="E8" s="50">
        <v>0</v>
      </c>
      <c r="F8" s="52"/>
      <c r="H8" s="19">
        <v>4</v>
      </c>
      <c r="I8" s="40" t="s">
        <v>11</v>
      </c>
      <c r="J8" s="56">
        <v>0</v>
      </c>
      <c r="K8" s="56">
        <v>0</v>
      </c>
      <c r="L8" s="50">
        <v>0</v>
      </c>
      <c r="M8" s="52"/>
    </row>
    <row r="9" spans="1:13">
      <c r="A9" s="19">
        <v>5</v>
      </c>
      <c r="B9" s="41" t="s">
        <v>4</v>
      </c>
      <c r="C9" s="56"/>
      <c r="D9" s="56">
        <v>0</v>
      </c>
      <c r="E9" s="50"/>
      <c r="F9" s="52"/>
      <c r="H9" s="19">
        <v>5</v>
      </c>
      <c r="I9" s="41" t="s">
        <v>4</v>
      </c>
      <c r="J9" s="56"/>
      <c r="K9" s="56">
        <v>0</v>
      </c>
      <c r="L9" s="50"/>
      <c r="M9" s="52"/>
    </row>
    <row r="10" spans="1:13">
      <c r="A10" s="36">
        <v>6</v>
      </c>
      <c r="B10" s="42" t="s">
        <v>33</v>
      </c>
      <c r="C10" s="58">
        <f>SUM(C11:C14)</f>
        <v>1953</v>
      </c>
      <c r="D10" s="59">
        <v>0</v>
      </c>
      <c r="E10" s="58">
        <f>SUM(E11:E14)</f>
        <v>686</v>
      </c>
      <c r="F10" s="60">
        <v>0</v>
      </c>
      <c r="H10" s="36">
        <v>6</v>
      </c>
      <c r="I10" s="42" t="s">
        <v>33</v>
      </c>
      <c r="J10" s="58">
        <f>SUM(J11:J13)</f>
        <v>1953</v>
      </c>
      <c r="K10" s="138">
        <v>0</v>
      </c>
      <c r="L10" s="58">
        <f>SUM(L11:L13)</f>
        <v>686</v>
      </c>
      <c r="M10" s="60">
        <v>0</v>
      </c>
    </row>
    <row r="11" spans="1:13">
      <c r="A11" s="19">
        <v>7</v>
      </c>
      <c r="B11" s="43" t="s">
        <v>13</v>
      </c>
      <c r="C11" s="56">
        <f>1434+216</f>
        <v>1650</v>
      </c>
      <c r="D11" s="56">
        <v>0</v>
      </c>
      <c r="E11" s="50">
        <f>261+71</f>
        <v>332</v>
      </c>
      <c r="F11" s="293">
        <f>C11/E11</f>
        <v>4.9698795180722888</v>
      </c>
      <c r="H11" s="19">
        <v>7</v>
      </c>
      <c r="I11" s="43" t="s">
        <v>13</v>
      </c>
      <c r="J11" s="56">
        <v>1650</v>
      </c>
      <c r="K11" s="56">
        <v>0</v>
      </c>
      <c r="L11" s="50">
        <v>332</v>
      </c>
      <c r="M11" s="52">
        <v>4.9698795180722888</v>
      </c>
    </row>
    <row r="12" spans="1:13">
      <c r="A12" s="19">
        <v>8</v>
      </c>
      <c r="B12" s="44" t="s">
        <v>12</v>
      </c>
      <c r="C12" s="56">
        <f>79+161</f>
        <v>240</v>
      </c>
      <c r="D12" s="56">
        <v>0</v>
      </c>
      <c r="E12" s="50">
        <f>114+80</f>
        <v>194</v>
      </c>
      <c r="F12" s="294">
        <f>C12/E12</f>
        <v>1.2371134020618557</v>
      </c>
      <c r="H12" s="19">
        <v>8</v>
      </c>
      <c r="I12" s="44" t="s">
        <v>12</v>
      </c>
      <c r="J12" s="56">
        <v>240</v>
      </c>
      <c r="K12" s="56">
        <v>0</v>
      </c>
      <c r="L12" s="50">
        <v>194</v>
      </c>
      <c r="M12" s="48">
        <v>1.2371134020618557</v>
      </c>
    </row>
    <row r="13" spans="1:13" ht="15.75" thickBot="1">
      <c r="A13" s="20">
        <v>9</v>
      </c>
      <c r="B13" s="45" t="s">
        <v>206</v>
      </c>
      <c r="C13" s="61">
        <f>14+18</f>
        <v>32</v>
      </c>
      <c r="D13" s="56">
        <v>0</v>
      </c>
      <c r="E13" s="51">
        <f>68+92</f>
        <v>160</v>
      </c>
      <c r="F13" s="107">
        <f>C13/E13</f>
        <v>0.2</v>
      </c>
      <c r="H13" s="20">
        <v>9</v>
      </c>
      <c r="I13" s="45"/>
      <c r="J13" s="61">
        <f>C13+C14</f>
        <v>63</v>
      </c>
      <c r="K13" s="61">
        <v>0</v>
      </c>
      <c r="L13" s="51">
        <f>E13+E14</f>
        <v>160</v>
      </c>
      <c r="M13" s="245"/>
    </row>
    <row r="14" spans="1:13" ht="15.75" thickBot="1">
      <c r="A14" s="20">
        <v>10</v>
      </c>
      <c r="B14" s="45" t="s">
        <v>207</v>
      </c>
      <c r="C14" s="61">
        <v>31</v>
      </c>
      <c r="D14" s="61">
        <v>0</v>
      </c>
      <c r="E14" s="61">
        <v>0</v>
      </c>
      <c r="F14" s="439">
        <v>0</v>
      </c>
      <c r="H14" s="23">
        <v>10</v>
      </c>
      <c r="I14" s="46" t="s">
        <v>1</v>
      </c>
      <c r="J14" s="62">
        <f>J5+J10</f>
        <v>3177</v>
      </c>
      <c r="K14" s="62">
        <f>K5+K10</f>
        <v>609</v>
      </c>
      <c r="L14" s="62">
        <f>L5+L10</f>
        <v>1684</v>
      </c>
      <c r="M14" s="63">
        <v>0</v>
      </c>
    </row>
    <row r="15" spans="1:13" ht="15.75" thickBot="1">
      <c r="A15" s="23">
        <v>11</v>
      </c>
      <c r="B15" s="46" t="s">
        <v>1</v>
      </c>
      <c r="C15" s="62">
        <f>C5+C10</f>
        <v>2568</v>
      </c>
      <c r="D15" s="62">
        <f>D5+D10</f>
        <v>609</v>
      </c>
      <c r="E15" s="62">
        <f>E5+E10</f>
        <v>1684</v>
      </c>
      <c r="F15" s="63">
        <v>0</v>
      </c>
    </row>
  </sheetData>
  <protectedRanges>
    <protectedRange sqref="C7:D8" name="Oblast1"/>
    <protectedRange sqref="J7:K8" name="Oblast1_1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M16"/>
  <sheetViews>
    <sheetView zoomScale="85" zoomScaleNormal="85" workbookViewId="0">
      <selection activeCell="H1" sqref="H1:M65536"/>
    </sheetView>
  </sheetViews>
  <sheetFormatPr defaultRowHeight="15"/>
  <cols>
    <col min="1" max="1" width="3.42578125" customWidth="1"/>
    <col min="2" max="2" width="49.5703125" customWidth="1"/>
    <col min="3" max="3" width="16.42578125" customWidth="1"/>
    <col min="4" max="4" width="17.7109375" customWidth="1"/>
    <col min="5" max="5" width="17.28515625" customWidth="1"/>
    <col min="6" max="6" width="17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ht="15.75">
      <c r="A1" s="28" t="s">
        <v>19</v>
      </c>
      <c r="B1" s="1"/>
      <c r="C1" s="2"/>
      <c r="D1" s="2"/>
      <c r="E1" s="2"/>
      <c r="F1" s="4"/>
    </row>
    <row r="2" spans="1:13" ht="15.75" thickBot="1">
      <c r="A2" s="5"/>
      <c r="B2" s="2"/>
      <c r="C2" s="2"/>
      <c r="D2" s="3"/>
      <c r="E2" s="2"/>
      <c r="F2" s="15" t="s">
        <v>9</v>
      </c>
    </row>
    <row r="3" spans="1:13" ht="25.5">
      <c r="A3" s="472" t="s">
        <v>0</v>
      </c>
      <c r="B3" s="474" t="s">
        <v>2</v>
      </c>
      <c r="C3" s="47" t="s">
        <v>24</v>
      </c>
      <c r="D3" s="47" t="s">
        <v>48</v>
      </c>
      <c r="E3" s="26" t="s">
        <v>31</v>
      </c>
      <c r="F3" s="27" t="s">
        <v>32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.75" thickBot="1">
      <c r="A4" s="473"/>
      <c r="B4" s="475"/>
      <c r="C4" s="125" t="s">
        <v>5</v>
      </c>
      <c r="D4" s="125" t="s">
        <v>6</v>
      </c>
      <c r="E4" s="125" t="s">
        <v>7</v>
      </c>
      <c r="F4" s="22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>
      <c r="A5" s="101">
        <v>1</v>
      </c>
      <c r="B5" s="38" t="s">
        <v>17</v>
      </c>
      <c r="C5" s="356">
        <f>SUM(C6:C8)</f>
        <v>869</v>
      </c>
      <c r="D5" s="356">
        <f>SUM(D6:D8)</f>
        <v>3160</v>
      </c>
      <c r="E5" s="356">
        <f>SUM(E6:E8)</f>
        <v>2277</v>
      </c>
      <c r="F5" s="440" t="s">
        <v>208</v>
      </c>
      <c r="H5" s="35">
        <v>1</v>
      </c>
      <c r="I5" s="38" t="s">
        <v>17</v>
      </c>
      <c r="J5" s="53">
        <f>SUM(J6:J9)</f>
        <v>4029</v>
      </c>
      <c r="K5" s="53">
        <f>SUM(K6:K9)</f>
        <v>3160</v>
      </c>
      <c r="L5" s="53">
        <f>SUM(L6:L9)</f>
        <v>2277</v>
      </c>
      <c r="M5" s="54" t="s">
        <v>208</v>
      </c>
    </row>
    <row r="6" spans="1:13" ht="24">
      <c r="A6" s="19">
        <v>2</v>
      </c>
      <c r="B6" s="39" t="s">
        <v>3</v>
      </c>
      <c r="C6" s="363">
        <v>869</v>
      </c>
      <c r="D6" s="441">
        <v>0</v>
      </c>
      <c r="E6" s="191">
        <v>1931</v>
      </c>
      <c r="F6" s="442" t="s">
        <v>209</v>
      </c>
      <c r="H6" s="19">
        <v>2</v>
      </c>
      <c r="I6" s="39" t="s">
        <v>3</v>
      </c>
      <c r="J6" s="55">
        <v>869</v>
      </c>
      <c r="K6" s="56">
        <v>0</v>
      </c>
      <c r="L6" s="50">
        <v>1931</v>
      </c>
      <c r="M6" s="57" t="s">
        <v>209</v>
      </c>
    </row>
    <row r="7" spans="1:13">
      <c r="A7" s="19">
        <v>3</v>
      </c>
      <c r="B7" s="40" t="s">
        <v>10</v>
      </c>
      <c r="C7" s="441"/>
      <c r="D7" s="441">
        <v>3160</v>
      </c>
      <c r="E7" s="191">
        <v>346</v>
      </c>
      <c r="F7" s="443" t="s">
        <v>210</v>
      </c>
      <c r="H7" s="19">
        <v>3</v>
      </c>
      <c r="I7" s="40" t="s">
        <v>10</v>
      </c>
      <c r="J7" s="56">
        <v>3160</v>
      </c>
      <c r="K7" s="56">
        <v>3160</v>
      </c>
      <c r="L7" s="50">
        <v>346</v>
      </c>
      <c r="M7" s="52" t="s">
        <v>210</v>
      </c>
    </row>
    <row r="8" spans="1:13">
      <c r="A8" s="19">
        <v>4</v>
      </c>
      <c r="B8" s="41" t="s">
        <v>4</v>
      </c>
      <c r="C8" s="441"/>
      <c r="D8" s="441"/>
      <c r="E8" s="191"/>
      <c r="F8" s="443"/>
      <c r="H8" s="19">
        <v>4</v>
      </c>
      <c r="I8" s="40" t="s">
        <v>11</v>
      </c>
      <c r="J8" s="56"/>
      <c r="K8" s="56"/>
      <c r="L8" s="50"/>
      <c r="M8" s="52"/>
    </row>
    <row r="9" spans="1:13">
      <c r="A9" s="106">
        <v>5</v>
      </c>
      <c r="B9" s="42" t="s">
        <v>33</v>
      </c>
      <c r="C9" s="370">
        <f>SUM(C10:C15)</f>
        <v>1821</v>
      </c>
      <c r="D9" s="370">
        <f>SUM(D10:D15)</f>
        <v>0</v>
      </c>
      <c r="E9" s="370">
        <f>SUM(E10:E15)</f>
        <v>1435</v>
      </c>
      <c r="F9" s="444" t="s">
        <v>208</v>
      </c>
      <c r="H9" s="19">
        <v>5</v>
      </c>
      <c r="I9" s="41" t="s">
        <v>4</v>
      </c>
      <c r="J9" s="56"/>
      <c r="K9" s="56"/>
      <c r="L9" s="50"/>
      <c r="M9" s="52"/>
    </row>
    <row r="10" spans="1:13">
      <c r="A10" s="19">
        <v>6</v>
      </c>
      <c r="B10" s="277" t="s">
        <v>13</v>
      </c>
      <c r="C10" s="445">
        <v>901</v>
      </c>
      <c r="D10" s="445"/>
      <c r="E10" s="272">
        <v>382</v>
      </c>
      <c r="F10" s="446"/>
      <c r="H10" s="36">
        <v>6</v>
      </c>
      <c r="I10" s="42" t="s">
        <v>33</v>
      </c>
      <c r="J10" s="58">
        <f>SUM(J11:J13)</f>
        <v>1821</v>
      </c>
      <c r="K10" s="138">
        <v>0</v>
      </c>
      <c r="L10" s="58">
        <f>SUM(L11:L13)</f>
        <v>1435</v>
      </c>
      <c r="M10" s="60" t="s">
        <v>208</v>
      </c>
    </row>
    <row r="11" spans="1:13">
      <c r="A11" s="19">
        <v>7</v>
      </c>
      <c r="B11" s="44" t="s">
        <v>12</v>
      </c>
      <c r="C11" s="445">
        <v>554</v>
      </c>
      <c r="D11" s="441"/>
      <c r="E11" s="191">
        <v>1053</v>
      </c>
      <c r="F11" s="447" t="s">
        <v>211</v>
      </c>
      <c r="H11" s="19">
        <v>7</v>
      </c>
      <c r="I11" s="43" t="s">
        <v>13</v>
      </c>
      <c r="J11" s="56">
        <v>901</v>
      </c>
      <c r="K11" s="56"/>
      <c r="L11" s="50">
        <v>382</v>
      </c>
      <c r="M11" s="52"/>
    </row>
    <row r="12" spans="1:13">
      <c r="A12" s="19">
        <v>8</v>
      </c>
      <c r="B12" s="45" t="s">
        <v>212</v>
      </c>
      <c r="C12" s="448">
        <v>245</v>
      </c>
      <c r="D12" s="449"/>
      <c r="E12" s="377"/>
      <c r="F12" s="450" t="s">
        <v>213</v>
      </c>
      <c r="H12" s="19">
        <v>8</v>
      </c>
      <c r="I12" s="44" t="s">
        <v>12</v>
      </c>
      <c r="J12" s="56">
        <v>554</v>
      </c>
      <c r="K12" s="56"/>
      <c r="L12" s="50">
        <v>1053</v>
      </c>
      <c r="M12" s="48" t="s">
        <v>211</v>
      </c>
    </row>
    <row r="13" spans="1:13" ht="15.75" thickBot="1">
      <c r="A13" s="19">
        <v>9</v>
      </c>
      <c r="B13" s="45" t="s">
        <v>214</v>
      </c>
      <c r="C13" s="448">
        <v>4</v>
      </c>
      <c r="D13" s="451"/>
      <c r="E13" s="377"/>
      <c r="F13" s="450" t="s">
        <v>215</v>
      </c>
      <c r="H13" s="20">
        <v>9</v>
      </c>
      <c r="I13" s="45"/>
      <c r="J13" s="61">
        <f>SUM(C12:C15)</f>
        <v>366</v>
      </c>
      <c r="K13" s="61">
        <v>0</v>
      </c>
      <c r="L13" s="51">
        <f>SUM(E12:E15)</f>
        <v>0</v>
      </c>
      <c r="M13" s="245"/>
    </row>
    <row r="14" spans="1:13" ht="15.75" thickBot="1">
      <c r="A14" s="19">
        <v>10</v>
      </c>
      <c r="B14" s="44" t="s">
        <v>216</v>
      </c>
      <c r="C14" s="441">
        <v>112</v>
      </c>
      <c r="D14" s="452"/>
      <c r="E14" s="191"/>
      <c r="F14" s="447" t="s">
        <v>217</v>
      </c>
      <c r="H14" s="23">
        <v>10</v>
      </c>
      <c r="I14" s="46" t="s">
        <v>1</v>
      </c>
      <c r="J14" s="62">
        <f>J5+J10</f>
        <v>5850</v>
      </c>
      <c r="K14" s="62">
        <f>K5+K10</f>
        <v>3160</v>
      </c>
      <c r="L14" s="62">
        <f>L5+L10</f>
        <v>3712</v>
      </c>
      <c r="M14" s="63">
        <v>0</v>
      </c>
    </row>
    <row r="15" spans="1:13" ht="15.75" thickBot="1">
      <c r="A15" s="19">
        <v>11</v>
      </c>
      <c r="B15" s="453" t="s">
        <v>218</v>
      </c>
      <c r="C15" s="454">
        <v>5</v>
      </c>
      <c r="D15" s="455"/>
      <c r="E15" s="456"/>
      <c r="F15" s="457" t="s">
        <v>219</v>
      </c>
    </row>
    <row r="16" spans="1:13" ht="15.75" thickBot="1">
      <c r="A16" s="19">
        <v>12</v>
      </c>
      <c r="B16" s="46" t="s">
        <v>1</v>
      </c>
      <c r="C16" s="379">
        <f>C5+C9</f>
        <v>2690</v>
      </c>
      <c r="D16" s="379">
        <f>D5+D9</f>
        <v>3160</v>
      </c>
      <c r="E16" s="379">
        <f>E5+E9</f>
        <v>3712</v>
      </c>
      <c r="F16" s="458"/>
    </row>
  </sheetData>
  <protectedRanges>
    <protectedRange sqref="C7:D7" name="Oblast1_1"/>
    <protectedRange sqref="J7:K8" name="Oblast1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M15"/>
  <sheetViews>
    <sheetView zoomScale="85" zoomScaleNormal="85" workbookViewId="0">
      <selection activeCell="H1" sqref="H1:M65536"/>
    </sheetView>
  </sheetViews>
  <sheetFormatPr defaultRowHeight="15"/>
  <cols>
    <col min="1" max="1" width="3.42578125" customWidth="1"/>
    <col min="2" max="2" width="49.5703125" customWidth="1"/>
    <col min="3" max="3" width="16.42578125" customWidth="1"/>
    <col min="4" max="4" width="17.7109375" customWidth="1"/>
    <col min="5" max="5" width="17.28515625" customWidth="1"/>
    <col min="6" max="6" width="17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ht="15.75">
      <c r="A1" s="28" t="s">
        <v>19</v>
      </c>
      <c r="B1" s="1"/>
      <c r="C1" s="2"/>
      <c r="D1" s="2"/>
      <c r="E1" s="2"/>
      <c r="F1" s="4"/>
    </row>
    <row r="2" spans="1:13" ht="15.75" thickBot="1">
      <c r="A2" s="5"/>
      <c r="B2" s="2"/>
      <c r="C2" s="2"/>
      <c r="D2" s="3"/>
      <c r="E2" s="2"/>
      <c r="F2" s="15" t="s">
        <v>9</v>
      </c>
    </row>
    <row r="3" spans="1:13" ht="25.5">
      <c r="A3" s="472" t="s">
        <v>0</v>
      </c>
      <c r="B3" s="474" t="s">
        <v>2</v>
      </c>
      <c r="C3" s="47" t="s">
        <v>24</v>
      </c>
      <c r="D3" s="47" t="s">
        <v>48</v>
      </c>
      <c r="E3" s="26" t="s">
        <v>31</v>
      </c>
      <c r="F3" s="27" t="s">
        <v>32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.75" thickBot="1">
      <c r="A4" s="473"/>
      <c r="B4" s="475"/>
      <c r="C4" s="125" t="s">
        <v>5</v>
      </c>
      <c r="D4" s="125" t="s">
        <v>6</v>
      </c>
      <c r="E4" s="125" t="s">
        <v>7</v>
      </c>
      <c r="F4" s="22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>
      <c r="A5" s="35">
        <v>1</v>
      </c>
      <c r="B5" s="38" t="s">
        <v>17</v>
      </c>
      <c r="C5" s="53">
        <f>SUM(C6:C9)</f>
        <v>11619.324990000001</v>
      </c>
      <c r="D5" s="53">
        <f>SUM(D6:D9)</f>
        <v>10025.43</v>
      </c>
      <c r="E5" s="53">
        <f>SUM(E6:E9)</f>
        <v>2838.5349476587826</v>
      </c>
      <c r="F5" s="54">
        <v>0</v>
      </c>
      <c r="H5" s="35">
        <v>1</v>
      </c>
      <c r="I5" s="38" t="s">
        <v>17</v>
      </c>
      <c r="J5" s="53">
        <f>SUM(J6:J9)</f>
        <v>11619.324990000001</v>
      </c>
      <c r="K5" s="53">
        <f>SUM(K6:K9)</f>
        <v>10025.43</v>
      </c>
      <c r="L5" s="53">
        <f>SUM(L6:L9)</f>
        <v>2838.5349476587826</v>
      </c>
      <c r="M5" s="54">
        <v>0</v>
      </c>
    </row>
    <row r="6" spans="1:13" ht="24">
      <c r="A6" s="19">
        <v>2</v>
      </c>
      <c r="B6" s="39" t="s">
        <v>3</v>
      </c>
      <c r="C6" s="56">
        <v>1482.20499</v>
      </c>
      <c r="D6" s="56">
        <v>0</v>
      </c>
      <c r="E6" s="50">
        <f>C6/F6</f>
        <v>2315.9452968749997</v>
      </c>
      <c r="F6" s="57">
        <v>0.64</v>
      </c>
      <c r="H6" s="19">
        <v>2</v>
      </c>
      <c r="I6" s="39" t="s">
        <v>3</v>
      </c>
      <c r="J6" s="55">
        <v>1482.20499</v>
      </c>
      <c r="K6" s="56">
        <v>0</v>
      </c>
      <c r="L6" s="50">
        <v>2315.9452968749997</v>
      </c>
      <c r="M6" s="57">
        <v>0.64</v>
      </c>
    </row>
    <row r="7" spans="1:13">
      <c r="A7" s="19">
        <v>3</v>
      </c>
      <c r="B7" s="40" t="s">
        <v>10</v>
      </c>
      <c r="C7" s="56">
        <v>10025.43</v>
      </c>
      <c r="D7" s="56">
        <f>C7</f>
        <v>10025.43</v>
      </c>
      <c r="E7" s="50">
        <f>D7/F7</f>
        <v>519.39850792663981</v>
      </c>
      <c r="F7" s="52">
        <v>19.302</v>
      </c>
      <c r="H7" s="19">
        <v>3</v>
      </c>
      <c r="I7" s="40" t="s">
        <v>10</v>
      </c>
      <c r="J7" s="56">
        <v>10025.43</v>
      </c>
      <c r="K7" s="56">
        <v>10025.43</v>
      </c>
      <c r="L7" s="50">
        <v>519.39850792663981</v>
      </c>
      <c r="M7" s="52">
        <v>19.302</v>
      </c>
    </row>
    <row r="8" spans="1:13">
      <c r="A8" s="19">
        <v>4</v>
      </c>
      <c r="B8" s="40" t="s">
        <v>11</v>
      </c>
      <c r="C8" s="56">
        <v>0</v>
      </c>
      <c r="D8" s="56">
        <v>0</v>
      </c>
      <c r="E8" s="50"/>
      <c r="F8" s="52"/>
      <c r="H8" s="19">
        <v>4</v>
      </c>
      <c r="I8" s="40" t="s">
        <v>11</v>
      </c>
      <c r="J8" s="56">
        <v>0</v>
      </c>
      <c r="K8" s="56">
        <v>0</v>
      </c>
      <c r="L8" s="50"/>
      <c r="M8" s="52"/>
    </row>
    <row r="9" spans="1:13">
      <c r="A9" s="19">
        <v>5</v>
      </c>
      <c r="B9" s="41" t="s">
        <v>4</v>
      </c>
      <c r="C9" s="56">
        <v>111.69</v>
      </c>
      <c r="D9" s="56">
        <v>0</v>
      </c>
      <c r="E9" s="50">
        <f>C9/F9</f>
        <v>3.1911428571428573</v>
      </c>
      <c r="F9" s="52">
        <v>35</v>
      </c>
      <c r="H9" s="19">
        <v>5</v>
      </c>
      <c r="I9" s="41" t="s">
        <v>4</v>
      </c>
      <c r="J9" s="56">
        <v>111.69</v>
      </c>
      <c r="K9" s="56">
        <v>0</v>
      </c>
      <c r="L9" s="50">
        <v>3.1911428571428573</v>
      </c>
      <c r="M9" s="52">
        <v>35</v>
      </c>
    </row>
    <row r="10" spans="1:13">
      <c r="A10" s="36">
        <v>6</v>
      </c>
      <c r="B10" s="42" t="s">
        <v>33</v>
      </c>
      <c r="C10" s="58">
        <f>SUM(C11:C14)</f>
        <v>9015.5368400000007</v>
      </c>
      <c r="D10" s="58">
        <f>SUM(D11:D14)</f>
        <v>0</v>
      </c>
      <c r="E10" s="58">
        <f>SUM(E11:E14)</f>
        <v>7573.7707200000004</v>
      </c>
      <c r="F10" s="60">
        <v>0</v>
      </c>
      <c r="H10" s="36">
        <v>6</v>
      </c>
      <c r="I10" s="42" t="s">
        <v>33</v>
      </c>
      <c r="J10" s="58">
        <f>SUM(J11:J13)</f>
        <v>9015.5368400000007</v>
      </c>
      <c r="K10" s="138">
        <v>0</v>
      </c>
      <c r="L10" s="58">
        <f>SUM(L11:L13)</f>
        <v>7573.7707200000004</v>
      </c>
      <c r="M10" s="60">
        <v>0</v>
      </c>
    </row>
    <row r="11" spans="1:13">
      <c r="A11" s="19">
        <v>7</v>
      </c>
      <c r="B11" s="43" t="s">
        <v>13</v>
      </c>
      <c r="C11" s="56">
        <v>7766</v>
      </c>
      <c r="D11" s="56">
        <v>0</v>
      </c>
      <c r="E11" s="459">
        <v>3066</v>
      </c>
      <c r="F11" s="460">
        <f>C11/E11</f>
        <v>2.5329419439008478</v>
      </c>
      <c r="H11" s="19">
        <v>7</v>
      </c>
      <c r="I11" s="43" t="s">
        <v>13</v>
      </c>
      <c r="J11" s="56">
        <v>7766</v>
      </c>
      <c r="K11" s="56">
        <v>0</v>
      </c>
      <c r="L11" s="50">
        <v>3066</v>
      </c>
      <c r="M11" s="52">
        <v>2.5329419439008478</v>
      </c>
    </row>
    <row r="12" spans="1:13">
      <c r="A12" s="19">
        <v>8</v>
      </c>
      <c r="B12" s="44" t="s">
        <v>12</v>
      </c>
      <c r="C12" s="56">
        <v>0</v>
      </c>
      <c r="D12" s="56">
        <v>0</v>
      </c>
      <c r="E12" s="50"/>
      <c r="F12" s="48"/>
      <c r="H12" s="19">
        <v>8</v>
      </c>
      <c r="I12" s="44" t="s">
        <v>12</v>
      </c>
      <c r="J12" s="56">
        <v>0</v>
      </c>
      <c r="K12" s="56">
        <v>0</v>
      </c>
      <c r="L12" s="50"/>
      <c r="M12" s="48"/>
    </row>
    <row r="13" spans="1:13" ht="15.75" thickBot="1">
      <c r="A13" s="19">
        <v>9</v>
      </c>
      <c r="B13" s="45" t="s">
        <v>220</v>
      </c>
      <c r="C13" s="56">
        <v>506.84415999999999</v>
      </c>
      <c r="D13" s="56">
        <v>0</v>
      </c>
      <c r="E13" s="50">
        <v>1537</v>
      </c>
      <c r="F13" s="48">
        <f>C13/E13</f>
        <v>0.32976197787898504</v>
      </c>
      <c r="H13" s="20">
        <v>9</v>
      </c>
      <c r="I13" s="45"/>
      <c r="J13" s="61">
        <f>C13+C14</f>
        <v>1249.53684</v>
      </c>
      <c r="K13" s="61">
        <f>D13+D14</f>
        <v>0</v>
      </c>
      <c r="L13" s="51">
        <f>E13+E14</f>
        <v>4507.7707200000004</v>
      </c>
      <c r="M13" s="245"/>
    </row>
    <row r="14" spans="1:13" ht="15.75" thickBot="1">
      <c r="A14" s="19">
        <v>10</v>
      </c>
      <c r="B14" s="45" t="s">
        <v>221</v>
      </c>
      <c r="C14" s="56">
        <v>742.69268</v>
      </c>
      <c r="D14" s="56">
        <v>0</v>
      </c>
      <c r="E14" s="50">
        <f>C14/F14</f>
        <v>2970.77072</v>
      </c>
      <c r="F14" s="48">
        <v>0.25</v>
      </c>
      <c r="H14" s="23">
        <v>10</v>
      </c>
      <c r="I14" s="46" t="s">
        <v>1</v>
      </c>
      <c r="J14" s="62">
        <f>J5+J10</f>
        <v>20634.861830000002</v>
      </c>
      <c r="K14" s="62">
        <f>K5+K10</f>
        <v>10025.43</v>
      </c>
      <c r="L14" s="62">
        <f>L5+L10</f>
        <v>10412.305667658784</v>
      </c>
      <c r="M14" s="63">
        <v>0</v>
      </c>
    </row>
    <row r="15" spans="1:13" ht="15.75" thickBot="1">
      <c r="A15" s="23">
        <v>11</v>
      </c>
      <c r="B15" s="46" t="s">
        <v>1</v>
      </c>
      <c r="C15" s="62">
        <f>C5+C10</f>
        <v>20634.861830000002</v>
      </c>
      <c r="D15" s="62">
        <f>D5+D10</f>
        <v>10025.43</v>
      </c>
      <c r="E15" s="62">
        <f>E5+E10</f>
        <v>10412.305667658784</v>
      </c>
      <c r="F15" s="63">
        <v>0</v>
      </c>
    </row>
  </sheetData>
  <protectedRanges>
    <protectedRange sqref="C7:D8" name="Oblast1"/>
    <protectedRange sqref="J7:K8" name="Oblast1_1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M16"/>
  <sheetViews>
    <sheetView zoomScale="85" zoomScaleNormal="85" workbookViewId="0">
      <selection activeCell="H1" sqref="H1:M65536"/>
    </sheetView>
  </sheetViews>
  <sheetFormatPr defaultRowHeight="15"/>
  <cols>
    <col min="1" max="1" width="3.42578125" customWidth="1"/>
    <col min="2" max="2" width="49.5703125" customWidth="1"/>
    <col min="3" max="3" width="16.42578125" customWidth="1"/>
    <col min="4" max="4" width="24.28515625" customWidth="1"/>
    <col min="5" max="5" width="17.28515625" customWidth="1"/>
    <col min="6" max="6" width="17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ht="15.75">
      <c r="A1" s="480" t="s">
        <v>53</v>
      </c>
      <c r="B1" s="481"/>
      <c r="C1" s="481"/>
      <c r="D1" s="481"/>
      <c r="E1" s="481"/>
      <c r="F1" s="481"/>
    </row>
    <row r="2" spans="1:13" ht="15.75" thickBot="1">
      <c r="A2" s="482" t="s">
        <v>29</v>
      </c>
      <c r="B2" s="483"/>
      <c r="C2" s="483"/>
      <c r="D2" s="483"/>
      <c r="E2" s="483"/>
      <c r="F2" s="483"/>
    </row>
    <row r="3" spans="1:13" ht="25.5">
      <c r="A3" s="484" t="s">
        <v>54</v>
      </c>
      <c r="B3" s="485" t="s">
        <v>2</v>
      </c>
      <c r="C3" s="108" t="s">
        <v>24</v>
      </c>
      <c r="D3" s="108" t="s">
        <v>55</v>
      </c>
      <c r="E3" s="109" t="s">
        <v>56</v>
      </c>
      <c r="F3" s="108" t="s">
        <v>57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.75" thickBot="1">
      <c r="A4" s="484"/>
      <c r="B4" s="485"/>
      <c r="C4" s="108" t="s">
        <v>5</v>
      </c>
      <c r="D4" s="108" t="s">
        <v>6</v>
      </c>
      <c r="E4" s="108" t="s">
        <v>7</v>
      </c>
      <c r="F4" s="108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 ht="25.5">
      <c r="A5" s="110">
        <v>1</v>
      </c>
      <c r="B5" s="111" t="s">
        <v>58</v>
      </c>
      <c r="C5" s="112">
        <f>SUM(C6:C9)</f>
        <v>26321</v>
      </c>
      <c r="D5" s="112">
        <f>SUM(D6:D9)</f>
        <v>22314</v>
      </c>
      <c r="E5" s="112">
        <f>SUM(E6:E9)</f>
        <v>8907</v>
      </c>
      <c r="F5" s="113">
        <v>0</v>
      </c>
      <c r="H5" s="35">
        <v>1</v>
      </c>
      <c r="I5" s="38" t="s">
        <v>17</v>
      </c>
      <c r="J5" s="53">
        <f>SUM(J6:J9)</f>
        <v>26321</v>
      </c>
      <c r="K5" s="53">
        <f>SUM(K6:K9)</f>
        <v>22314</v>
      </c>
      <c r="L5" s="53">
        <f>SUM(L6:L9)</f>
        <v>8907</v>
      </c>
      <c r="M5" s="54">
        <v>0</v>
      </c>
    </row>
    <row r="6" spans="1:13" ht="25.5">
      <c r="A6" s="114">
        <v>2</v>
      </c>
      <c r="B6" s="115" t="s">
        <v>59</v>
      </c>
      <c r="C6" s="116">
        <v>3847</v>
      </c>
      <c r="D6" s="117">
        <v>0</v>
      </c>
      <c r="E6" s="118">
        <v>7725</v>
      </c>
      <c r="F6" s="119">
        <f>+C6*1000/E6</f>
        <v>497.99352750809061</v>
      </c>
      <c r="H6" s="19">
        <v>2</v>
      </c>
      <c r="I6" s="39" t="s">
        <v>3</v>
      </c>
      <c r="J6" s="55">
        <v>3847</v>
      </c>
      <c r="K6" s="56">
        <v>0</v>
      </c>
      <c r="L6" s="50">
        <v>7725</v>
      </c>
      <c r="M6" s="57">
        <v>497.99352750809061</v>
      </c>
    </row>
    <row r="7" spans="1:13">
      <c r="A7" s="114">
        <v>3</v>
      </c>
      <c r="B7" s="120" t="s">
        <v>60</v>
      </c>
      <c r="C7" s="117">
        <v>22308</v>
      </c>
      <c r="D7" s="117">
        <v>22308</v>
      </c>
      <c r="E7" s="118">
        <v>1173</v>
      </c>
      <c r="F7" s="119">
        <f>+D7/E7*1000</f>
        <v>19017.902813299235</v>
      </c>
      <c r="H7" s="19">
        <v>3</v>
      </c>
      <c r="I7" s="40" t="s">
        <v>10</v>
      </c>
      <c r="J7" s="56">
        <v>22308</v>
      </c>
      <c r="K7" s="56">
        <v>22308</v>
      </c>
      <c r="L7" s="50">
        <v>1173</v>
      </c>
      <c r="M7" s="52">
        <v>19017.902813299235</v>
      </c>
    </row>
    <row r="8" spans="1:13">
      <c r="A8" s="114">
        <v>4</v>
      </c>
      <c r="B8" s="120" t="s">
        <v>61</v>
      </c>
      <c r="C8" s="117">
        <v>6</v>
      </c>
      <c r="D8" s="117">
        <v>6</v>
      </c>
      <c r="E8" s="118">
        <v>2</v>
      </c>
      <c r="F8" s="119">
        <f>+C8*1000/E8</f>
        <v>3000</v>
      </c>
      <c r="H8" s="19">
        <v>4</v>
      </c>
      <c r="I8" s="40" t="s">
        <v>11</v>
      </c>
      <c r="J8" s="56">
        <v>6</v>
      </c>
      <c r="K8" s="56">
        <v>6</v>
      </c>
      <c r="L8" s="50">
        <v>2</v>
      </c>
      <c r="M8" s="52">
        <v>3000</v>
      </c>
    </row>
    <row r="9" spans="1:13">
      <c r="A9" s="114">
        <v>5</v>
      </c>
      <c r="B9" s="115" t="s">
        <v>62</v>
      </c>
      <c r="C9" s="117">
        <v>160</v>
      </c>
      <c r="D9" s="117">
        <v>0</v>
      </c>
      <c r="E9" s="118">
        <v>7</v>
      </c>
      <c r="F9" s="119">
        <f>+C9*1000/E9</f>
        <v>22857.142857142859</v>
      </c>
      <c r="H9" s="19">
        <v>5</v>
      </c>
      <c r="I9" s="41" t="s">
        <v>4</v>
      </c>
      <c r="J9" s="56">
        <v>160</v>
      </c>
      <c r="K9" s="56">
        <v>0</v>
      </c>
      <c r="L9" s="50">
        <v>7</v>
      </c>
      <c r="M9" s="52">
        <v>22857.142857142859</v>
      </c>
    </row>
    <row r="10" spans="1:13" ht="25.5">
      <c r="A10" s="110">
        <v>6</v>
      </c>
      <c r="B10" s="121" t="s">
        <v>63</v>
      </c>
      <c r="C10" s="112">
        <f>SUM(C11:C15)</f>
        <v>17926</v>
      </c>
      <c r="D10" s="113">
        <v>0</v>
      </c>
      <c r="E10" s="112">
        <f>SUM(E11:E15)</f>
        <v>4872</v>
      </c>
      <c r="F10" s="113">
        <v>0</v>
      </c>
      <c r="H10" s="36">
        <v>6</v>
      </c>
      <c r="I10" s="42" t="s">
        <v>33</v>
      </c>
      <c r="J10" s="58">
        <f>SUM(J11:J13)</f>
        <v>17926</v>
      </c>
      <c r="K10" s="138">
        <v>0</v>
      </c>
      <c r="L10" s="58">
        <f>SUM(L11:L13)</f>
        <v>4872</v>
      </c>
      <c r="M10" s="60">
        <v>0</v>
      </c>
    </row>
    <row r="11" spans="1:13">
      <c r="A11" s="114">
        <v>7</v>
      </c>
      <c r="B11" s="115" t="s">
        <v>13</v>
      </c>
      <c r="C11" s="117">
        <v>14243</v>
      </c>
      <c r="D11" s="117">
        <v>0</v>
      </c>
      <c r="E11" s="118">
        <v>1287</v>
      </c>
      <c r="F11" s="119">
        <f>+C11*1000/E11</f>
        <v>11066.822066822067</v>
      </c>
      <c r="H11" s="19">
        <v>7</v>
      </c>
      <c r="I11" s="43" t="s">
        <v>13</v>
      </c>
      <c r="J11" s="56">
        <v>14243</v>
      </c>
      <c r="K11" s="56">
        <v>0</v>
      </c>
      <c r="L11" s="50">
        <v>1287</v>
      </c>
      <c r="M11" s="52">
        <v>11066.822066822067</v>
      </c>
    </row>
    <row r="12" spans="1:13">
      <c r="A12" s="114">
        <v>8</v>
      </c>
      <c r="B12" s="115" t="s">
        <v>12</v>
      </c>
      <c r="C12" s="117">
        <v>2916</v>
      </c>
      <c r="D12" s="117">
        <v>0</v>
      </c>
      <c r="E12" s="118">
        <v>1040</v>
      </c>
      <c r="F12" s="119">
        <f>+C12*1000/E12</f>
        <v>2803.8461538461538</v>
      </c>
      <c r="H12" s="19">
        <v>8</v>
      </c>
      <c r="I12" s="44" t="s">
        <v>12</v>
      </c>
      <c r="J12" s="56">
        <v>2916</v>
      </c>
      <c r="K12" s="56">
        <v>0</v>
      </c>
      <c r="L12" s="50">
        <v>1040</v>
      </c>
      <c r="M12" s="48">
        <v>2803.8461538461538</v>
      </c>
    </row>
    <row r="13" spans="1:13" ht="15.75" thickBot="1">
      <c r="A13" s="114">
        <v>9</v>
      </c>
      <c r="B13" s="115" t="s">
        <v>64</v>
      </c>
      <c r="C13" s="117">
        <v>578</v>
      </c>
      <c r="D13" s="117">
        <v>0</v>
      </c>
      <c r="E13" s="118">
        <v>787</v>
      </c>
      <c r="F13" s="119">
        <f>+C13*1000/E13</f>
        <v>734.43456162642951</v>
      </c>
      <c r="H13" s="20">
        <v>9</v>
      </c>
      <c r="I13" s="45"/>
      <c r="J13" s="61">
        <f>SUM(C13:C15)</f>
        <v>767</v>
      </c>
      <c r="K13" s="61">
        <f>SUM(D13:D15)</f>
        <v>0</v>
      </c>
      <c r="L13" s="61">
        <f>SUM(E13:E15)</f>
        <v>2545</v>
      </c>
      <c r="M13" s="61"/>
    </row>
    <row r="14" spans="1:13" ht="15.75" thickBot="1">
      <c r="A14" s="114">
        <v>10</v>
      </c>
      <c r="B14" s="115" t="s">
        <v>65</v>
      </c>
      <c r="C14" s="117">
        <f>189-27</f>
        <v>162</v>
      </c>
      <c r="D14" s="117">
        <v>0</v>
      </c>
      <c r="E14" s="118">
        <v>1622</v>
      </c>
      <c r="F14" s="119">
        <f>+C14*1000/E14</f>
        <v>99.8766954377312</v>
      </c>
      <c r="H14" s="23">
        <v>10</v>
      </c>
      <c r="I14" s="46" t="s">
        <v>1</v>
      </c>
      <c r="J14" s="62">
        <f>J5+J10</f>
        <v>44247</v>
      </c>
      <c r="K14" s="62">
        <f>K5+K10</f>
        <v>22314</v>
      </c>
      <c r="L14" s="62">
        <f>L5+L10</f>
        <v>13779</v>
      </c>
      <c r="M14" s="63">
        <v>0</v>
      </c>
    </row>
    <row r="15" spans="1:13">
      <c r="A15" s="114">
        <v>11</v>
      </c>
      <c r="B15" s="115" t="s">
        <v>66</v>
      </c>
      <c r="C15" s="117">
        <v>27</v>
      </c>
      <c r="D15" s="117">
        <v>0</v>
      </c>
      <c r="E15" s="118">
        <v>136</v>
      </c>
      <c r="F15" s="119">
        <f>+C15*1000/E15</f>
        <v>198.52941176470588</v>
      </c>
    </row>
    <row r="16" spans="1:13">
      <c r="A16" s="114">
        <v>12</v>
      </c>
      <c r="B16" s="122" t="s">
        <v>1</v>
      </c>
      <c r="C16" s="123">
        <f>+C10+C5</f>
        <v>44247</v>
      </c>
      <c r="D16" s="123">
        <f>+D10+D5</f>
        <v>22314</v>
      </c>
      <c r="E16" s="123"/>
      <c r="F16" s="124">
        <v>0</v>
      </c>
    </row>
  </sheetData>
  <protectedRanges>
    <protectedRange sqref="J7:K8" name="Oblast1_1"/>
  </protectedRanges>
  <mergeCells count="6">
    <mergeCell ref="A1:F1"/>
    <mergeCell ref="A2:F2"/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M14"/>
  <sheetViews>
    <sheetView zoomScale="85" zoomScaleNormal="85" workbookViewId="0">
      <selection activeCell="H1" sqref="H1:M65536"/>
    </sheetView>
  </sheetViews>
  <sheetFormatPr defaultRowHeight="15"/>
  <cols>
    <col min="1" max="1" width="3.42578125" customWidth="1"/>
    <col min="2" max="2" width="49.5703125" customWidth="1"/>
    <col min="3" max="3" width="16.42578125" customWidth="1"/>
    <col min="4" max="4" width="17.7109375" customWidth="1"/>
    <col min="5" max="5" width="17.28515625" customWidth="1"/>
    <col min="6" max="6" width="17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s="12" customFormat="1"/>
    <row r="2" spans="1:13" ht="15.75" thickBot="1">
      <c r="A2" s="97"/>
      <c r="B2" s="98"/>
      <c r="C2" s="98"/>
      <c r="D2" s="99"/>
      <c r="E2" s="98"/>
      <c r="F2" s="100" t="s">
        <v>9</v>
      </c>
    </row>
    <row r="3" spans="1:13" ht="25.5">
      <c r="A3" s="472" t="s">
        <v>0</v>
      </c>
      <c r="B3" s="474" t="s">
        <v>2</v>
      </c>
      <c r="C3" s="47" t="s">
        <v>24</v>
      </c>
      <c r="D3" s="47" t="s">
        <v>48</v>
      </c>
      <c r="E3" s="26" t="s">
        <v>31</v>
      </c>
      <c r="F3" s="27" t="s">
        <v>32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.75" thickBot="1">
      <c r="A4" s="473"/>
      <c r="B4" s="475"/>
      <c r="C4" s="64" t="s">
        <v>5</v>
      </c>
      <c r="D4" s="64" t="s">
        <v>6</v>
      </c>
      <c r="E4" s="64" t="s">
        <v>7</v>
      </c>
      <c r="F4" s="22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>
      <c r="A5" s="101">
        <v>1</v>
      </c>
      <c r="B5" s="38" t="s">
        <v>17</v>
      </c>
      <c r="C5" s="53">
        <f>SUM(C6:C9)</f>
        <v>6136</v>
      </c>
      <c r="D5" s="53">
        <f>SUM(D6:D9)</f>
        <v>10624</v>
      </c>
      <c r="E5" s="53">
        <f>SUM(E6:E9)</f>
        <v>11489</v>
      </c>
      <c r="F5" s="54">
        <v>0</v>
      </c>
      <c r="H5" s="35">
        <v>1</v>
      </c>
      <c r="I5" s="38" t="s">
        <v>17</v>
      </c>
      <c r="J5" s="53">
        <f>SUM(J6:J9)</f>
        <v>16760</v>
      </c>
      <c r="K5" s="53">
        <f>SUM(K6:K9)</f>
        <v>10624</v>
      </c>
      <c r="L5" s="53">
        <f>SUM(L6:L9)</f>
        <v>11489</v>
      </c>
      <c r="M5" s="54">
        <v>0</v>
      </c>
    </row>
    <row r="6" spans="1:13" ht="24">
      <c r="A6" s="19">
        <v>2</v>
      </c>
      <c r="B6" s="39" t="s">
        <v>3</v>
      </c>
      <c r="C6" s="102">
        <v>5136</v>
      </c>
      <c r="D6" s="56">
        <v>0</v>
      </c>
      <c r="E6" s="103">
        <v>10474</v>
      </c>
      <c r="F6" s="104">
        <v>0.5</v>
      </c>
      <c r="H6" s="19">
        <v>2</v>
      </c>
      <c r="I6" s="39" t="s">
        <v>3</v>
      </c>
      <c r="J6" s="55">
        <v>5136</v>
      </c>
      <c r="K6" s="56">
        <v>0</v>
      </c>
      <c r="L6" s="50">
        <v>10474</v>
      </c>
      <c r="M6" s="57">
        <v>0.5</v>
      </c>
    </row>
    <row r="7" spans="1:13">
      <c r="A7" s="19">
        <v>3</v>
      </c>
      <c r="B7" s="40" t="s">
        <v>10</v>
      </c>
      <c r="C7" s="56">
        <v>0</v>
      </c>
      <c r="D7" s="56">
        <v>10624</v>
      </c>
      <c r="E7" s="103">
        <v>814</v>
      </c>
      <c r="F7" s="105">
        <f>D7/E7</f>
        <v>13.051597051597051</v>
      </c>
      <c r="H7" s="19">
        <v>3</v>
      </c>
      <c r="I7" s="40" t="s">
        <v>10</v>
      </c>
      <c r="J7" s="56">
        <v>10624</v>
      </c>
      <c r="K7" s="56">
        <v>10624</v>
      </c>
      <c r="L7" s="50">
        <v>814</v>
      </c>
      <c r="M7" s="52">
        <v>13.051597051597051</v>
      </c>
    </row>
    <row r="8" spans="1:13">
      <c r="A8" s="19">
        <v>4</v>
      </c>
      <c r="B8" s="40" t="s">
        <v>11</v>
      </c>
      <c r="C8" s="56">
        <v>0</v>
      </c>
      <c r="D8" s="56">
        <v>0</v>
      </c>
      <c r="E8" s="103">
        <v>0</v>
      </c>
      <c r="F8" s="105" t="s">
        <v>49</v>
      </c>
      <c r="H8" s="19">
        <v>4</v>
      </c>
      <c r="I8" s="40" t="s">
        <v>11</v>
      </c>
      <c r="J8" s="56">
        <v>0</v>
      </c>
      <c r="K8" s="56">
        <v>0</v>
      </c>
      <c r="L8" s="50">
        <v>0</v>
      </c>
      <c r="M8" s="52" t="s">
        <v>49</v>
      </c>
    </row>
    <row r="9" spans="1:13">
      <c r="A9" s="19">
        <v>5</v>
      </c>
      <c r="B9" s="41" t="s">
        <v>4</v>
      </c>
      <c r="C9" s="56">
        <v>1000</v>
      </c>
      <c r="D9" s="56">
        <v>0</v>
      </c>
      <c r="E9" s="103">
        <v>201</v>
      </c>
      <c r="F9" s="105">
        <f>C9/E9</f>
        <v>4.9751243781094523</v>
      </c>
      <c r="H9" s="19">
        <v>5</v>
      </c>
      <c r="I9" s="41" t="s">
        <v>4</v>
      </c>
      <c r="J9" s="56">
        <v>1000</v>
      </c>
      <c r="K9" s="56">
        <v>0</v>
      </c>
      <c r="L9" s="50">
        <v>201</v>
      </c>
      <c r="M9" s="52">
        <v>4.9751243781094523</v>
      </c>
    </row>
    <row r="10" spans="1:13">
      <c r="A10" s="106">
        <v>6</v>
      </c>
      <c r="B10" s="42" t="s">
        <v>33</v>
      </c>
      <c r="C10" s="58">
        <f>SUM(C11:C13)</f>
        <v>20366</v>
      </c>
      <c r="D10" s="59">
        <v>0</v>
      </c>
      <c r="E10" s="58">
        <f>SUM(E11:E13)</f>
        <v>12574</v>
      </c>
      <c r="F10" s="60">
        <v>0</v>
      </c>
      <c r="H10" s="36">
        <v>6</v>
      </c>
      <c r="I10" s="42" t="s">
        <v>33</v>
      </c>
      <c r="J10" s="58">
        <f>SUM(J11:J13)</f>
        <v>20366</v>
      </c>
      <c r="K10" s="138">
        <v>0</v>
      </c>
      <c r="L10" s="58">
        <f>SUM(L11:L13)</f>
        <v>12574</v>
      </c>
      <c r="M10" s="60">
        <v>0</v>
      </c>
    </row>
    <row r="11" spans="1:13">
      <c r="A11" s="19">
        <v>7</v>
      </c>
      <c r="B11" s="43" t="s">
        <v>50</v>
      </c>
      <c r="C11" s="56">
        <v>16023</v>
      </c>
      <c r="D11" s="56">
        <v>0</v>
      </c>
      <c r="E11" s="103">
        <f>8730+1977+69</f>
        <v>10776</v>
      </c>
      <c r="F11" s="105">
        <f>C11/E11</f>
        <v>1.4869153674832962</v>
      </c>
      <c r="H11" s="19">
        <v>7</v>
      </c>
      <c r="I11" s="43" t="s">
        <v>13</v>
      </c>
      <c r="J11" s="56">
        <v>16023</v>
      </c>
      <c r="K11" s="56">
        <v>0</v>
      </c>
      <c r="L11" s="50">
        <v>10776</v>
      </c>
      <c r="M11" s="52">
        <v>1.4869153674832962</v>
      </c>
    </row>
    <row r="12" spans="1:13">
      <c r="A12" s="19">
        <v>8</v>
      </c>
      <c r="B12" s="44" t="s">
        <v>51</v>
      </c>
      <c r="C12" s="56">
        <v>617</v>
      </c>
      <c r="D12" s="56">
        <v>0</v>
      </c>
      <c r="E12" s="103">
        <v>1798</v>
      </c>
      <c r="F12" s="105">
        <f>C12/E12</f>
        <v>0.34315906562847609</v>
      </c>
      <c r="H12" s="19">
        <v>8</v>
      </c>
      <c r="I12" s="44" t="s">
        <v>12</v>
      </c>
      <c r="J12" s="56">
        <v>617</v>
      </c>
      <c r="K12" s="56">
        <v>0</v>
      </c>
      <c r="L12" s="50">
        <v>1798</v>
      </c>
      <c r="M12" s="48">
        <v>0.34315906562847609</v>
      </c>
    </row>
    <row r="13" spans="1:13" ht="15.75" thickBot="1">
      <c r="A13" s="19">
        <v>9</v>
      </c>
      <c r="B13" s="45" t="s">
        <v>52</v>
      </c>
      <c r="C13" s="61">
        <v>3726</v>
      </c>
      <c r="D13" s="61">
        <v>0</v>
      </c>
      <c r="E13" s="51" t="s">
        <v>49</v>
      </c>
      <c r="F13" s="107"/>
      <c r="H13" s="20">
        <v>9</v>
      </c>
      <c r="I13" s="45"/>
      <c r="J13" s="61">
        <v>3726</v>
      </c>
      <c r="K13" s="61">
        <v>0</v>
      </c>
      <c r="L13" s="51" t="s">
        <v>49</v>
      </c>
      <c r="M13" s="245"/>
    </row>
    <row r="14" spans="1:13" ht="15.75" thickBot="1">
      <c r="A14" s="23">
        <v>10</v>
      </c>
      <c r="B14" s="46" t="s">
        <v>1</v>
      </c>
      <c r="C14" s="62">
        <f>C5+C10</f>
        <v>26502</v>
      </c>
      <c r="D14" s="62">
        <f>D5+D10</f>
        <v>10624</v>
      </c>
      <c r="E14" s="62">
        <f>E5+E10</f>
        <v>24063</v>
      </c>
      <c r="F14" s="63">
        <v>0</v>
      </c>
      <c r="H14" s="23">
        <v>10</v>
      </c>
      <c r="I14" s="46" t="s">
        <v>1</v>
      </c>
      <c r="J14" s="62">
        <f>J5+J10</f>
        <v>37126</v>
      </c>
      <c r="K14" s="62">
        <f>K5+K10</f>
        <v>10624</v>
      </c>
      <c r="L14" s="62">
        <f>L5+L10</f>
        <v>24063</v>
      </c>
      <c r="M14" s="63">
        <v>0</v>
      </c>
    </row>
  </sheetData>
  <protectedRanges>
    <protectedRange sqref="D7:D8" name="Oblast1"/>
    <protectedRange sqref="J7:K8" name="Oblast1_2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M17"/>
  <sheetViews>
    <sheetView zoomScale="85" zoomScaleNormal="85" workbookViewId="0">
      <selection activeCell="H1" sqref="H1:M65536"/>
    </sheetView>
  </sheetViews>
  <sheetFormatPr defaultRowHeight="15"/>
  <cols>
    <col min="1" max="1" width="3.5703125" customWidth="1"/>
    <col min="2" max="2" width="49.5703125" customWidth="1"/>
    <col min="3" max="3" width="16.42578125" customWidth="1"/>
    <col min="4" max="4" width="17.7109375" customWidth="1"/>
    <col min="5" max="5" width="17.28515625" customWidth="1"/>
    <col min="6" max="6" width="17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ht="15.75">
      <c r="A1" s="28" t="s">
        <v>67</v>
      </c>
      <c r="B1" s="1"/>
      <c r="C1" s="2"/>
      <c r="D1" s="2"/>
      <c r="E1" s="2"/>
      <c r="F1" s="4"/>
    </row>
    <row r="2" spans="1:13" ht="15.75" thickBot="1">
      <c r="A2" s="5"/>
      <c r="B2" s="2"/>
      <c r="C2" s="2"/>
      <c r="D2" s="3"/>
      <c r="E2" s="2"/>
      <c r="F2" s="15"/>
    </row>
    <row r="3" spans="1:13" ht="25.5">
      <c r="A3" s="472" t="s">
        <v>68</v>
      </c>
      <c r="B3" s="474" t="s">
        <v>2</v>
      </c>
      <c r="C3" s="47" t="s">
        <v>24</v>
      </c>
      <c r="D3" s="47" t="s">
        <v>48</v>
      </c>
      <c r="E3" s="127" t="s">
        <v>31</v>
      </c>
      <c r="F3" s="128" t="s">
        <v>32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.75" thickBot="1">
      <c r="A4" s="473"/>
      <c r="B4" s="475"/>
      <c r="C4" s="125" t="s">
        <v>5</v>
      </c>
      <c r="D4" s="125" t="s">
        <v>6</v>
      </c>
      <c r="E4" s="125" t="s">
        <v>7</v>
      </c>
      <c r="F4" s="22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>
      <c r="A5" s="101">
        <v>1</v>
      </c>
      <c r="B5" s="38" t="s">
        <v>17</v>
      </c>
      <c r="C5" s="53">
        <f>SUM(C6:C9)</f>
        <v>248947</v>
      </c>
      <c r="D5" s="53">
        <f>SUM(D6:D9)</f>
        <v>54912</v>
      </c>
      <c r="E5" s="53">
        <f>SUM(E6:E9)</f>
        <v>55507</v>
      </c>
      <c r="F5" s="54">
        <v>0</v>
      </c>
      <c r="H5" s="35">
        <v>1</v>
      </c>
      <c r="I5" s="38" t="s">
        <v>17</v>
      </c>
      <c r="J5" s="53">
        <f>SUM(J6:J9)</f>
        <v>248947</v>
      </c>
      <c r="K5" s="53">
        <f>SUM(K6:K9)</f>
        <v>54912</v>
      </c>
      <c r="L5" s="53">
        <f>SUM(L6:L9)</f>
        <v>55507</v>
      </c>
      <c r="M5" s="54">
        <v>0</v>
      </c>
    </row>
    <row r="6" spans="1:13" ht="24">
      <c r="A6" s="19">
        <v>2</v>
      </c>
      <c r="B6" s="39" t="s">
        <v>3</v>
      </c>
      <c r="C6" s="102">
        <v>21903</v>
      </c>
      <c r="D6" s="129">
        <v>0</v>
      </c>
      <c r="E6" s="103">
        <v>50373</v>
      </c>
      <c r="F6" s="57">
        <f>C6*1000/E6</f>
        <v>434.8162706211661</v>
      </c>
      <c r="H6" s="19">
        <v>2</v>
      </c>
      <c r="I6" s="39" t="s">
        <v>3</v>
      </c>
      <c r="J6" s="55">
        <v>21903</v>
      </c>
      <c r="K6" s="56">
        <v>0</v>
      </c>
      <c r="L6" s="50">
        <v>50373</v>
      </c>
      <c r="M6" s="57">
        <v>434.8162706211661</v>
      </c>
    </row>
    <row r="7" spans="1:13">
      <c r="A7" s="19">
        <v>3</v>
      </c>
      <c r="B7" s="40" t="s">
        <v>10</v>
      </c>
      <c r="C7" s="130">
        <v>54998</v>
      </c>
      <c r="D7" s="129">
        <v>54912</v>
      </c>
      <c r="E7" s="103">
        <v>4222</v>
      </c>
      <c r="F7" s="57">
        <f>C7*1000/E7</f>
        <v>13026.527711984842</v>
      </c>
      <c r="H7" s="19">
        <v>3</v>
      </c>
      <c r="I7" s="40" t="s">
        <v>10</v>
      </c>
      <c r="J7" s="56">
        <v>54998</v>
      </c>
      <c r="K7" s="56">
        <v>54912</v>
      </c>
      <c r="L7" s="50">
        <v>4222</v>
      </c>
      <c r="M7" s="52">
        <v>13026.527711984842</v>
      </c>
    </row>
    <row r="8" spans="1:13">
      <c r="A8" s="19">
        <v>4</v>
      </c>
      <c r="B8" s="40" t="s">
        <v>11</v>
      </c>
      <c r="C8" s="56">
        <v>0</v>
      </c>
      <c r="D8" s="129">
        <v>0</v>
      </c>
      <c r="E8" s="129">
        <v>0</v>
      </c>
      <c r="F8" s="131">
        <v>0</v>
      </c>
      <c r="H8" s="19">
        <v>4</v>
      </c>
      <c r="I8" s="40" t="s">
        <v>11</v>
      </c>
      <c r="J8" s="56">
        <v>0</v>
      </c>
      <c r="K8" s="56">
        <v>0</v>
      </c>
      <c r="L8" s="50">
        <v>0</v>
      </c>
      <c r="M8" s="52">
        <v>0</v>
      </c>
    </row>
    <row r="9" spans="1:13">
      <c r="A9" s="19">
        <v>5</v>
      </c>
      <c r="B9" s="41" t="s">
        <v>4</v>
      </c>
      <c r="C9" s="129">
        <f>172046</f>
        <v>172046</v>
      </c>
      <c r="D9" s="129">
        <v>0</v>
      </c>
      <c r="E9" s="103">
        <v>912</v>
      </c>
      <c r="F9" s="57">
        <f>C9*1000/E9</f>
        <v>188646.9298245614</v>
      </c>
      <c r="H9" s="19">
        <v>5</v>
      </c>
      <c r="I9" s="41" t="s">
        <v>4</v>
      </c>
      <c r="J9" s="56">
        <v>172046</v>
      </c>
      <c r="K9" s="56">
        <v>0</v>
      </c>
      <c r="L9" s="50">
        <v>912</v>
      </c>
      <c r="M9" s="52">
        <v>188646.9298245614</v>
      </c>
    </row>
    <row r="10" spans="1:13">
      <c r="A10" s="106">
        <v>6</v>
      </c>
      <c r="B10" s="42" t="s">
        <v>33</v>
      </c>
      <c r="C10" s="58">
        <f>SUM(C11:C16)</f>
        <v>49125</v>
      </c>
      <c r="D10" s="59">
        <f>SUM(D11:D16)</f>
        <v>0</v>
      </c>
      <c r="E10" s="58">
        <f>SUM(E11:E16)</f>
        <v>19487</v>
      </c>
      <c r="F10" s="60">
        <v>0</v>
      </c>
      <c r="H10" s="36">
        <v>6</v>
      </c>
      <c r="I10" s="42" t="s">
        <v>33</v>
      </c>
      <c r="J10" s="58">
        <f>SUM(J11:J13)</f>
        <v>49125</v>
      </c>
      <c r="K10" s="138">
        <v>0</v>
      </c>
      <c r="L10" s="58">
        <f>SUM(L11:L13)</f>
        <v>19487</v>
      </c>
      <c r="M10" s="60">
        <v>0</v>
      </c>
    </row>
    <row r="11" spans="1:13">
      <c r="A11" s="19">
        <v>7</v>
      </c>
      <c r="B11" s="43" t="s">
        <v>13</v>
      </c>
      <c r="C11" s="129">
        <v>43184</v>
      </c>
      <c r="D11" s="129">
        <v>0</v>
      </c>
      <c r="E11" s="103">
        <v>15074</v>
      </c>
      <c r="F11" s="52">
        <f>C11*1000/E11</f>
        <v>2864.8003184290833</v>
      </c>
      <c r="H11" s="19">
        <v>7</v>
      </c>
      <c r="I11" s="43" t="s">
        <v>13</v>
      </c>
      <c r="J11" s="56">
        <v>43184</v>
      </c>
      <c r="K11" s="56">
        <v>0</v>
      </c>
      <c r="L11" s="50">
        <v>15074</v>
      </c>
      <c r="M11" s="52">
        <v>2864.8003184290833</v>
      </c>
    </row>
    <row r="12" spans="1:13">
      <c r="A12" s="19">
        <v>8</v>
      </c>
      <c r="B12" s="44" t="s">
        <v>12</v>
      </c>
      <c r="C12" s="129">
        <v>1929</v>
      </c>
      <c r="D12" s="129">
        <v>0</v>
      </c>
      <c r="E12" s="103">
        <v>3923</v>
      </c>
      <c r="F12" s="52">
        <f>C12*1000/E12</f>
        <v>491.71552383380066</v>
      </c>
      <c r="H12" s="19">
        <v>8</v>
      </c>
      <c r="I12" s="44" t="s">
        <v>12</v>
      </c>
      <c r="J12" s="56">
        <v>1929</v>
      </c>
      <c r="K12" s="56">
        <v>0</v>
      </c>
      <c r="L12" s="50">
        <v>3923</v>
      </c>
      <c r="M12" s="48">
        <v>491.71552383380066</v>
      </c>
    </row>
    <row r="13" spans="1:13" ht="15.75" thickBot="1">
      <c r="A13" s="20">
        <v>9</v>
      </c>
      <c r="B13" s="45" t="s">
        <v>69</v>
      </c>
      <c r="C13" s="132">
        <v>1503</v>
      </c>
      <c r="D13" s="132">
        <v>0</v>
      </c>
      <c r="E13" s="133">
        <v>490</v>
      </c>
      <c r="F13" s="52">
        <f>C13*1000/E13</f>
        <v>3067.3469387755104</v>
      </c>
      <c r="H13" s="20">
        <v>9</v>
      </c>
      <c r="I13" s="45"/>
      <c r="J13" s="61">
        <f>SUM(C13:C16)</f>
        <v>4012</v>
      </c>
      <c r="K13" s="61">
        <f>SUM(D13:D16)</f>
        <v>0</v>
      </c>
      <c r="L13" s="51">
        <f>SUM(E13:E16)</f>
        <v>490</v>
      </c>
      <c r="M13" s="245"/>
    </row>
    <row r="14" spans="1:13" ht="15.75" thickBot="1">
      <c r="A14" s="134">
        <v>10</v>
      </c>
      <c r="B14" s="135" t="s">
        <v>70</v>
      </c>
      <c r="C14" s="132">
        <v>2158</v>
      </c>
      <c r="D14" s="132">
        <v>0</v>
      </c>
      <c r="E14" s="129">
        <v>0</v>
      </c>
      <c r="F14" s="136">
        <v>0</v>
      </c>
      <c r="H14" s="23">
        <v>10</v>
      </c>
      <c r="I14" s="46" t="s">
        <v>1</v>
      </c>
      <c r="J14" s="62">
        <f>J5+J10</f>
        <v>298072</v>
      </c>
      <c r="K14" s="62">
        <f>K5+K10</f>
        <v>54912</v>
      </c>
      <c r="L14" s="62">
        <f>L5+L10</f>
        <v>74994</v>
      </c>
      <c r="M14" s="63">
        <v>0</v>
      </c>
    </row>
    <row r="15" spans="1:13">
      <c r="A15" s="134">
        <v>11</v>
      </c>
      <c r="B15" s="135" t="s">
        <v>71</v>
      </c>
      <c r="C15" s="132">
        <v>154</v>
      </c>
      <c r="D15" s="132">
        <v>0</v>
      </c>
      <c r="E15" s="129">
        <v>0</v>
      </c>
      <c r="F15" s="136">
        <v>0</v>
      </c>
    </row>
    <row r="16" spans="1:13" ht="15.75" thickBot="1">
      <c r="A16" s="134">
        <v>12</v>
      </c>
      <c r="B16" s="135" t="s">
        <v>72</v>
      </c>
      <c r="C16" s="132">
        <f>2+1+3+1+10+1+1+16+162</f>
        <v>197</v>
      </c>
      <c r="D16" s="132">
        <v>0</v>
      </c>
      <c r="E16" s="129">
        <v>0</v>
      </c>
      <c r="F16" s="136">
        <v>0</v>
      </c>
    </row>
    <row r="17" spans="1:6" ht="15.75" thickBot="1">
      <c r="A17" s="23">
        <v>10</v>
      </c>
      <c r="B17" s="46" t="s">
        <v>1</v>
      </c>
      <c r="C17" s="62">
        <f>C5+C10</f>
        <v>298072</v>
      </c>
      <c r="D17" s="62">
        <f>D5+D10</f>
        <v>54912</v>
      </c>
      <c r="E17" s="62">
        <f>E5+E10</f>
        <v>74994</v>
      </c>
      <c r="F17" s="63">
        <v>0</v>
      </c>
    </row>
  </sheetData>
  <protectedRanges>
    <protectedRange sqref="J7:K8" name="Oblast1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M14"/>
  <sheetViews>
    <sheetView zoomScale="85" zoomScaleNormal="85" workbookViewId="0">
      <selection activeCell="H1" sqref="H1:M65536"/>
    </sheetView>
  </sheetViews>
  <sheetFormatPr defaultRowHeight="15"/>
  <cols>
    <col min="1" max="1" width="3.42578125" customWidth="1"/>
    <col min="2" max="2" width="49.5703125" customWidth="1"/>
    <col min="3" max="3" width="16.42578125" customWidth="1"/>
    <col min="4" max="4" width="17.7109375" customWidth="1"/>
    <col min="5" max="5" width="17.28515625" customWidth="1"/>
    <col min="6" max="6" width="17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ht="15.75">
      <c r="A1" s="28" t="s">
        <v>19</v>
      </c>
      <c r="B1" s="1"/>
      <c r="C1" s="2"/>
      <c r="D1" s="2"/>
      <c r="E1" s="2"/>
      <c r="F1" s="4"/>
    </row>
    <row r="2" spans="1:13" ht="15.75" thickBot="1">
      <c r="A2" s="5"/>
      <c r="B2" s="2"/>
      <c r="C2" s="2"/>
      <c r="D2" s="3"/>
      <c r="E2" s="2"/>
      <c r="F2" s="15" t="s">
        <v>9</v>
      </c>
    </row>
    <row r="3" spans="1:13" ht="25.5">
      <c r="A3" s="472" t="s">
        <v>0</v>
      </c>
      <c r="B3" s="474" t="s">
        <v>2</v>
      </c>
      <c r="C3" s="47" t="s">
        <v>24</v>
      </c>
      <c r="D3" s="47" t="s">
        <v>48</v>
      </c>
      <c r="E3" s="26" t="s">
        <v>31</v>
      </c>
      <c r="F3" s="27" t="s">
        <v>32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.75" thickBot="1">
      <c r="A4" s="473"/>
      <c r="B4" s="475"/>
      <c r="C4" s="125" t="s">
        <v>5</v>
      </c>
      <c r="D4" s="125" t="s">
        <v>6</v>
      </c>
      <c r="E4" s="125" t="s">
        <v>7</v>
      </c>
      <c r="F4" s="22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>
      <c r="A5" s="35">
        <v>1</v>
      </c>
      <c r="B5" s="38" t="s">
        <v>17</v>
      </c>
      <c r="C5" s="53">
        <f>SUM(C6:C9)</f>
        <v>151066.1</v>
      </c>
      <c r="D5" s="53">
        <f>SUM(D6:D9)</f>
        <v>35095.800000000003</v>
      </c>
      <c r="E5" s="53">
        <f>SUM(E6:E9)</f>
        <v>28521</v>
      </c>
      <c r="F5" s="137">
        <v>0</v>
      </c>
      <c r="H5" s="35">
        <v>1</v>
      </c>
      <c r="I5" s="38" t="s">
        <v>17</v>
      </c>
      <c r="J5" s="53">
        <f>SUM(J6:J9)</f>
        <v>151066.1</v>
      </c>
      <c r="K5" s="53">
        <f>SUM(K6:K9)</f>
        <v>35095.800000000003</v>
      </c>
      <c r="L5" s="53">
        <f>SUM(L6:L9)</f>
        <v>28521</v>
      </c>
      <c r="M5" s="54">
        <v>0</v>
      </c>
    </row>
    <row r="6" spans="1:13" ht="24">
      <c r="A6" s="19">
        <v>2</v>
      </c>
      <c r="B6" s="39" t="s">
        <v>3</v>
      </c>
      <c r="C6" s="102">
        <v>16333</v>
      </c>
      <c r="D6" s="130">
        <v>0</v>
      </c>
      <c r="E6" s="50">
        <v>23453</v>
      </c>
      <c r="F6" s="57">
        <f>C6/E6</f>
        <v>0.69641410480535537</v>
      </c>
      <c r="H6" s="19">
        <v>2</v>
      </c>
      <c r="I6" s="39" t="s">
        <v>3</v>
      </c>
      <c r="J6" s="55">
        <v>16333</v>
      </c>
      <c r="K6" s="56">
        <v>0</v>
      </c>
      <c r="L6" s="50">
        <v>23453</v>
      </c>
      <c r="M6" s="57">
        <v>0.69641410480535537</v>
      </c>
    </row>
    <row r="7" spans="1:13">
      <c r="A7" s="19">
        <v>3</v>
      </c>
      <c r="B7" s="40" t="s">
        <v>10</v>
      </c>
      <c r="C7" s="130">
        <v>34996.5</v>
      </c>
      <c r="D7" s="130">
        <v>34997</v>
      </c>
      <c r="E7" s="50">
        <v>4466</v>
      </c>
      <c r="F7" s="57">
        <f>C7/E7</f>
        <v>7.8362068965517242</v>
      </c>
      <c r="H7" s="19">
        <v>3</v>
      </c>
      <c r="I7" s="40" t="s">
        <v>10</v>
      </c>
      <c r="J7" s="56">
        <v>34996.5</v>
      </c>
      <c r="K7" s="56">
        <v>34997</v>
      </c>
      <c r="L7" s="50">
        <v>4466</v>
      </c>
      <c r="M7" s="52">
        <v>7.8362068965517242</v>
      </c>
    </row>
    <row r="8" spans="1:13">
      <c r="A8" s="19">
        <v>4</v>
      </c>
      <c r="B8" s="40" t="s">
        <v>11</v>
      </c>
      <c r="C8" s="130">
        <v>98.8</v>
      </c>
      <c r="D8" s="130">
        <v>98.8</v>
      </c>
      <c r="E8" s="50">
        <v>9</v>
      </c>
      <c r="F8" s="57">
        <f>C8/E8</f>
        <v>10.977777777777778</v>
      </c>
      <c r="H8" s="19">
        <v>4</v>
      </c>
      <c r="I8" s="40" t="s">
        <v>11</v>
      </c>
      <c r="J8" s="56">
        <v>98.8</v>
      </c>
      <c r="K8" s="56">
        <v>98.8</v>
      </c>
      <c r="L8" s="50">
        <v>9</v>
      </c>
      <c r="M8" s="52">
        <v>10.977777777777778</v>
      </c>
    </row>
    <row r="9" spans="1:13">
      <c r="A9" s="19">
        <v>5</v>
      </c>
      <c r="B9" s="41" t="s">
        <v>4</v>
      </c>
      <c r="C9" s="130">
        <v>99637.8</v>
      </c>
      <c r="D9" s="130">
        <v>0</v>
      </c>
      <c r="E9" s="50">
        <v>593</v>
      </c>
      <c r="F9" s="57">
        <f>C9/E9</f>
        <v>168.02327150084318</v>
      </c>
      <c r="H9" s="19">
        <v>5</v>
      </c>
      <c r="I9" s="41" t="s">
        <v>4</v>
      </c>
      <c r="J9" s="56">
        <v>99637.8</v>
      </c>
      <c r="K9" s="56">
        <v>0</v>
      </c>
      <c r="L9" s="50">
        <v>593</v>
      </c>
      <c r="M9" s="52">
        <v>168.02327150084318</v>
      </c>
    </row>
    <row r="10" spans="1:13">
      <c r="A10" s="36">
        <v>6</v>
      </c>
      <c r="B10" s="42" t="s">
        <v>33</v>
      </c>
      <c r="C10" s="58">
        <f>SUM(C11:C13)</f>
        <v>27515</v>
      </c>
      <c r="D10" s="138">
        <v>0</v>
      </c>
      <c r="E10" s="58">
        <f>SUM(E11:E13)</f>
        <v>6791</v>
      </c>
      <c r="F10" s="139">
        <v>0</v>
      </c>
      <c r="H10" s="36">
        <v>6</v>
      </c>
      <c r="I10" s="42" t="s">
        <v>33</v>
      </c>
      <c r="J10" s="58">
        <f>SUM(J11:J13)</f>
        <v>27515</v>
      </c>
      <c r="K10" s="138">
        <v>0</v>
      </c>
      <c r="L10" s="58">
        <f>SUM(L11:L13)</f>
        <v>6791</v>
      </c>
      <c r="M10" s="60">
        <v>0</v>
      </c>
    </row>
    <row r="11" spans="1:13">
      <c r="A11" s="19">
        <v>7</v>
      </c>
      <c r="B11" s="43" t="s">
        <v>13</v>
      </c>
      <c r="C11" s="130">
        <v>26281</v>
      </c>
      <c r="D11" s="130">
        <v>0</v>
      </c>
      <c r="E11" s="50">
        <v>4849</v>
      </c>
      <c r="F11" s="52">
        <f>C11/E11</f>
        <v>5.4198803877088055</v>
      </c>
      <c r="H11" s="19">
        <v>7</v>
      </c>
      <c r="I11" s="43" t="s">
        <v>13</v>
      </c>
      <c r="J11" s="56">
        <v>26281</v>
      </c>
      <c r="K11" s="56">
        <v>0</v>
      </c>
      <c r="L11" s="50">
        <v>4849</v>
      </c>
      <c r="M11" s="52">
        <v>5.4198803877088055</v>
      </c>
    </row>
    <row r="12" spans="1:13">
      <c r="A12" s="19">
        <v>8</v>
      </c>
      <c r="B12" s="44" t="s">
        <v>12</v>
      </c>
      <c r="C12" s="130">
        <v>1234</v>
      </c>
      <c r="D12" s="130">
        <v>0</v>
      </c>
      <c r="E12" s="50">
        <v>1942</v>
      </c>
      <c r="F12" s="52">
        <f>C12/E12</f>
        <v>0.63542739443872298</v>
      </c>
      <c r="H12" s="19">
        <v>8</v>
      </c>
      <c r="I12" s="44" t="s">
        <v>12</v>
      </c>
      <c r="J12" s="56">
        <v>1234</v>
      </c>
      <c r="K12" s="56">
        <v>0</v>
      </c>
      <c r="L12" s="50">
        <v>1942</v>
      </c>
      <c r="M12" s="48">
        <v>0.63542739443872298</v>
      </c>
    </row>
    <row r="13" spans="1:13" ht="15.75" thickBot="1">
      <c r="A13" s="20">
        <v>9</v>
      </c>
      <c r="B13" s="45"/>
      <c r="C13" s="140"/>
      <c r="D13" s="140">
        <v>0</v>
      </c>
      <c r="E13" s="51"/>
      <c r="F13" s="52"/>
      <c r="H13" s="20">
        <v>9</v>
      </c>
      <c r="I13" s="45"/>
      <c r="J13" s="61"/>
      <c r="K13" s="61">
        <v>0</v>
      </c>
      <c r="L13" s="51"/>
      <c r="M13" s="245"/>
    </row>
    <row r="14" spans="1:13" ht="15.75" thickBot="1">
      <c r="A14" s="23">
        <v>10</v>
      </c>
      <c r="B14" s="46" t="s">
        <v>1</v>
      </c>
      <c r="C14" s="62">
        <f>C5+C10</f>
        <v>178581.1</v>
      </c>
      <c r="D14" s="62">
        <f>D5+D10</f>
        <v>35095.800000000003</v>
      </c>
      <c r="E14" s="62">
        <f>E5+E10</f>
        <v>35312</v>
      </c>
      <c r="F14" s="141">
        <v>0</v>
      </c>
      <c r="H14" s="23">
        <v>10</v>
      </c>
      <c r="I14" s="46" t="s">
        <v>1</v>
      </c>
      <c r="J14" s="62">
        <f>J5+J10</f>
        <v>178581.1</v>
      </c>
      <c r="K14" s="62">
        <f>K5+K10</f>
        <v>35095.800000000003</v>
      </c>
      <c r="L14" s="62">
        <f>L5+L10</f>
        <v>35312</v>
      </c>
      <c r="M14" s="63">
        <v>0</v>
      </c>
    </row>
  </sheetData>
  <protectedRanges>
    <protectedRange sqref="C7:D8" name="Oblast1_1"/>
    <protectedRange sqref="J7:K8" name="Oblast1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M15"/>
  <sheetViews>
    <sheetView zoomScale="85" zoomScaleNormal="85" workbookViewId="0">
      <selection activeCell="H1" sqref="H1:M65536"/>
    </sheetView>
  </sheetViews>
  <sheetFormatPr defaultRowHeight="15"/>
  <cols>
    <col min="1" max="1" width="3.42578125" customWidth="1"/>
    <col min="2" max="2" width="49.5703125" customWidth="1"/>
    <col min="3" max="3" width="17.7109375" customWidth="1"/>
    <col min="4" max="4" width="16.42578125" customWidth="1"/>
    <col min="5" max="5" width="17.28515625" customWidth="1"/>
    <col min="6" max="6" width="21.7109375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8.5703125" hidden="1" customWidth="1"/>
  </cols>
  <sheetData>
    <row r="1" spans="1:13" ht="15.75">
      <c r="A1" s="142" t="s">
        <v>73</v>
      </c>
      <c r="B1" s="143"/>
      <c r="C1" s="144"/>
      <c r="D1" s="144"/>
      <c r="E1" s="144"/>
      <c r="F1" s="145"/>
    </row>
    <row r="2" spans="1:13" ht="15.75" thickBot="1">
      <c r="A2" s="146"/>
      <c r="B2" s="144"/>
      <c r="C2" s="147"/>
      <c r="D2" s="144"/>
      <c r="E2" s="144"/>
      <c r="F2" s="148" t="s">
        <v>9</v>
      </c>
    </row>
    <row r="3" spans="1:13" ht="25.5">
      <c r="A3" s="486" t="s">
        <v>0</v>
      </c>
      <c r="B3" s="488" t="s">
        <v>2</v>
      </c>
      <c r="C3" s="149" t="s">
        <v>74</v>
      </c>
      <c r="D3" s="149" t="s">
        <v>75</v>
      </c>
      <c r="E3" s="150" t="s">
        <v>31</v>
      </c>
      <c r="F3" s="151" t="s">
        <v>76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.75" thickBot="1">
      <c r="A4" s="487"/>
      <c r="B4" s="489"/>
      <c r="C4" s="152" t="s">
        <v>5</v>
      </c>
      <c r="D4" s="152" t="s">
        <v>6</v>
      </c>
      <c r="E4" s="152" t="s">
        <v>7</v>
      </c>
      <c r="F4" s="153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>
      <c r="A5" s="154">
        <v>1</v>
      </c>
      <c r="B5" s="155" t="s">
        <v>17</v>
      </c>
      <c r="C5" s="156">
        <f>SUM(C6:C8)</f>
        <v>48592</v>
      </c>
      <c r="D5" s="157">
        <f>SUM(D6:D8)</f>
        <v>1547</v>
      </c>
      <c r="E5" s="157">
        <f>SUM(E6:E8)</f>
        <v>2726</v>
      </c>
      <c r="F5" s="158">
        <v>0</v>
      </c>
      <c r="H5" s="35">
        <v>1</v>
      </c>
      <c r="I5" s="38" t="s">
        <v>17</v>
      </c>
      <c r="J5" s="53">
        <f>SUM(J6:J9)</f>
        <v>50139</v>
      </c>
      <c r="K5" s="53">
        <f>SUM(K6:K9)</f>
        <v>1547</v>
      </c>
      <c r="L5" s="53">
        <f>SUM(L6:L9)</f>
        <v>2726</v>
      </c>
      <c r="M5" s="54">
        <v>0</v>
      </c>
    </row>
    <row r="6" spans="1:13" ht="24">
      <c r="A6" s="159">
        <v>2</v>
      </c>
      <c r="B6" s="160" t="s">
        <v>3</v>
      </c>
      <c r="C6" s="161">
        <v>1187</v>
      </c>
      <c r="D6" s="162">
        <v>0</v>
      </c>
      <c r="E6" s="163">
        <v>2373</v>
      </c>
      <c r="F6" s="164" t="s">
        <v>77</v>
      </c>
      <c r="H6" s="19">
        <v>2</v>
      </c>
      <c r="I6" s="39" t="s">
        <v>3</v>
      </c>
      <c r="J6" s="55">
        <v>1187</v>
      </c>
      <c r="K6" s="56">
        <v>0</v>
      </c>
      <c r="L6" s="50">
        <v>2373</v>
      </c>
      <c r="M6" s="57" t="s">
        <v>77</v>
      </c>
    </row>
    <row r="7" spans="1:13">
      <c r="A7" s="159">
        <v>3</v>
      </c>
      <c r="B7" s="165" t="s">
        <v>10</v>
      </c>
      <c r="C7" s="162">
        <v>0</v>
      </c>
      <c r="D7" s="166">
        <v>1547</v>
      </c>
      <c r="E7" s="163">
        <v>97</v>
      </c>
      <c r="F7" s="167" t="s">
        <v>78</v>
      </c>
      <c r="H7" s="19">
        <v>3</v>
      </c>
      <c r="I7" s="40" t="s">
        <v>10</v>
      </c>
      <c r="J7" s="56">
        <v>1547</v>
      </c>
      <c r="K7" s="56">
        <v>1547</v>
      </c>
      <c r="L7" s="50">
        <v>97</v>
      </c>
      <c r="M7" s="52" t="s">
        <v>78</v>
      </c>
    </row>
    <row r="8" spans="1:13">
      <c r="A8" s="159">
        <v>4</v>
      </c>
      <c r="B8" s="168" t="s">
        <v>79</v>
      </c>
      <c r="C8" s="166">
        <v>47405</v>
      </c>
      <c r="D8" s="162">
        <v>0</v>
      </c>
      <c r="E8" s="163">
        <v>256</v>
      </c>
      <c r="F8" s="167">
        <v>185175</v>
      </c>
      <c r="H8" s="19">
        <v>4</v>
      </c>
      <c r="I8" s="40" t="s">
        <v>11</v>
      </c>
      <c r="J8" s="56"/>
      <c r="K8" s="56"/>
      <c r="L8" s="50"/>
      <c r="M8" s="52"/>
    </row>
    <row r="9" spans="1:13">
      <c r="A9" s="169">
        <v>5</v>
      </c>
      <c r="B9" s="170" t="s">
        <v>33</v>
      </c>
      <c r="C9" s="171">
        <f>SUM(C10:C14)</f>
        <v>6876</v>
      </c>
      <c r="D9" s="171">
        <f>SUM(D10:D14)</f>
        <v>0</v>
      </c>
      <c r="E9" s="171">
        <f>SUM(E10:E14)</f>
        <v>4966</v>
      </c>
      <c r="F9" s="172">
        <v>0</v>
      </c>
      <c r="H9" s="19">
        <v>5</v>
      </c>
      <c r="I9" s="41" t="s">
        <v>4</v>
      </c>
      <c r="J9" s="56">
        <v>47405</v>
      </c>
      <c r="K9" s="56">
        <v>0</v>
      </c>
      <c r="L9" s="50">
        <v>256</v>
      </c>
      <c r="M9" s="52">
        <v>185175</v>
      </c>
    </row>
    <row r="10" spans="1:13">
      <c r="A10" s="159">
        <v>6</v>
      </c>
      <c r="B10" s="173" t="s">
        <v>13</v>
      </c>
      <c r="C10" s="174">
        <v>5704</v>
      </c>
      <c r="D10" s="162">
        <v>0</v>
      </c>
      <c r="E10" s="166">
        <v>1698</v>
      </c>
      <c r="F10" s="175">
        <v>3359</v>
      </c>
      <c r="H10" s="36">
        <v>6</v>
      </c>
      <c r="I10" s="42" t="s">
        <v>33</v>
      </c>
      <c r="J10" s="58">
        <f>SUM(J11:J13)</f>
        <v>6876</v>
      </c>
      <c r="K10" s="138">
        <v>0</v>
      </c>
      <c r="L10" s="58">
        <f>SUM(L11:L13)</f>
        <v>4966</v>
      </c>
      <c r="M10" s="60">
        <v>0</v>
      </c>
    </row>
    <row r="11" spans="1:13">
      <c r="A11" s="159">
        <v>7</v>
      </c>
      <c r="B11" s="176" t="s">
        <v>12</v>
      </c>
      <c r="C11" s="174">
        <v>493</v>
      </c>
      <c r="D11" s="162">
        <v>0</v>
      </c>
      <c r="E11" s="166">
        <v>686</v>
      </c>
      <c r="F11" s="177" t="s">
        <v>80</v>
      </c>
      <c r="H11" s="19">
        <v>7</v>
      </c>
      <c r="I11" s="43" t="s">
        <v>13</v>
      </c>
      <c r="J11" s="56">
        <v>5704</v>
      </c>
      <c r="K11" s="56">
        <v>0</v>
      </c>
      <c r="L11" s="50">
        <v>1698</v>
      </c>
      <c r="M11" s="52">
        <v>3359</v>
      </c>
    </row>
    <row r="12" spans="1:13">
      <c r="A12" s="159">
        <v>8</v>
      </c>
      <c r="B12" s="176" t="s">
        <v>81</v>
      </c>
      <c r="C12" s="174">
        <v>132</v>
      </c>
      <c r="D12" s="162">
        <v>0</v>
      </c>
      <c r="E12" s="166">
        <v>44</v>
      </c>
      <c r="F12" s="177" t="s">
        <v>82</v>
      </c>
      <c r="H12" s="19">
        <v>8</v>
      </c>
      <c r="I12" s="44" t="s">
        <v>12</v>
      </c>
      <c r="J12" s="56">
        <v>493</v>
      </c>
      <c r="K12" s="56">
        <v>0</v>
      </c>
      <c r="L12" s="50">
        <v>686</v>
      </c>
      <c r="M12" s="48" t="s">
        <v>80</v>
      </c>
    </row>
    <row r="13" spans="1:13" ht="15.75" thickBot="1">
      <c r="A13" s="159">
        <v>9</v>
      </c>
      <c r="B13" s="176" t="s">
        <v>83</v>
      </c>
      <c r="C13" s="174">
        <v>474</v>
      </c>
      <c r="D13" s="162">
        <v>0</v>
      </c>
      <c r="E13" s="166">
        <v>2256</v>
      </c>
      <c r="F13" s="177" t="s">
        <v>84</v>
      </c>
      <c r="H13" s="20">
        <v>9</v>
      </c>
      <c r="I13" s="45"/>
      <c r="J13" s="61">
        <f>SUM(C12:C14)</f>
        <v>679</v>
      </c>
      <c r="K13" s="61">
        <f>SUM(D12:D14)</f>
        <v>0</v>
      </c>
      <c r="L13" s="51">
        <f>SUM(E12:E14)</f>
        <v>2582</v>
      </c>
      <c r="M13" s="245"/>
    </row>
    <row r="14" spans="1:13" ht="15.75" thickBot="1">
      <c r="A14" s="178">
        <v>10</v>
      </c>
      <c r="B14" s="179" t="s">
        <v>85</v>
      </c>
      <c r="C14" s="180">
        <v>73</v>
      </c>
      <c r="D14" s="181">
        <v>0</v>
      </c>
      <c r="E14" s="182">
        <v>282</v>
      </c>
      <c r="F14" s="183" t="s">
        <v>84</v>
      </c>
      <c r="H14" s="23">
        <v>10</v>
      </c>
      <c r="I14" s="46" t="s">
        <v>1</v>
      </c>
      <c r="J14" s="62">
        <f>J5+J10</f>
        <v>57015</v>
      </c>
      <c r="K14" s="62">
        <f>K5+K10</f>
        <v>1547</v>
      </c>
      <c r="L14" s="62">
        <f>L5+L10</f>
        <v>7692</v>
      </c>
      <c r="M14" s="63">
        <v>0</v>
      </c>
    </row>
    <row r="15" spans="1:13" ht="15.75" thickBot="1">
      <c r="A15" s="184">
        <v>11</v>
      </c>
      <c r="B15" s="185" t="s">
        <v>86</v>
      </c>
      <c r="C15" s="186">
        <f>C5+C9</f>
        <v>55468</v>
      </c>
      <c r="D15" s="186">
        <f>D5+D9</f>
        <v>1547</v>
      </c>
      <c r="E15" s="186">
        <f>E5+E9</f>
        <v>7692</v>
      </c>
      <c r="F15" s="187">
        <v>0</v>
      </c>
    </row>
  </sheetData>
  <protectedRanges>
    <protectedRange sqref="C10:C14 C7:C8" name="Oblast1"/>
    <protectedRange sqref="J7:K8" name="Oblast1_1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M20"/>
  <sheetViews>
    <sheetView zoomScale="85" zoomScaleNormal="85" workbookViewId="0">
      <selection activeCell="H1" sqref="H1:M65536"/>
    </sheetView>
  </sheetViews>
  <sheetFormatPr defaultRowHeight="15"/>
  <cols>
    <col min="1" max="1" width="3.42578125" customWidth="1"/>
    <col min="2" max="2" width="49.5703125" customWidth="1"/>
    <col min="3" max="3" width="16.42578125" customWidth="1"/>
    <col min="4" max="4" width="17.7109375" customWidth="1"/>
    <col min="5" max="5" width="17.28515625" customWidth="1"/>
    <col min="6" max="6" width="17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ht="15.75">
      <c r="A1" s="142" t="s">
        <v>19</v>
      </c>
      <c r="B1" s="143"/>
      <c r="C1" s="144"/>
      <c r="D1" s="144"/>
      <c r="E1" s="144"/>
      <c r="F1" s="145"/>
    </row>
    <row r="2" spans="1:13" ht="15.75" thickBot="1">
      <c r="A2" s="146"/>
      <c r="B2" s="144"/>
      <c r="C2" s="144"/>
      <c r="D2" s="147"/>
      <c r="E2" s="144"/>
      <c r="F2" s="148" t="s">
        <v>9</v>
      </c>
    </row>
    <row r="3" spans="1:13" ht="25.5">
      <c r="A3" s="486" t="s">
        <v>0</v>
      </c>
      <c r="B3" s="488" t="s">
        <v>2</v>
      </c>
      <c r="C3" s="149" t="s">
        <v>74</v>
      </c>
      <c r="D3" s="149" t="s">
        <v>75</v>
      </c>
      <c r="E3" s="150" t="s">
        <v>31</v>
      </c>
      <c r="F3" s="151" t="s">
        <v>32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.75" thickBot="1">
      <c r="A4" s="487"/>
      <c r="B4" s="489"/>
      <c r="C4" s="152" t="s">
        <v>5</v>
      </c>
      <c r="D4" s="152" t="s">
        <v>6</v>
      </c>
      <c r="E4" s="152" t="s">
        <v>7</v>
      </c>
      <c r="F4" s="153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>
      <c r="A5" s="188">
        <v>1</v>
      </c>
      <c r="B5" s="155" t="s">
        <v>17</v>
      </c>
      <c r="C5" s="189">
        <f>SUM(C6:C9)</f>
        <v>17147</v>
      </c>
      <c r="D5" s="189">
        <f>SUM(D6:D9)</f>
        <v>13485</v>
      </c>
      <c r="E5" s="189">
        <f>SUM(E6:E9)</f>
        <v>12774</v>
      </c>
      <c r="F5" s="158">
        <v>0</v>
      </c>
      <c r="H5" s="35">
        <v>1</v>
      </c>
      <c r="I5" s="38" t="s">
        <v>17</v>
      </c>
      <c r="J5" s="53">
        <f>SUM(J6:J9)</f>
        <v>30632</v>
      </c>
      <c r="K5" s="53">
        <f>SUM(K6:K9)</f>
        <v>13485</v>
      </c>
      <c r="L5" s="53">
        <f>SUM(L6:L9)</f>
        <v>12774</v>
      </c>
      <c r="M5" s="54">
        <v>0</v>
      </c>
    </row>
    <row r="6" spans="1:13" ht="24">
      <c r="A6" s="159">
        <v>2</v>
      </c>
      <c r="B6" s="160" t="s">
        <v>3</v>
      </c>
      <c r="C6" s="190">
        <f>6095+383</f>
        <v>6478</v>
      </c>
      <c r="D6" s="162">
        <v>0</v>
      </c>
      <c r="E6" s="191">
        <f>11451+115</f>
        <v>11566</v>
      </c>
      <c r="F6" s="192">
        <f>C6/E6</f>
        <v>0.56008991872730418</v>
      </c>
      <c r="H6" s="19">
        <v>2</v>
      </c>
      <c r="I6" s="39" t="s">
        <v>3</v>
      </c>
      <c r="J6" s="55">
        <v>6478</v>
      </c>
      <c r="K6" s="56">
        <v>0</v>
      </c>
      <c r="L6" s="50">
        <v>11566</v>
      </c>
      <c r="M6" s="57">
        <v>0.56008991872730418</v>
      </c>
    </row>
    <row r="7" spans="1:13">
      <c r="A7" s="159">
        <v>3</v>
      </c>
      <c r="B7" s="165" t="s">
        <v>10</v>
      </c>
      <c r="C7" s="162">
        <v>0</v>
      </c>
      <c r="D7" s="190">
        <v>13479</v>
      </c>
      <c r="E7" s="191">
        <v>1004</v>
      </c>
      <c r="F7" s="193">
        <f>D7/E7</f>
        <v>13.425298804780876</v>
      </c>
      <c r="H7" s="19">
        <v>3</v>
      </c>
      <c r="I7" s="40" t="s">
        <v>10</v>
      </c>
      <c r="J7" s="56">
        <v>13479</v>
      </c>
      <c r="K7" s="56">
        <v>13479</v>
      </c>
      <c r="L7" s="50">
        <v>1004</v>
      </c>
      <c r="M7" s="52">
        <v>13.425298804780876</v>
      </c>
    </row>
    <row r="8" spans="1:13">
      <c r="A8" s="159">
        <v>4</v>
      </c>
      <c r="B8" s="165" t="s">
        <v>11</v>
      </c>
      <c r="C8" s="162">
        <v>0</v>
      </c>
      <c r="D8" s="190">
        <v>6</v>
      </c>
      <c r="E8" s="191">
        <v>3</v>
      </c>
      <c r="F8" s="193">
        <f>D8/E8</f>
        <v>2</v>
      </c>
      <c r="H8" s="19">
        <v>4</v>
      </c>
      <c r="I8" s="40" t="s">
        <v>11</v>
      </c>
      <c r="J8" s="56">
        <v>6</v>
      </c>
      <c r="K8" s="56">
        <v>6</v>
      </c>
      <c r="L8" s="50">
        <v>3</v>
      </c>
      <c r="M8" s="52">
        <v>2</v>
      </c>
    </row>
    <row r="9" spans="1:13">
      <c r="A9" s="159">
        <v>5</v>
      </c>
      <c r="B9" s="168" t="s">
        <v>4</v>
      </c>
      <c r="C9" s="190">
        <f>(0)+(291)+(27)+(0+0)+(355+9996)</f>
        <v>10669</v>
      </c>
      <c r="D9" s="162">
        <v>0</v>
      </c>
      <c r="E9" s="191">
        <v>201</v>
      </c>
      <c r="F9" s="193">
        <f>C9/E9</f>
        <v>53.079601990049753</v>
      </c>
      <c r="H9" s="19">
        <v>5</v>
      </c>
      <c r="I9" s="41" t="s">
        <v>4</v>
      </c>
      <c r="J9" s="56">
        <v>10669</v>
      </c>
      <c r="K9" s="56">
        <v>0</v>
      </c>
      <c r="L9" s="50">
        <v>201</v>
      </c>
      <c r="M9" s="52">
        <v>53.079601990049753</v>
      </c>
    </row>
    <row r="10" spans="1:13">
      <c r="A10" s="194">
        <v>6</v>
      </c>
      <c r="B10" s="170" t="s">
        <v>33</v>
      </c>
      <c r="C10" s="195">
        <f>SUM(C11:C19)</f>
        <v>21015</v>
      </c>
      <c r="D10" s="195">
        <f>SUM(D11:D19)</f>
        <v>0</v>
      </c>
      <c r="E10" s="195">
        <f>SUM(E11:E19)</f>
        <v>6115.0000000001</v>
      </c>
      <c r="F10" s="172">
        <v>0</v>
      </c>
      <c r="H10" s="36">
        <v>6</v>
      </c>
      <c r="I10" s="42" t="s">
        <v>33</v>
      </c>
      <c r="J10" s="58">
        <f>SUM(J11:J13)</f>
        <v>21015</v>
      </c>
      <c r="K10" s="138">
        <v>0</v>
      </c>
      <c r="L10" s="58">
        <f>SUM(L11:L13)</f>
        <v>6115.0000000001</v>
      </c>
      <c r="M10" s="60">
        <v>0</v>
      </c>
    </row>
    <row r="11" spans="1:13">
      <c r="A11" s="159">
        <v>7</v>
      </c>
      <c r="B11" s="173" t="s">
        <v>13</v>
      </c>
      <c r="C11" s="196">
        <f>0+29763+671-C9-C12</f>
        <v>18957</v>
      </c>
      <c r="D11" s="162">
        <v>0</v>
      </c>
      <c r="E11" s="191">
        <v>1688</v>
      </c>
      <c r="F11" s="197">
        <f t="shared" ref="F11:F19" si="0">C11/E11</f>
        <v>11.230450236966824</v>
      </c>
      <c r="H11" s="19">
        <v>7</v>
      </c>
      <c r="I11" s="43" t="s">
        <v>13</v>
      </c>
      <c r="J11" s="56">
        <v>18957</v>
      </c>
      <c r="K11" s="56">
        <v>0</v>
      </c>
      <c r="L11" s="50">
        <v>1688</v>
      </c>
      <c r="M11" s="52">
        <v>11.230450236966824</v>
      </c>
    </row>
    <row r="12" spans="1:13">
      <c r="A12" s="159">
        <v>8</v>
      </c>
      <c r="B12" s="176" t="s">
        <v>12</v>
      </c>
      <c r="C12" s="196">
        <v>808</v>
      </c>
      <c r="D12" s="162">
        <v>0</v>
      </c>
      <c r="E12" s="191">
        <v>1566</v>
      </c>
      <c r="F12" s="197">
        <f t="shared" si="0"/>
        <v>0.51596424010217112</v>
      </c>
      <c r="H12" s="19">
        <v>8</v>
      </c>
      <c r="I12" s="44" t="s">
        <v>12</v>
      </c>
      <c r="J12" s="56">
        <v>808</v>
      </c>
      <c r="K12" s="56">
        <v>0</v>
      </c>
      <c r="L12" s="50">
        <v>1566</v>
      </c>
      <c r="M12" s="48">
        <v>0.51596424010217112</v>
      </c>
    </row>
    <row r="13" spans="1:13" ht="26.25" thickBot="1">
      <c r="A13" s="178">
        <v>9</v>
      </c>
      <c r="B13" s="179" t="s">
        <v>87</v>
      </c>
      <c r="C13" s="198">
        <v>5</v>
      </c>
      <c r="D13" s="199">
        <v>0</v>
      </c>
      <c r="E13" s="200">
        <v>1</v>
      </c>
      <c r="F13" s="193">
        <f t="shared" si="0"/>
        <v>5</v>
      </c>
      <c r="H13" s="20">
        <v>9</v>
      </c>
      <c r="I13" s="45"/>
      <c r="J13" s="61">
        <f>SUM(C13:C19)</f>
        <v>1250</v>
      </c>
      <c r="K13" s="61">
        <f>SUM(D13:D19)</f>
        <v>0</v>
      </c>
      <c r="L13" s="51">
        <f>SUM(E13:E19)</f>
        <v>2861.0000000001</v>
      </c>
      <c r="M13" s="245"/>
    </row>
    <row r="14" spans="1:13" ht="26.25" thickBot="1">
      <c r="A14" s="178">
        <v>10</v>
      </c>
      <c r="B14" s="179" t="s">
        <v>88</v>
      </c>
      <c r="C14" s="198">
        <v>28</v>
      </c>
      <c r="D14" s="199">
        <v>0</v>
      </c>
      <c r="E14" s="200">
        <v>4</v>
      </c>
      <c r="F14" s="197">
        <f t="shared" si="0"/>
        <v>7</v>
      </c>
      <c r="H14" s="23">
        <v>10</v>
      </c>
      <c r="I14" s="46" t="s">
        <v>1</v>
      </c>
      <c r="J14" s="62">
        <f>J5+J10</f>
        <v>51647</v>
      </c>
      <c r="K14" s="62">
        <f>K5+K10</f>
        <v>13485</v>
      </c>
      <c r="L14" s="62">
        <f>L5+L10</f>
        <v>18889.000000000102</v>
      </c>
      <c r="M14" s="63">
        <v>0</v>
      </c>
    </row>
    <row r="15" spans="1:13" ht="25.5">
      <c r="A15" s="178">
        <v>11</v>
      </c>
      <c r="B15" s="179" t="s">
        <v>89</v>
      </c>
      <c r="C15" s="198">
        <v>0</v>
      </c>
      <c r="D15" s="199">
        <v>0</v>
      </c>
      <c r="E15" s="200">
        <v>1E-10</v>
      </c>
      <c r="F15" s="197">
        <f t="shared" si="0"/>
        <v>0</v>
      </c>
    </row>
    <row r="16" spans="1:13" ht="38.25">
      <c r="A16" s="178">
        <v>12</v>
      </c>
      <c r="B16" s="179" t="s">
        <v>90</v>
      </c>
      <c r="C16" s="198">
        <v>117</v>
      </c>
      <c r="D16" s="199"/>
      <c r="E16" s="200">
        <f>C16/3</f>
        <v>39</v>
      </c>
      <c r="F16" s="193">
        <f t="shared" si="0"/>
        <v>3</v>
      </c>
    </row>
    <row r="17" spans="1:6" ht="38.25">
      <c r="A17" s="178">
        <v>13</v>
      </c>
      <c r="B17" s="179" t="s">
        <v>91</v>
      </c>
      <c r="C17" s="198">
        <v>771</v>
      </c>
      <c r="D17" s="199">
        <v>0</v>
      </c>
      <c r="E17" s="200">
        <v>1542</v>
      </c>
      <c r="F17" s="193">
        <f t="shared" si="0"/>
        <v>0.5</v>
      </c>
    </row>
    <row r="18" spans="1:6" ht="63.75">
      <c r="A18" s="178">
        <v>14</v>
      </c>
      <c r="B18" s="179" t="s">
        <v>92</v>
      </c>
      <c r="C18" s="198">
        <v>240</v>
      </c>
      <c r="D18" s="199">
        <v>0</v>
      </c>
      <c r="E18" s="200">
        <f>1+124+972</f>
        <v>1097</v>
      </c>
      <c r="F18" s="193">
        <f t="shared" si="0"/>
        <v>0.2187784867821331</v>
      </c>
    </row>
    <row r="19" spans="1:6" ht="39" thickBot="1">
      <c r="A19" s="178">
        <v>15</v>
      </c>
      <c r="B19" s="179" t="s">
        <v>93</v>
      </c>
      <c r="C19" s="198">
        <v>89</v>
      </c>
      <c r="D19" s="201">
        <v>0</v>
      </c>
      <c r="E19" s="200">
        <f>C19/0.5</f>
        <v>178</v>
      </c>
      <c r="F19" s="202">
        <f t="shared" si="0"/>
        <v>0.5</v>
      </c>
    </row>
    <row r="20" spans="1:6" ht="15.75" thickBot="1">
      <c r="A20" s="184">
        <v>16</v>
      </c>
      <c r="B20" s="185" t="s">
        <v>86</v>
      </c>
      <c r="C20" s="203">
        <f>C5+C10</f>
        <v>38162</v>
      </c>
      <c r="D20" s="203">
        <f>D5+D10</f>
        <v>13485</v>
      </c>
      <c r="E20" s="203">
        <f>E5+E10</f>
        <v>18889.000000000102</v>
      </c>
      <c r="F20" s="187">
        <v>0</v>
      </c>
    </row>
  </sheetData>
  <protectedRanges>
    <protectedRange sqref="C6:C8" name="Oblast1"/>
    <protectedRange sqref="C9" name="Oblast1_2"/>
    <protectedRange sqref="C11" name="Oblast1_3"/>
    <protectedRange sqref="C13 C16:C19" name="Oblast1_4"/>
    <protectedRange sqref="C12" name="Oblast1_5"/>
    <protectedRange sqref="C14:C15" name="Oblast1_6"/>
    <protectedRange sqref="J7:K8" name="Oblast1_1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M14"/>
  <sheetViews>
    <sheetView zoomScale="85" zoomScaleNormal="85" workbookViewId="0">
      <selection activeCell="H1" sqref="H1:M65536"/>
    </sheetView>
  </sheetViews>
  <sheetFormatPr defaultRowHeight="15"/>
  <cols>
    <col min="1" max="1" width="6.28515625" customWidth="1"/>
    <col min="2" max="2" width="61.140625" customWidth="1"/>
    <col min="3" max="3" width="16.42578125" customWidth="1"/>
    <col min="4" max="4" width="19.85546875" customWidth="1"/>
    <col min="5" max="5" width="17.28515625" customWidth="1"/>
    <col min="6" max="6" width="19.7109375" customWidth="1"/>
    <col min="8" max="8" width="3.42578125" hidden="1" customWidth="1"/>
    <col min="9" max="9" width="49.5703125" hidden="1" customWidth="1"/>
    <col min="10" max="10" width="16.42578125" hidden="1" customWidth="1"/>
    <col min="11" max="11" width="17.7109375" hidden="1" customWidth="1"/>
    <col min="12" max="12" width="17.28515625" hidden="1" customWidth="1"/>
    <col min="13" max="13" width="17" hidden="1" customWidth="1"/>
  </cols>
  <sheetData>
    <row r="1" spans="1:13" ht="15.75">
      <c r="A1" s="204" t="s">
        <v>94</v>
      </c>
      <c r="B1" s="205"/>
      <c r="C1" s="206"/>
      <c r="D1" s="206"/>
      <c r="E1" s="206"/>
      <c r="F1" s="207"/>
    </row>
    <row r="2" spans="1:13" ht="15.75" thickBot="1">
      <c r="A2" s="208"/>
      <c r="B2" s="206"/>
      <c r="C2" s="206"/>
      <c r="D2" s="209"/>
      <c r="E2" s="206"/>
      <c r="F2" s="210" t="s">
        <v>9</v>
      </c>
    </row>
    <row r="3" spans="1:13" ht="45">
      <c r="A3" s="490" t="s">
        <v>0</v>
      </c>
      <c r="B3" s="492" t="s">
        <v>2</v>
      </c>
      <c r="C3" s="211" t="s">
        <v>95</v>
      </c>
      <c r="D3" s="211" t="s">
        <v>96</v>
      </c>
      <c r="E3" s="212" t="s">
        <v>97</v>
      </c>
      <c r="F3" s="213" t="s">
        <v>98</v>
      </c>
      <c r="H3" s="472" t="s">
        <v>0</v>
      </c>
      <c r="I3" s="474" t="s">
        <v>2</v>
      </c>
      <c r="J3" s="47" t="s">
        <v>24</v>
      </c>
      <c r="K3" s="47" t="s">
        <v>48</v>
      </c>
      <c r="L3" s="26" t="s">
        <v>31</v>
      </c>
      <c r="M3" s="27" t="s">
        <v>32</v>
      </c>
    </row>
    <row r="4" spans="1:13" ht="15.75" thickBot="1">
      <c r="A4" s="491"/>
      <c r="B4" s="493"/>
      <c r="C4" s="214" t="s">
        <v>5</v>
      </c>
      <c r="D4" s="214" t="s">
        <v>6</v>
      </c>
      <c r="E4" s="214" t="s">
        <v>7</v>
      </c>
      <c r="F4" s="215" t="s">
        <v>8</v>
      </c>
      <c r="H4" s="473"/>
      <c r="I4" s="475"/>
      <c r="J4" s="126" t="s">
        <v>5</v>
      </c>
      <c r="K4" s="126" t="s">
        <v>6</v>
      </c>
      <c r="L4" s="126" t="s">
        <v>7</v>
      </c>
      <c r="M4" s="22" t="s">
        <v>8</v>
      </c>
    </row>
    <row r="5" spans="1:13" ht="31.5">
      <c r="A5" s="216">
        <v>1</v>
      </c>
      <c r="B5" s="217" t="s">
        <v>17</v>
      </c>
      <c r="C5" s="218">
        <f>SUM(C6:C9)</f>
        <v>20389</v>
      </c>
      <c r="D5" s="218">
        <f>SUM(D6:D9)</f>
        <v>14570</v>
      </c>
      <c r="E5" s="218">
        <f>SUM(E6:E9)</f>
        <v>9042</v>
      </c>
      <c r="F5" s="219">
        <v>0</v>
      </c>
      <c r="H5" s="35">
        <v>1</v>
      </c>
      <c r="I5" s="38" t="s">
        <v>17</v>
      </c>
      <c r="J5" s="53">
        <f>SUM(J6:J9)</f>
        <v>20389</v>
      </c>
      <c r="K5" s="53">
        <f>SUM(K6:K9)</f>
        <v>14570</v>
      </c>
      <c r="L5" s="53">
        <f>SUM(L6:L9)</f>
        <v>9042</v>
      </c>
      <c r="M5" s="54">
        <v>0</v>
      </c>
    </row>
    <row r="6" spans="1:13" ht="30">
      <c r="A6" s="220">
        <v>2</v>
      </c>
      <c r="B6" s="221" t="s">
        <v>3</v>
      </c>
      <c r="C6" s="222">
        <v>4090</v>
      </c>
      <c r="D6" s="223">
        <v>0</v>
      </c>
      <c r="E6" s="224">
        <v>8180</v>
      </c>
      <c r="F6" s="225">
        <v>1</v>
      </c>
      <c r="H6" s="19">
        <v>2</v>
      </c>
      <c r="I6" s="39" t="s">
        <v>3</v>
      </c>
      <c r="J6" s="55">
        <v>4090</v>
      </c>
      <c r="K6" s="56">
        <v>0</v>
      </c>
      <c r="L6" s="50">
        <v>8180</v>
      </c>
      <c r="M6" s="57">
        <v>1</v>
      </c>
    </row>
    <row r="7" spans="1:13">
      <c r="A7" s="220">
        <v>3</v>
      </c>
      <c r="B7" s="226" t="s">
        <v>10</v>
      </c>
      <c r="C7" s="223">
        <v>14570</v>
      </c>
      <c r="D7" s="223">
        <v>14570</v>
      </c>
      <c r="E7" s="224">
        <v>837</v>
      </c>
      <c r="F7" s="227">
        <v>17</v>
      </c>
      <c r="H7" s="19">
        <v>3</v>
      </c>
      <c r="I7" s="40" t="s">
        <v>10</v>
      </c>
      <c r="J7" s="56">
        <v>14570</v>
      </c>
      <c r="K7" s="56">
        <v>14570</v>
      </c>
      <c r="L7" s="50">
        <v>837</v>
      </c>
      <c r="M7" s="52">
        <v>17</v>
      </c>
    </row>
    <row r="8" spans="1:13">
      <c r="A8" s="220">
        <v>4</v>
      </c>
      <c r="B8" s="226" t="s">
        <v>11</v>
      </c>
      <c r="C8" s="223"/>
      <c r="D8" s="223"/>
      <c r="E8" s="224"/>
      <c r="F8" s="227"/>
      <c r="H8" s="19">
        <v>4</v>
      </c>
      <c r="I8" s="40" t="s">
        <v>11</v>
      </c>
      <c r="J8" s="56"/>
      <c r="K8" s="56"/>
      <c r="L8" s="50"/>
      <c r="M8" s="52"/>
    </row>
    <row r="9" spans="1:13" ht="30">
      <c r="A9" s="220">
        <v>5</v>
      </c>
      <c r="B9" s="221" t="s">
        <v>4</v>
      </c>
      <c r="C9" s="223">
        <v>1729</v>
      </c>
      <c r="D9" s="223">
        <v>0</v>
      </c>
      <c r="E9" s="224">
        <v>25</v>
      </c>
      <c r="F9" s="227">
        <v>69</v>
      </c>
      <c r="H9" s="19">
        <v>5</v>
      </c>
      <c r="I9" s="41" t="s">
        <v>4</v>
      </c>
      <c r="J9" s="56">
        <v>1729</v>
      </c>
      <c r="K9" s="56">
        <v>0</v>
      </c>
      <c r="L9" s="50">
        <v>25</v>
      </c>
      <c r="M9" s="52">
        <v>69</v>
      </c>
    </row>
    <row r="10" spans="1:13" ht="31.5">
      <c r="A10" s="228">
        <v>6</v>
      </c>
      <c r="B10" s="229" t="s">
        <v>99</v>
      </c>
      <c r="C10" s="230">
        <f>SUM(C11:C13)</f>
        <v>5405</v>
      </c>
      <c r="D10" s="231">
        <v>0</v>
      </c>
      <c r="E10" s="230">
        <f>SUM(E11:E13)</f>
        <v>5446</v>
      </c>
      <c r="F10" s="232">
        <v>0</v>
      </c>
      <c r="H10" s="36">
        <v>6</v>
      </c>
      <c r="I10" s="42" t="s">
        <v>33</v>
      </c>
      <c r="J10" s="58">
        <f>SUM(J11:J13)</f>
        <v>5405</v>
      </c>
      <c r="K10" s="138">
        <v>0</v>
      </c>
      <c r="L10" s="58">
        <f>SUM(L11:L13)</f>
        <v>5446</v>
      </c>
      <c r="M10" s="60">
        <v>0</v>
      </c>
    </row>
    <row r="11" spans="1:13" ht="30">
      <c r="A11" s="220">
        <v>7</v>
      </c>
      <c r="B11" s="233" t="s">
        <v>13</v>
      </c>
      <c r="C11" s="223">
        <v>3709</v>
      </c>
      <c r="D11" s="223">
        <v>0</v>
      </c>
      <c r="E11" s="224">
        <v>470</v>
      </c>
      <c r="F11" s="227">
        <v>8</v>
      </c>
      <c r="H11" s="19">
        <v>7</v>
      </c>
      <c r="I11" s="43" t="s">
        <v>13</v>
      </c>
      <c r="J11" s="56">
        <v>3709</v>
      </c>
      <c r="K11" s="56">
        <v>0</v>
      </c>
      <c r="L11" s="50">
        <v>470</v>
      </c>
      <c r="M11" s="52">
        <v>8</v>
      </c>
    </row>
    <row r="12" spans="1:13">
      <c r="A12" s="220">
        <v>8</v>
      </c>
      <c r="B12" s="234" t="s">
        <v>12</v>
      </c>
      <c r="C12" s="223">
        <v>525</v>
      </c>
      <c r="D12" s="223">
        <v>0</v>
      </c>
      <c r="E12" s="224">
        <v>744</v>
      </c>
      <c r="F12" s="235">
        <v>1</v>
      </c>
      <c r="H12" s="19">
        <v>8</v>
      </c>
      <c r="I12" s="44" t="s">
        <v>12</v>
      </c>
      <c r="J12" s="56">
        <v>525</v>
      </c>
      <c r="K12" s="56">
        <v>0</v>
      </c>
      <c r="L12" s="50">
        <v>744</v>
      </c>
      <c r="M12" s="48">
        <v>1</v>
      </c>
    </row>
    <row r="13" spans="1:13" ht="30.75" thickBot="1">
      <c r="A13" s="236">
        <v>9</v>
      </c>
      <c r="B13" s="237" t="s">
        <v>100</v>
      </c>
      <c r="C13" s="238">
        <v>1171</v>
      </c>
      <c r="D13" s="238">
        <v>0</v>
      </c>
      <c r="E13" s="239">
        <v>4232</v>
      </c>
      <c r="F13" s="240">
        <v>0</v>
      </c>
      <c r="H13" s="20">
        <v>9</v>
      </c>
      <c r="I13" s="45"/>
      <c r="J13" s="61">
        <v>1171</v>
      </c>
      <c r="K13" s="61">
        <v>0</v>
      </c>
      <c r="L13" s="51">
        <v>4232</v>
      </c>
      <c r="M13" s="245">
        <v>0</v>
      </c>
    </row>
    <row r="14" spans="1:13" ht="16.5" thickBot="1">
      <c r="A14" s="241">
        <v>10</v>
      </c>
      <c r="B14" s="242" t="s">
        <v>1</v>
      </c>
      <c r="C14" s="243">
        <f>C5+C10</f>
        <v>25794</v>
      </c>
      <c r="D14" s="243">
        <f>D5+D10</f>
        <v>14570</v>
      </c>
      <c r="E14" s="243">
        <f>E5+E10</f>
        <v>14488</v>
      </c>
      <c r="F14" s="244">
        <v>0</v>
      </c>
      <c r="H14" s="23">
        <v>10</v>
      </c>
      <c r="I14" s="46" t="s">
        <v>1</v>
      </c>
      <c r="J14" s="62">
        <f>J5+J10</f>
        <v>25794</v>
      </c>
      <c r="K14" s="62">
        <f>K5+K10</f>
        <v>14570</v>
      </c>
      <c r="L14" s="62">
        <f>L5+L10</f>
        <v>14488</v>
      </c>
      <c r="M14" s="63">
        <v>0</v>
      </c>
    </row>
  </sheetData>
  <protectedRanges>
    <protectedRange sqref="C7:D8" name="Oblast1"/>
    <protectedRange sqref="J7:K8" name="Oblast1_1"/>
  </protectedRanges>
  <mergeCells count="4">
    <mergeCell ref="A3:A4"/>
    <mergeCell ref="B3:B4"/>
    <mergeCell ref="H3:H4"/>
    <mergeCell ref="I3:I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27</vt:i4>
      </vt:variant>
    </vt:vector>
  </HeadingPairs>
  <TitlesOfParts>
    <vt:vector size="27" baseType="lpstr">
      <vt:lpstr>Soucet</vt:lpstr>
      <vt:lpstr>UK</vt:lpstr>
      <vt:lpstr>UJEP</vt:lpstr>
      <vt:lpstr>JU</vt:lpstr>
      <vt:lpstr>MU</vt:lpstr>
      <vt:lpstr>UPOL</vt:lpstr>
      <vt:lpstr>VFU</vt:lpstr>
      <vt:lpstr>OU</vt:lpstr>
      <vt:lpstr>UHK</vt:lpstr>
      <vt:lpstr>SU</vt:lpstr>
      <vt:lpstr>ČVUT</vt:lpstr>
      <vt:lpstr>VŠCHT</vt:lpstr>
      <vt:lpstr>ZČU</vt:lpstr>
      <vt:lpstr>TUL</vt:lpstr>
      <vt:lpstr>UPa</vt:lpstr>
      <vt:lpstr>VUT</vt:lpstr>
      <vt:lpstr>VŠB-TUO</vt:lpstr>
      <vt:lpstr>UTB</vt:lpstr>
      <vt:lpstr>VŠE</vt:lpstr>
      <vt:lpstr>ČZU</vt:lpstr>
      <vt:lpstr>MENDELU</vt:lpstr>
      <vt:lpstr>AMU</vt:lpstr>
      <vt:lpstr>AVU</vt:lpstr>
      <vt:lpstr>VŠUP</vt:lpstr>
      <vt:lpstr>JAMU</vt:lpstr>
      <vt:lpstr>VŠPJ</vt:lpstr>
      <vt:lpstr>VŠTE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machackova</dc:creator>
  <cp:lastModifiedBy>Valášek Petr</cp:lastModifiedBy>
  <cp:lastPrinted>2018-01-26T07:40:25Z</cp:lastPrinted>
  <dcterms:created xsi:type="dcterms:W3CDTF">2010-10-08T09:48:15Z</dcterms:created>
  <dcterms:modified xsi:type="dcterms:W3CDTF">2019-01-24T14:32:38Z</dcterms:modified>
</cp:coreProperties>
</file>