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I\32_odbor\Oddělení  320\Výroční zpráva o hospodaření\sumarizované tabulky\za 2017\Tabulky postoupené VVŠ\"/>
    </mc:Choice>
  </mc:AlternateContent>
  <bookViews>
    <workbookView xWindow="0" yWindow="0" windowWidth="28800" windowHeight="12045" tabRatio="908" activeTab="26"/>
  </bookViews>
  <sheets>
    <sheet name="Součet" sheetId="12" r:id="rId1"/>
    <sheet name="UK" sheetId="29" r:id="rId2"/>
    <sheet name="JU" sheetId="30" r:id="rId3"/>
    <sheet name="UJEP" sheetId="31" r:id="rId4"/>
    <sheet name="MU" sheetId="32" r:id="rId5"/>
    <sheet name="UPOL" sheetId="33" r:id="rId6"/>
    <sheet name="VFU" sheetId="34" r:id="rId7"/>
    <sheet name="OU" sheetId="35" r:id="rId8"/>
    <sheet name="UHK" sheetId="36" r:id="rId9"/>
    <sheet name="SU" sheetId="37" r:id="rId10"/>
    <sheet name="ČVUT" sheetId="38" r:id="rId11"/>
    <sheet name="VŠCHT" sheetId="39" r:id="rId12"/>
    <sheet name="ZČU" sheetId="40" r:id="rId13"/>
    <sheet name="TUL" sheetId="41" r:id="rId14"/>
    <sheet name="UPa" sheetId="42" r:id="rId15"/>
    <sheet name="VUT" sheetId="43" r:id="rId16"/>
    <sheet name="VŠB-TUO" sheetId="44" r:id="rId17"/>
    <sheet name="UTB" sheetId="45" r:id="rId18"/>
    <sheet name="VŠE" sheetId="46" r:id="rId19"/>
    <sheet name="ČZU" sheetId="47" r:id="rId20"/>
    <sheet name="MENDELU" sheetId="48" r:id="rId21"/>
    <sheet name="AMU" sheetId="49" r:id="rId22"/>
    <sheet name="AVU" sheetId="50" r:id="rId23"/>
    <sheet name="VŠUP" sheetId="51" r:id="rId24"/>
    <sheet name="JAMU" sheetId="52" r:id="rId25"/>
    <sheet name="VŠPJ" sheetId="53" r:id="rId26"/>
    <sheet name="VŠTE" sheetId="54" r:id="rId27"/>
  </sheets>
  <definedNames>
    <definedName name="_xlnm.Print_Area" localSheetId="0">Součet!$A$1:$X$40</definedName>
    <definedName name="Z_2AF6EA2A_E5C5_45EB_B6C4_875AD1E4E056_.wvu.PrintArea" localSheetId="0" hidden="1">Součet!$A$1:$X$40</definedName>
  </definedNames>
  <calcPr calcId="152511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</workbook>
</file>

<file path=xl/calcChain.xml><?xml version="1.0" encoding="utf-8"?>
<calcChain xmlns="http://schemas.openxmlformats.org/spreadsheetml/2006/main">
  <c r="X16" i="12" l="1"/>
  <c r="W16" i="12"/>
  <c r="V16" i="12"/>
  <c r="V17" i="12"/>
  <c r="U16" i="12"/>
  <c r="U17" i="12"/>
  <c r="T16" i="12"/>
  <c r="S16" i="12"/>
  <c r="R16" i="12"/>
  <c r="Q16" i="12"/>
  <c r="Q17" i="12"/>
  <c r="P16" i="12"/>
  <c r="O16" i="12"/>
  <c r="N16" i="12"/>
  <c r="M16" i="12"/>
  <c r="M17" i="12"/>
  <c r="L16" i="12"/>
  <c r="K16" i="12"/>
  <c r="J16" i="12"/>
  <c r="I16" i="12"/>
  <c r="H16" i="12"/>
  <c r="G16" i="12"/>
  <c r="F16" i="12"/>
  <c r="F17" i="12"/>
  <c r="E16" i="12"/>
  <c r="E17" i="12"/>
  <c r="F34" i="12"/>
  <c r="H34" i="12"/>
  <c r="I34" i="12"/>
  <c r="K34" i="12"/>
  <c r="L34" i="12"/>
  <c r="E34" i="12"/>
  <c r="I28" i="36"/>
  <c r="V14" i="12"/>
  <c r="U14" i="12"/>
  <c r="T14" i="12"/>
  <c r="S14" i="12"/>
  <c r="R14" i="12"/>
  <c r="Q14" i="12"/>
  <c r="V13" i="12"/>
  <c r="U13" i="12"/>
  <c r="T13" i="12"/>
  <c r="S13" i="12"/>
  <c r="R13" i="12"/>
  <c r="R15" i="12"/>
  <c r="Q13" i="12"/>
  <c r="V12" i="12"/>
  <c r="U12" i="12"/>
  <c r="U15" i="12"/>
  <c r="T12" i="12"/>
  <c r="S12" i="12"/>
  <c r="R12" i="12"/>
  <c r="Q12" i="12"/>
  <c r="Q15" i="12"/>
  <c r="V11" i="12"/>
  <c r="U11" i="12"/>
  <c r="T11" i="12"/>
  <c r="S11" i="12"/>
  <c r="W11" i="12"/>
  <c r="R11" i="12"/>
  <c r="Q11" i="12"/>
  <c r="V10" i="12"/>
  <c r="V15" i="12"/>
  <c r="U10" i="12"/>
  <c r="T10" i="12"/>
  <c r="T15" i="12"/>
  <c r="S10" i="12"/>
  <c r="S15" i="12"/>
  <c r="R10" i="12"/>
  <c r="Q10" i="12"/>
  <c r="P14" i="12"/>
  <c r="P13" i="12"/>
  <c r="P12" i="12"/>
  <c r="P11" i="12"/>
  <c r="P15" i="12"/>
  <c r="P10" i="12"/>
  <c r="O14" i="12"/>
  <c r="O13" i="12"/>
  <c r="O12" i="12"/>
  <c r="W12" i="12"/>
  <c r="O11" i="12"/>
  <c r="O10" i="12"/>
  <c r="O15" i="12"/>
  <c r="Y16" i="30"/>
  <c r="N14" i="12"/>
  <c r="N13" i="12"/>
  <c r="N12" i="12"/>
  <c r="N11" i="12"/>
  <c r="N10" i="12"/>
  <c r="N15" i="12"/>
  <c r="M14" i="12"/>
  <c r="M13" i="12"/>
  <c r="F31" i="12"/>
  <c r="G31" i="12"/>
  <c r="E31" i="12"/>
  <c r="K31" i="12"/>
  <c r="F29" i="12"/>
  <c r="E29" i="12"/>
  <c r="K29" i="12"/>
  <c r="M29" i="12"/>
  <c r="F27" i="12"/>
  <c r="G27" i="12"/>
  <c r="E27" i="12"/>
  <c r="L32" i="47"/>
  <c r="L33" i="47"/>
  <c r="K33" i="47"/>
  <c r="I33" i="47"/>
  <c r="H33" i="47"/>
  <c r="F33" i="47"/>
  <c r="E33" i="47"/>
  <c r="I32" i="47"/>
  <c r="H32" i="47"/>
  <c r="F32" i="47"/>
  <c r="E32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K53" i="47"/>
  <c r="M53" i="47"/>
  <c r="J53" i="47"/>
  <c r="K52" i="47"/>
  <c r="M52" i="47"/>
  <c r="J52" i="47"/>
  <c r="Z47" i="47"/>
  <c r="Y47" i="47"/>
  <c r="Z46" i="47"/>
  <c r="Y46" i="47"/>
  <c r="Q15" i="53"/>
  <c r="R15" i="53"/>
  <c r="M31" i="45"/>
  <c r="M30" i="45"/>
  <c r="M29" i="45"/>
  <c r="M28" i="45"/>
  <c r="M27" i="45"/>
  <c r="M26" i="45"/>
  <c r="M25" i="45"/>
  <c r="M24" i="45"/>
  <c r="M23" i="45"/>
  <c r="M22" i="45"/>
  <c r="J31" i="45"/>
  <c r="J30" i="45"/>
  <c r="J29" i="45"/>
  <c r="J28" i="45"/>
  <c r="J27" i="45"/>
  <c r="J26" i="45"/>
  <c r="J25" i="45"/>
  <c r="J24" i="45"/>
  <c r="J23" i="45"/>
  <c r="J22" i="45"/>
  <c r="G33" i="45"/>
  <c r="G31" i="45"/>
  <c r="G30" i="45"/>
  <c r="G29" i="45"/>
  <c r="G28" i="45"/>
  <c r="G27" i="45"/>
  <c r="G26" i="45"/>
  <c r="G25" i="45"/>
  <c r="G24" i="45"/>
  <c r="G23" i="45"/>
  <c r="G22" i="45"/>
  <c r="L28" i="45"/>
  <c r="K28" i="45"/>
  <c r="I28" i="45"/>
  <c r="F28" i="45"/>
  <c r="E28" i="45"/>
  <c r="H28" i="45"/>
  <c r="O15" i="38"/>
  <c r="P15" i="38"/>
  <c r="Y10" i="38"/>
  <c r="Y11" i="38"/>
  <c r="Z11" i="38"/>
  <c r="Y12" i="38"/>
  <c r="Z12" i="38"/>
  <c r="Y13" i="38"/>
  <c r="Z13" i="38"/>
  <c r="Y14" i="38"/>
  <c r="Z14" i="38"/>
  <c r="Z10" i="38"/>
  <c r="L22" i="31"/>
  <c r="L23" i="31"/>
  <c r="L24" i="31"/>
  <c r="L25" i="31"/>
  <c r="L26" i="31"/>
  <c r="L28" i="31"/>
  <c r="L29" i="31"/>
  <c r="L30" i="31"/>
  <c r="L13" i="12"/>
  <c r="K13" i="12"/>
  <c r="J13" i="12"/>
  <c r="I13" i="12"/>
  <c r="W13" i="12"/>
  <c r="H13" i="12"/>
  <c r="G13" i="12"/>
  <c r="F13" i="12"/>
  <c r="X13" i="12"/>
  <c r="L12" i="12"/>
  <c r="X12" i="12"/>
  <c r="K12" i="12"/>
  <c r="H12" i="12"/>
  <c r="G12" i="12"/>
  <c r="L11" i="12"/>
  <c r="K11" i="12"/>
  <c r="F11" i="12"/>
  <c r="L10" i="12"/>
  <c r="L15" i="12"/>
  <c r="K10" i="12"/>
  <c r="J10" i="12"/>
  <c r="J15" i="12"/>
  <c r="I10" i="12"/>
  <c r="I15" i="12"/>
  <c r="H10" i="12"/>
  <c r="H15" i="12"/>
  <c r="G10" i="12"/>
  <c r="G15" i="12"/>
  <c r="I33" i="54"/>
  <c r="J33" i="54"/>
  <c r="H33" i="54"/>
  <c r="E33" i="54"/>
  <c r="L30" i="54"/>
  <c r="K30" i="54"/>
  <c r="J30" i="54"/>
  <c r="G30" i="54"/>
  <c r="L29" i="54"/>
  <c r="K29" i="54"/>
  <c r="G29" i="54"/>
  <c r="K28" i="54"/>
  <c r="I28" i="54"/>
  <c r="J28" i="54"/>
  <c r="F28" i="54"/>
  <c r="F33" i="54"/>
  <c r="G33" i="54"/>
  <c r="L26" i="54"/>
  <c r="K26" i="54"/>
  <c r="L25" i="54"/>
  <c r="K25" i="54"/>
  <c r="J25" i="54"/>
  <c r="G25" i="54"/>
  <c r="L24" i="54"/>
  <c r="M24" i="54"/>
  <c r="K24" i="54"/>
  <c r="J24" i="54"/>
  <c r="G24" i="54"/>
  <c r="L23" i="54"/>
  <c r="K23" i="54"/>
  <c r="J23" i="54"/>
  <c r="G23" i="54"/>
  <c r="L22" i="54"/>
  <c r="M22" i="54"/>
  <c r="K22" i="54"/>
  <c r="G22" i="54"/>
  <c r="X15" i="54"/>
  <c r="W15" i="54"/>
  <c r="V15" i="54"/>
  <c r="U15" i="54"/>
  <c r="T15" i="54"/>
  <c r="S15" i="54"/>
  <c r="R15" i="54"/>
  <c r="Q15" i="54"/>
  <c r="N15" i="54"/>
  <c r="M15" i="54"/>
  <c r="L15" i="54"/>
  <c r="K15" i="54"/>
  <c r="J15" i="54"/>
  <c r="I15" i="54"/>
  <c r="H15" i="54"/>
  <c r="G15" i="54"/>
  <c r="Y15" i="54"/>
  <c r="F15" i="54"/>
  <c r="E15" i="54"/>
  <c r="Z12" i="54"/>
  <c r="Y12" i="54"/>
  <c r="Z11" i="54"/>
  <c r="Y11" i="54"/>
  <c r="Y10" i="54"/>
  <c r="I33" i="53"/>
  <c r="H33" i="53"/>
  <c r="J33" i="53"/>
  <c r="F33" i="53"/>
  <c r="E33" i="53"/>
  <c r="L32" i="53"/>
  <c r="K32" i="53"/>
  <c r="L31" i="53"/>
  <c r="K31" i="53"/>
  <c r="J31" i="53"/>
  <c r="G31" i="53"/>
  <c r="L30" i="53"/>
  <c r="K30" i="53"/>
  <c r="J30" i="53"/>
  <c r="G30" i="53"/>
  <c r="L29" i="53"/>
  <c r="K29" i="53"/>
  <c r="L28" i="53"/>
  <c r="K28" i="53"/>
  <c r="J28" i="53"/>
  <c r="G28" i="53"/>
  <c r="L26" i="53"/>
  <c r="K26" i="53"/>
  <c r="L25" i="53"/>
  <c r="K25" i="53"/>
  <c r="J25" i="53"/>
  <c r="G25" i="53"/>
  <c r="L24" i="53"/>
  <c r="K24" i="53"/>
  <c r="J24" i="53"/>
  <c r="G24" i="53"/>
  <c r="L23" i="53"/>
  <c r="K23" i="53"/>
  <c r="J23" i="53"/>
  <c r="G23" i="53"/>
  <c r="L22" i="53"/>
  <c r="K22" i="53"/>
  <c r="G22" i="53"/>
  <c r="X15" i="53"/>
  <c r="W15" i="53"/>
  <c r="V15" i="53"/>
  <c r="U15" i="53"/>
  <c r="T15" i="53"/>
  <c r="S15" i="53"/>
  <c r="N15" i="53"/>
  <c r="M15" i="53"/>
  <c r="L15" i="53"/>
  <c r="K15" i="53"/>
  <c r="J15" i="53"/>
  <c r="I15" i="53"/>
  <c r="Z14" i="53"/>
  <c r="Y14" i="53"/>
  <c r="Z13" i="53"/>
  <c r="Y13" i="53"/>
  <c r="Z12" i="53"/>
  <c r="Y12" i="53"/>
  <c r="Z11" i="53"/>
  <c r="Y11" i="53"/>
  <c r="Z10" i="53"/>
  <c r="Y10" i="53"/>
  <c r="M23" i="54"/>
  <c r="M25" i="54"/>
  <c r="M29" i="54"/>
  <c r="M30" i="54"/>
  <c r="K33" i="54"/>
  <c r="Z15" i="54"/>
  <c r="L33" i="53"/>
  <c r="M23" i="53"/>
  <c r="M25" i="53"/>
  <c r="M30" i="53"/>
  <c r="G33" i="53"/>
  <c r="K33" i="53"/>
  <c r="Y15" i="53"/>
  <c r="Z15" i="53"/>
  <c r="M22" i="53"/>
  <c r="M24" i="53"/>
  <c r="M31" i="53"/>
  <c r="Z15" i="38"/>
  <c r="Y15" i="38"/>
  <c r="G28" i="54"/>
  <c r="L28" i="54"/>
  <c r="M33" i="53"/>
  <c r="M28" i="53"/>
  <c r="L33" i="54"/>
  <c r="M33" i="54"/>
  <c r="M28" i="54"/>
  <c r="L31" i="52"/>
  <c r="M31" i="52"/>
  <c r="K31" i="52"/>
  <c r="G31" i="52"/>
  <c r="I30" i="52"/>
  <c r="F30" i="52"/>
  <c r="G30" i="52"/>
  <c r="E30" i="52"/>
  <c r="K30" i="52"/>
  <c r="K29" i="52"/>
  <c r="I29" i="52"/>
  <c r="L29" i="52"/>
  <c r="M29" i="52"/>
  <c r="G29" i="52"/>
  <c r="F28" i="52"/>
  <c r="E28" i="52"/>
  <c r="E33" i="52"/>
  <c r="L27" i="52"/>
  <c r="M27" i="52"/>
  <c r="K27" i="52"/>
  <c r="G27" i="52"/>
  <c r="K25" i="52"/>
  <c r="I25" i="52"/>
  <c r="L25" i="52"/>
  <c r="M25" i="52"/>
  <c r="G25" i="52"/>
  <c r="L24" i="52"/>
  <c r="M24" i="52"/>
  <c r="K24" i="52"/>
  <c r="I24" i="52"/>
  <c r="H24" i="52"/>
  <c r="G24" i="52"/>
  <c r="I23" i="52"/>
  <c r="L23" i="52"/>
  <c r="M23" i="52"/>
  <c r="H23" i="52"/>
  <c r="K23" i="52"/>
  <c r="G23" i="52"/>
  <c r="L22" i="52"/>
  <c r="M22" i="52"/>
  <c r="K22" i="52"/>
  <c r="I22" i="52"/>
  <c r="I28" i="52"/>
  <c r="I33" i="52"/>
  <c r="H22" i="52"/>
  <c r="H28" i="52"/>
  <c r="G22" i="52"/>
  <c r="X15" i="52"/>
  <c r="W15" i="52"/>
  <c r="T15" i="52"/>
  <c r="S15" i="52"/>
  <c r="R15" i="52"/>
  <c r="Q15" i="52"/>
  <c r="N15" i="52"/>
  <c r="M15" i="52"/>
  <c r="L15" i="52"/>
  <c r="K15" i="52"/>
  <c r="J15" i="52"/>
  <c r="I15" i="52"/>
  <c r="F15" i="52"/>
  <c r="E15" i="52"/>
  <c r="Z14" i="52"/>
  <c r="Y14" i="52"/>
  <c r="Z13" i="52"/>
  <c r="Y13" i="52"/>
  <c r="V12" i="52"/>
  <c r="V15" i="52"/>
  <c r="U12" i="52"/>
  <c r="U15" i="52"/>
  <c r="H12" i="52"/>
  <c r="Z12" i="52"/>
  <c r="G12" i="52"/>
  <c r="Y12" i="52"/>
  <c r="Z11" i="52"/>
  <c r="Y11" i="52"/>
  <c r="H10" i="52"/>
  <c r="H15" i="52"/>
  <c r="G10" i="52"/>
  <c r="G15" i="52"/>
  <c r="I33" i="51"/>
  <c r="H33" i="51"/>
  <c r="F33" i="51"/>
  <c r="E33" i="51"/>
  <c r="L32" i="51"/>
  <c r="K32" i="51"/>
  <c r="L31" i="51"/>
  <c r="K31" i="51"/>
  <c r="L30" i="51"/>
  <c r="K30" i="51"/>
  <c r="L29" i="51"/>
  <c r="K29" i="51"/>
  <c r="L28" i="51"/>
  <c r="K28" i="51"/>
  <c r="L26" i="51"/>
  <c r="K26" i="51"/>
  <c r="L25" i="51"/>
  <c r="K25" i="51"/>
  <c r="L24" i="51"/>
  <c r="K24" i="51"/>
  <c r="L23" i="51"/>
  <c r="K23" i="51"/>
  <c r="L22" i="51"/>
  <c r="K22" i="51"/>
  <c r="Z15" i="51"/>
  <c r="Y15" i="51"/>
  <c r="X15" i="51"/>
  <c r="W15" i="51"/>
  <c r="V15" i="51"/>
  <c r="U15" i="51"/>
  <c r="T15" i="51"/>
  <c r="S15" i="51"/>
  <c r="R15" i="51"/>
  <c r="Q15" i="51"/>
  <c r="N15" i="51"/>
  <c r="M15" i="51"/>
  <c r="L15" i="51"/>
  <c r="K15" i="51"/>
  <c r="J15" i="51"/>
  <c r="I15" i="51"/>
  <c r="H15" i="51"/>
  <c r="G15" i="51"/>
  <c r="F15" i="51"/>
  <c r="E15" i="51"/>
  <c r="J33" i="50"/>
  <c r="I33" i="50"/>
  <c r="H33" i="50"/>
  <c r="F33" i="50"/>
  <c r="E33" i="50"/>
  <c r="L32" i="50"/>
  <c r="K32" i="50"/>
  <c r="L31" i="50"/>
  <c r="K31" i="50"/>
  <c r="L30" i="50"/>
  <c r="K30" i="50"/>
  <c r="L29" i="50"/>
  <c r="K29" i="50"/>
  <c r="K33" i="50"/>
  <c r="L28" i="50"/>
  <c r="L33" i="50"/>
  <c r="K28" i="50"/>
  <c r="L26" i="50"/>
  <c r="K26" i="50"/>
  <c r="L25" i="50"/>
  <c r="K25" i="50"/>
  <c r="L24" i="50"/>
  <c r="K24" i="50"/>
  <c r="L23" i="50"/>
  <c r="K23" i="50"/>
  <c r="L22" i="50"/>
  <c r="K22" i="50"/>
  <c r="Z15" i="50"/>
  <c r="Y15" i="50"/>
  <c r="X15" i="50"/>
  <c r="W15" i="50"/>
  <c r="V15" i="50"/>
  <c r="U15" i="50"/>
  <c r="T15" i="50"/>
  <c r="S15" i="50"/>
  <c r="R15" i="50"/>
  <c r="Q15" i="50"/>
  <c r="N15" i="50"/>
  <c r="M15" i="50"/>
  <c r="L15" i="50"/>
  <c r="K15" i="50"/>
  <c r="J15" i="50"/>
  <c r="I15" i="50"/>
  <c r="H15" i="50"/>
  <c r="G15" i="50"/>
  <c r="F15" i="50"/>
  <c r="E15" i="50"/>
  <c r="L32" i="49"/>
  <c r="K32" i="49"/>
  <c r="L31" i="49"/>
  <c r="K31" i="49"/>
  <c r="J31" i="49"/>
  <c r="L30" i="49"/>
  <c r="M30" i="49"/>
  <c r="K30" i="49"/>
  <c r="J30" i="49"/>
  <c r="G30" i="49"/>
  <c r="L29" i="49"/>
  <c r="K29" i="49"/>
  <c r="G29" i="49"/>
  <c r="J28" i="49"/>
  <c r="I28" i="49"/>
  <c r="I33" i="49"/>
  <c r="H28" i="49"/>
  <c r="H33" i="49"/>
  <c r="F28" i="49"/>
  <c r="L28" i="49"/>
  <c r="E28" i="49"/>
  <c r="E33" i="49"/>
  <c r="L26" i="49"/>
  <c r="K26" i="49"/>
  <c r="L25" i="49"/>
  <c r="K25" i="49"/>
  <c r="L24" i="49"/>
  <c r="M24" i="49"/>
  <c r="K24" i="49"/>
  <c r="J24" i="49"/>
  <c r="G24" i="49"/>
  <c r="M23" i="49"/>
  <c r="L23" i="49"/>
  <c r="K23" i="49"/>
  <c r="J23" i="49"/>
  <c r="G23" i="49"/>
  <c r="L22" i="49"/>
  <c r="M22" i="49"/>
  <c r="K22" i="49"/>
  <c r="G22" i="49"/>
  <c r="X15" i="49"/>
  <c r="W15" i="49"/>
  <c r="V15" i="49"/>
  <c r="U15" i="49"/>
  <c r="T15" i="49"/>
  <c r="S15" i="49"/>
  <c r="R15" i="49"/>
  <c r="Q15" i="49"/>
  <c r="N15" i="49"/>
  <c r="M15" i="49"/>
  <c r="L15" i="49"/>
  <c r="K15" i="49"/>
  <c r="J15" i="49"/>
  <c r="I15" i="49"/>
  <c r="H15" i="49"/>
  <c r="G15" i="49"/>
  <c r="F15" i="49"/>
  <c r="E15" i="49"/>
  <c r="Z14" i="49"/>
  <c r="Y14" i="49"/>
  <c r="Z13" i="49"/>
  <c r="Y13" i="49"/>
  <c r="Z12" i="49"/>
  <c r="Y12" i="49"/>
  <c r="Z11" i="49"/>
  <c r="Y11" i="49"/>
  <c r="Z10" i="49"/>
  <c r="Y10" i="49"/>
  <c r="Y15" i="49"/>
  <c r="K33" i="51"/>
  <c r="L33" i="51"/>
  <c r="Z15" i="49"/>
  <c r="M26" i="49"/>
  <c r="M31" i="49"/>
  <c r="L28" i="52"/>
  <c r="H33" i="52"/>
  <c r="K28" i="52"/>
  <c r="K33" i="52"/>
  <c r="F33" i="52"/>
  <c r="G33" i="52"/>
  <c r="Z10" i="52"/>
  <c r="Z15" i="52"/>
  <c r="G28" i="52"/>
  <c r="L30" i="52"/>
  <c r="M30" i="52"/>
  <c r="Y10" i="52"/>
  <c r="Y15" i="52"/>
  <c r="L33" i="49"/>
  <c r="J33" i="49"/>
  <c r="F33" i="49"/>
  <c r="G33" i="49"/>
  <c r="G28" i="49"/>
  <c r="K28" i="49"/>
  <c r="K33" i="49"/>
  <c r="M28" i="52"/>
  <c r="L33" i="52"/>
  <c r="M33" i="52"/>
  <c r="M28" i="49"/>
  <c r="M33" i="49"/>
  <c r="L32" i="48"/>
  <c r="K32" i="48"/>
  <c r="J32" i="48"/>
  <c r="G32" i="48"/>
  <c r="L31" i="48"/>
  <c r="M31" i="48"/>
  <c r="K31" i="48"/>
  <c r="J31" i="48"/>
  <c r="G31" i="48"/>
  <c r="L30" i="48"/>
  <c r="K30" i="48"/>
  <c r="J30" i="48"/>
  <c r="G30" i="48"/>
  <c r="L29" i="48"/>
  <c r="K29" i="48"/>
  <c r="J29" i="48"/>
  <c r="G29" i="48"/>
  <c r="L28" i="48"/>
  <c r="L33" i="48"/>
  <c r="I28" i="48"/>
  <c r="I33" i="48"/>
  <c r="J33" i="48"/>
  <c r="H28" i="48"/>
  <c r="H33" i="48"/>
  <c r="F28" i="48"/>
  <c r="F33" i="48"/>
  <c r="E28" i="48"/>
  <c r="K28" i="48"/>
  <c r="L26" i="48"/>
  <c r="K26" i="48"/>
  <c r="L25" i="48"/>
  <c r="K25" i="48"/>
  <c r="J25" i="48"/>
  <c r="G25" i="48"/>
  <c r="L24" i="48"/>
  <c r="K24" i="48"/>
  <c r="J24" i="48"/>
  <c r="G24" i="48"/>
  <c r="L23" i="48"/>
  <c r="M23" i="48"/>
  <c r="K23" i="48"/>
  <c r="J23" i="48"/>
  <c r="G23" i="48"/>
  <c r="L22" i="48"/>
  <c r="M22" i="48"/>
  <c r="K22" i="48"/>
  <c r="J22" i="48"/>
  <c r="G22" i="48"/>
  <c r="X15" i="48"/>
  <c r="W15" i="48"/>
  <c r="V15" i="48"/>
  <c r="U15" i="48"/>
  <c r="T15" i="48"/>
  <c r="S15" i="48"/>
  <c r="R15" i="48"/>
  <c r="Q15" i="48"/>
  <c r="N15" i="48"/>
  <c r="M15" i="48"/>
  <c r="L15" i="48"/>
  <c r="K15" i="48"/>
  <c r="J15" i="48"/>
  <c r="I15" i="48"/>
  <c r="H15" i="48"/>
  <c r="G15" i="48"/>
  <c r="F15" i="48"/>
  <c r="E15" i="48"/>
  <c r="Z14" i="48"/>
  <c r="Y14" i="48"/>
  <c r="Z13" i="48"/>
  <c r="Y13" i="48"/>
  <c r="Z12" i="48"/>
  <c r="Y12" i="48"/>
  <c r="Z11" i="48"/>
  <c r="Y11" i="48"/>
  <c r="Z10" i="48"/>
  <c r="Y10" i="48"/>
  <c r="K32" i="47"/>
  <c r="M32" i="47"/>
  <c r="J32" i="47"/>
  <c r="K31" i="47"/>
  <c r="M31" i="47"/>
  <c r="J31" i="47"/>
  <c r="K30" i="47"/>
  <c r="M30" i="47"/>
  <c r="G30" i="47"/>
  <c r="K29" i="47"/>
  <c r="M29" i="47"/>
  <c r="G29" i="47"/>
  <c r="I28" i="47"/>
  <c r="H28" i="47"/>
  <c r="F28" i="47"/>
  <c r="E28" i="47"/>
  <c r="L27" i="47"/>
  <c r="K27" i="47"/>
  <c r="G27" i="47"/>
  <c r="L26" i="47"/>
  <c r="K26" i="47"/>
  <c r="G26" i="47"/>
  <c r="L25" i="47"/>
  <c r="K25" i="47"/>
  <c r="G25" i="47"/>
  <c r="L24" i="47"/>
  <c r="K24" i="47"/>
  <c r="G24" i="47"/>
  <c r="L23" i="47"/>
  <c r="K23" i="47"/>
  <c r="G23" i="47"/>
  <c r="L22" i="47"/>
  <c r="K22" i="47"/>
  <c r="G22" i="47"/>
  <c r="X15" i="47"/>
  <c r="W15" i="47"/>
  <c r="V15" i="47"/>
  <c r="U15" i="47"/>
  <c r="T15" i="47"/>
  <c r="S15" i="47"/>
  <c r="R15" i="47"/>
  <c r="Q15" i="47"/>
  <c r="N15" i="47"/>
  <c r="M15" i="47"/>
  <c r="L15" i="47"/>
  <c r="K15" i="47"/>
  <c r="J15" i="47"/>
  <c r="I15" i="47"/>
  <c r="H15" i="47"/>
  <c r="G15" i="47"/>
  <c r="F15" i="47"/>
  <c r="E15" i="47"/>
  <c r="Z14" i="47"/>
  <c r="Y14" i="47"/>
  <c r="Z13" i="47"/>
  <c r="Y13" i="47"/>
  <c r="Z12" i="47"/>
  <c r="Y12" i="47"/>
  <c r="Z11" i="47"/>
  <c r="Y11" i="47"/>
  <c r="Z10" i="47"/>
  <c r="Y10" i="47"/>
  <c r="I33" i="46"/>
  <c r="H33" i="46"/>
  <c r="F33" i="46"/>
  <c r="E33" i="46"/>
  <c r="L32" i="46"/>
  <c r="K32" i="46"/>
  <c r="L31" i="46"/>
  <c r="K31" i="46"/>
  <c r="K33" i="46"/>
  <c r="G31" i="46"/>
  <c r="L30" i="46"/>
  <c r="K30" i="46"/>
  <c r="G30" i="46"/>
  <c r="L29" i="46"/>
  <c r="K29" i="46"/>
  <c r="G29" i="46"/>
  <c r="L28" i="46"/>
  <c r="M28" i="46"/>
  <c r="K28" i="46"/>
  <c r="G28" i="46"/>
  <c r="L26" i="46"/>
  <c r="K26" i="46"/>
  <c r="G26" i="46"/>
  <c r="L25" i="46"/>
  <c r="K25" i="46"/>
  <c r="G25" i="46"/>
  <c r="L24" i="46"/>
  <c r="K24" i="46"/>
  <c r="G24" i="46"/>
  <c r="L23" i="46"/>
  <c r="M23" i="46"/>
  <c r="K23" i="46"/>
  <c r="G23" i="46"/>
  <c r="L22" i="46"/>
  <c r="K22" i="46"/>
  <c r="G22" i="46"/>
  <c r="X15" i="46"/>
  <c r="W15" i="46"/>
  <c r="V15" i="46"/>
  <c r="U15" i="46"/>
  <c r="T15" i="46"/>
  <c r="S15" i="46"/>
  <c r="R15" i="46"/>
  <c r="Q15" i="46"/>
  <c r="N15" i="46"/>
  <c r="M15" i="46"/>
  <c r="L15" i="46"/>
  <c r="K15" i="46"/>
  <c r="J15" i="46"/>
  <c r="I15" i="46"/>
  <c r="H15" i="46"/>
  <c r="G15" i="46"/>
  <c r="F15" i="46"/>
  <c r="E15" i="46"/>
  <c r="Z14" i="46"/>
  <c r="Y14" i="46"/>
  <c r="Z13" i="46"/>
  <c r="Y13" i="46"/>
  <c r="Z12" i="46"/>
  <c r="Y12" i="46"/>
  <c r="Z11" i="46"/>
  <c r="Y11" i="46"/>
  <c r="Z10" i="46"/>
  <c r="Y10" i="46"/>
  <c r="Y15" i="47"/>
  <c r="L28" i="47"/>
  <c r="M26" i="47"/>
  <c r="Z15" i="48"/>
  <c r="K33" i="48"/>
  <c r="M29" i="48"/>
  <c r="M30" i="48"/>
  <c r="Y15" i="48"/>
  <c r="M24" i="48"/>
  <c r="M25" i="48"/>
  <c r="M32" i="48"/>
  <c r="M22" i="46"/>
  <c r="M26" i="46"/>
  <c r="G33" i="46"/>
  <c r="M25" i="46"/>
  <c r="M30" i="46"/>
  <c r="M31" i="46"/>
  <c r="M24" i="46"/>
  <c r="M29" i="46"/>
  <c r="Z15" i="47"/>
  <c r="Z15" i="46"/>
  <c r="Y15" i="46"/>
  <c r="M33" i="48"/>
  <c r="G33" i="48"/>
  <c r="M28" i="48"/>
  <c r="J28" i="48"/>
  <c r="E33" i="48"/>
  <c r="G28" i="48"/>
  <c r="M25" i="47"/>
  <c r="G28" i="47"/>
  <c r="M24" i="47"/>
  <c r="K28" i="47"/>
  <c r="M23" i="47"/>
  <c r="M27" i="47"/>
  <c r="M22" i="47"/>
  <c r="L33" i="46"/>
  <c r="M33" i="46"/>
  <c r="M33" i="47"/>
  <c r="G33" i="47"/>
  <c r="M28" i="47"/>
  <c r="L31" i="45"/>
  <c r="K31" i="45"/>
  <c r="L30" i="45"/>
  <c r="K30" i="45"/>
  <c r="L29" i="45"/>
  <c r="K29" i="45"/>
  <c r="I33" i="45"/>
  <c r="J33" i="45"/>
  <c r="H33" i="45"/>
  <c r="F33" i="45"/>
  <c r="E33" i="45"/>
  <c r="L26" i="45"/>
  <c r="K26" i="45"/>
  <c r="L25" i="45"/>
  <c r="K25" i="45"/>
  <c r="L24" i="45"/>
  <c r="K24" i="45"/>
  <c r="L23" i="45"/>
  <c r="K23" i="45"/>
  <c r="L22" i="45"/>
  <c r="K22" i="45"/>
  <c r="L27" i="45"/>
  <c r="K27" i="45"/>
  <c r="Z15" i="45"/>
  <c r="Y15" i="45"/>
  <c r="X15" i="45"/>
  <c r="W15" i="45"/>
  <c r="V15" i="45"/>
  <c r="U15" i="45"/>
  <c r="T15" i="45"/>
  <c r="S15" i="45"/>
  <c r="R15" i="45"/>
  <c r="Q15" i="45"/>
  <c r="N15" i="45"/>
  <c r="M15" i="45"/>
  <c r="L15" i="45"/>
  <c r="K15" i="45"/>
  <c r="J15" i="45"/>
  <c r="I15" i="45"/>
  <c r="H15" i="45"/>
  <c r="G15" i="45"/>
  <c r="F15" i="45"/>
  <c r="E15" i="45"/>
  <c r="H32" i="44"/>
  <c r="M31" i="44"/>
  <c r="I31" i="44"/>
  <c r="H31" i="44"/>
  <c r="G31" i="44"/>
  <c r="L30" i="44"/>
  <c r="K30" i="44"/>
  <c r="F30" i="44"/>
  <c r="F32" i="12"/>
  <c r="L32" i="12"/>
  <c r="M32" i="12"/>
  <c r="E30" i="44"/>
  <c r="E32" i="12"/>
  <c r="K32" i="12"/>
  <c r="M29" i="44"/>
  <c r="I29" i="44"/>
  <c r="H29" i="44"/>
  <c r="G29" i="44"/>
  <c r="M26" i="44"/>
  <c r="I26" i="44"/>
  <c r="H26" i="44"/>
  <c r="G26" i="44"/>
  <c r="M25" i="44"/>
  <c r="I25" i="44"/>
  <c r="I27" i="12"/>
  <c r="J27" i="12"/>
  <c r="H25" i="44"/>
  <c r="H27" i="12"/>
  <c r="K27" i="12"/>
  <c r="G25" i="44"/>
  <c r="L24" i="44"/>
  <c r="K24" i="44"/>
  <c r="F24" i="44"/>
  <c r="E24" i="44"/>
  <c r="L23" i="44"/>
  <c r="K23" i="44"/>
  <c r="F23" i="44"/>
  <c r="F25" i="12"/>
  <c r="G25" i="12"/>
  <c r="E23" i="44"/>
  <c r="L22" i="44"/>
  <c r="K22" i="44"/>
  <c r="F22" i="44"/>
  <c r="E22" i="44"/>
  <c r="X15" i="44"/>
  <c r="W15" i="44"/>
  <c r="V15" i="44"/>
  <c r="U15" i="44"/>
  <c r="T15" i="44"/>
  <c r="S15" i="44"/>
  <c r="R15" i="44"/>
  <c r="Q15" i="44"/>
  <c r="N15" i="44"/>
  <c r="L15" i="44"/>
  <c r="K15" i="44"/>
  <c r="Z14" i="44"/>
  <c r="E14" i="44"/>
  <c r="Y14" i="44"/>
  <c r="Z13" i="44"/>
  <c r="E13" i="44"/>
  <c r="M12" i="44"/>
  <c r="M12" i="12"/>
  <c r="J12" i="44"/>
  <c r="J12" i="12"/>
  <c r="I12" i="44"/>
  <c r="I12" i="12"/>
  <c r="F12" i="44"/>
  <c r="E12" i="44"/>
  <c r="M11" i="44"/>
  <c r="M11" i="12"/>
  <c r="J11" i="44"/>
  <c r="I11" i="44"/>
  <c r="H11" i="44"/>
  <c r="H11" i="12"/>
  <c r="X11" i="12"/>
  <c r="G11" i="44"/>
  <c r="M10" i="44"/>
  <c r="M10" i="12"/>
  <c r="M15" i="12"/>
  <c r="F10" i="44"/>
  <c r="F33" i="43"/>
  <c r="E33" i="43"/>
  <c r="L32" i="43"/>
  <c r="L33" i="43"/>
  <c r="K32" i="43"/>
  <c r="K33" i="43"/>
  <c r="M31" i="43"/>
  <c r="I31" i="43"/>
  <c r="H31" i="43"/>
  <c r="G31" i="43"/>
  <c r="M30" i="43"/>
  <c r="I30" i="43"/>
  <c r="H30" i="43"/>
  <c r="G30" i="43"/>
  <c r="M29" i="43"/>
  <c r="I29" i="43"/>
  <c r="H29" i="43"/>
  <c r="G29" i="43"/>
  <c r="M28" i="43"/>
  <c r="I28" i="43"/>
  <c r="I33" i="43"/>
  <c r="H28" i="43"/>
  <c r="H33" i="43"/>
  <c r="G28" i="43"/>
  <c r="M27" i="43"/>
  <c r="I27" i="43"/>
  <c r="H27" i="43"/>
  <c r="G27" i="43"/>
  <c r="M26" i="43"/>
  <c r="I26" i="43"/>
  <c r="H26" i="43"/>
  <c r="G26" i="43"/>
  <c r="M25" i="43"/>
  <c r="I25" i="43"/>
  <c r="H25" i="43"/>
  <c r="G25" i="43"/>
  <c r="M24" i="43"/>
  <c r="I24" i="43"/>
  <c r="J24" i="43"/>
  <c r="H24" i="43"/>
  <c r="G24" i="43"/>
  <c r="M23" i="43"/>
  <c r="I23" i="43"/>
  <c r="H23" i="43"/>
  <c r="G23" i="43"/>
  <c r="M22" i="43"/>
  <c r="I22" i="43"/>
  <c r="H22" i="43"/>
  <c r="G22" i="43"/>
  <c r="X15" i="43"/>
  <c r="W15" i="43"/>
  <c r="V15" i="43"/>
  <c r="U15" i="43"/>
  <c r="T15" i="43"/>
  <c r="S15" i="43"/>
  <c r="R15" i="43"/>
  <c r="Q15" i="43"/>
  <c r="N15" i="43"/>
  <c r="M15" i="43"/>
  <c r="L15" i="43"/>
  <c r="K15" i="43"/>
  <c r="J15" i="43"/>
  <c r="I15" i="43"/>
  <c r="H15" i="43"/>
  <c r="G15" i="43"/>
  <c r="F15" i="43"/>
  <c r="E15" i="43"/>
  <c r="Z13" i="43"/>
  <c r="Y13" i="43"/>
  <c r="Z12" i="43"/>
  <c r="Y12" i="43"/>
  <c r="Z11" i="43"/>
  <c r="Y11" i="43"/>
  <c r="Z10" i="43"/>
  <c r="Y10" i="43"/>
  <c r="L32" i="42"/>
  <c r="K32" i="42"/>
  <c r="M32" i="42"/>
  <c r="G32" i="42"/>
  <c r="L31" i="42"/>
  <c r="K31" i="42"/>
  <c r="M31" i="42"/>
  <c r="G31" i="42"/>
  <c r="L30" i="42"/>
  <c r="K30" i="42"/>
  <c r="G30" i="42"/>
  <c r="L29" i="42"/>
  <c r="K29" i="42"/>
  <c r="M29" i="42"/>
  <c r="G29" i="42"/>
  <c r="I28" i="42"/>
  <c r="I33" i="42"/>
  <c r="H28" i="42"/>
  <c r="H33" i="42"/>
  <c r="F28" i="42"/>
  <c r="L28" i="42"/>
  <c r="L33" i="42"/>
  <c r="E28" i="42"/>
  <c r="L26" i="42"/>
  <c r="K26" i="42"/>
  <c r="M26" i="42"/>
  <c r="G26" i="42"/>
  <c r="L25" i="42"/>
  <c r="K25" i="42"/>
  <c r="M25" i="42"/>
  <c r="L24" i="42"/>
  <c r="K24" i="42"/>
  <c r="M24" i="42"/>
  <c r="L23" i="42"/>
  <c r="K23" i="42"/>
  <c r="L22" i="42"/>
  <c r="K22" i="42"/>
  <c r="M22" i="42"/>
  <c r="X15" i="42"/>
  <c r="W15" i="42"/>
  <c r="V15" i="42"/>
  <c r="U15" i="42"/>
  <c r="T15" i="42"/>
  <c r="S15" i="42"/>
  <c r="R15" i="42"/>
  <c r="Q15" i="42"/>
  <c r="N15" i="42"/>
  <c r="M15" i="42"/>
  <c r="L15" i="42"/>
  <c r="K15" i="42"/>
  <c r="J15" i="42"/>
  <c r="I15" i="42"/>
  <c r="H15" i="42"/>
  <c r="G15" i="42"/>
  <c r="F15" i="42"/>
  <c r="E15" i="42"/>
  <c r="Z14" i="42"/>
  <c r="Y14" i="42"/>
  <c r="Z13" i="42"/>
  <c r="Y13" i="42"/>
  <c r="Z12" i="42"/>
  <c r="Y12" i="42"/>
  <c r="Z11" i="42"/>
  <c r="Y11" i="42"/>
  <c r="Z10" i="42"/>
  <c r="Y10" i="42"/>
  <c r="L33" i="41"/>
  <c r="M31" i="41"/>
  <c r="I31" i="41"/>
  <c r="J31" i="41"/>
  <c r="H31" i="41"/>
  <c r="G31" i="41"/>
  <c r="M30" i="41"/>
  <c r="I30" i="41"/>
  <c r="H30" i="41"/>
  <c r="G30" i="41"/>
  <c r="M29" i="41"/>
  <c r="I29" i="41"/>
  <c r="H29" i="41"/>
  <c r="G29" i="41"/>
  <c r="K28" i="41"/>
  <c r="M28" i="41"/>
  <c r="F28" i="41"/>
  <c r="E28" i="41"/>
  <c r="E33" i="41"/>
  <c r="M25" i="41"/>
  <c r="I25" i="41"/>
  <c r="H25" i="41"/>
  <c r="G25" i="41"/>
  <c r="M24" i="41"/>
  <c r="I24" i="41"/>
  <c r="H24" i="41"/>
  <c r="G24" i="41"/>
  <c r="M23" i="41"/>
  <c r="I23" i="41"/>
  <c r="H23" i="41"/>
  <c r="G23" i="41"/>
  <c r="M22" i="41"/>
  <c r="I22" i="41"/>
  <c r="H22" i="41"/>
  <c r="G22" i="41"/>
  <c r="X15" i="41"/>
  <c r="W15" i="41"/>
  <c r="V15" i="41"/>
  <c r="U15" i="41"/>
  <c r="T15" i="41"/>
  <c r="S15" i="41"/>
  <c r="R15" i="41"/>
  <c r="Q15" i="41"/>
  <c r="N15" i="41"/>
  <c r="M15" i="41"/>
  <c r="L15" i="41"/>
  <c r="K15" i="41"/>
  <c r="J15" i="41"/>
  <c r="I15" i="41"/>
  <c r="H15" i="41"/>
  <c r="G15" i="41"/>
  <c r="F15" i="41"/>
  <c r="E15" i="41"/>
  <c r="Z14" i="41"/>
  <c r="Y14" i="41"/>
  <c r="Z13" i="41"/>
  <c r="Y13" i="41"/>
  <c r="Z12" i="41"/>
  <c r="Y12" i="41"/>
  <c r="Z11" i="41"/>
  <c r="Y11" i="41"/>
  <c r="Z10" i="41"/>
  <c r="Y10" i="41"/>
  <c r="H31" i="12"/>
  <c r="H29" i="12"/>
  <c r="J29" i="12"/>
  <c r="I31" i="12"/>
  <c r="J31" i="12"/>
  <c r="I29" i="12"/>
  <c r="E23" i="12"/>
  <c r="G23" i="12"/>
  <c r="E25" i="12"/>
  <c r="E24" i="12"/>
  <c r="K24" i="12"/>
  <c r="K33" i="45"/>
  <c r="L33" i="45"/>
  <c r="H24" i="44"/>
  <c r="J25" i="44"/>
  <c r="J31" i="44"/>
  <c r="M22" i="44"/>
  <c r="M23" i="44"/>
  <c r="M24" i="44"/>
  <c r="I30" i="44"/>
  <c r="I32" i="12"/>
  <c r="M30" i="42"/>
  <c r="Z15" i="42"/>
  <c r="M23" i="42"/>
  <c r="G28" i="42"/>
  <c r="J23" i="41"/>
  <c r="J30" i="41"/>
  <c r="J22" i="41"/>
  <c r="G28" i="41"/>
  <c r="F33" i="41"/>
  <c r="J24" i="41"/>
  <c r="J25" i="41"/>
  <c r="I28" i="41"/>
  <c r="I33" i="41"/>
  <c r="J29" i="41"/>
  <c r="K33" i="41"/>
  <c r="M33" i="41"/>
  <c r="F15" i="44"/>
  <c r="F10" i="12"/>
  <c r="H15" i="44"/>
  <c r="E28" i="44"/>
  <c r="E30" i="12"/>
  <c r="E22" i="12"/>
  <c r="K22" i="12"/>
  <c r="I15" i="44"/>
  <c r="I11" i="12"/>
  <c r="Y12" i="44"/>
  <c r="F28" i="44"/>
  <c r="F30" i="12"/>
  <c r="L30" i="12"/>
  <c r="F22" i="12"/>
  <c r="L22" i="12"/>
  <c r="M22" i="12"/>
  <c r="G30" i="44"/>
  <c r="Y11" i="44"/>
  <c r="G11" i="12"/>
  <c r="M15" i="44"/>
  <c r="G15" i="44"/>
  <c r="H22" i="44"/>
  <c r="H23" i="44"/>
  <c r="I24" i="44"/>
  <c r="H30" i="44"/>
  <c r="Z11" i="44"/>
  <c r="M30" i="44"/>
  <c r="Z10" i="44"/>
  <c r="J15" i="44"/>
  <c r="J11" i="12"/>
  <c r="Z12" i="44"/>
  <c r="F12" i="12"/>
  <c r="Y13" i="44"/>
  <c r="E13" i="12"/>
  <c r="G22" i="44"/>
  <c r="G23" i="44"/>
  <c r="F23" i="12"/>
  <c r="G24" i="44"/>
  <c r="F24" i="12"/>
  <c r="L24" i="12"/>
  <c r="M24" i="12"/>
  <c r="J29" i="44"/>
  <c r="G33" i="43"/>
  <c r="J22" i="43"/>
  <c r="J23" i="43"/>
  <c r="Z15" i="43"/>
  <c r="J25" i="43"/>
  <c r="J26" i="43"/>
  <c r="J27" i="43"/>
  <c r="Y15" i="43"/>
  <c r="J28" i="43"/>
  <c r="J29" i="43"/>
  <c r="J30" i="43"/>
  <c r="J31" i="43"/>
  <c r="Y15" i="42"/>
  <c r="Y15" i="41"/>
  <c r="Z15" i="41"/>
  <c r="F33" i="44"/>
  <c r="K28" i="44"/>
  <c r="L28" i="44"/>
  <c r="I22" i="44"/>
  <c r="I23" i="44"/>
  <c r="J33" i="43"/>
  <c r="M33" i="43"/>
  <c r="E33" i="42"/>
  <c r="K28" i="42"/>
  <c r="F33" i="42"/>
  <c r="H28" i="41"/>
  <c r="H33" i="41"/>
  <c r="J30" i="44"/>
  <c r="H32" i="12"/>
  <c r="Z15" i="44"/>
  <c r="M33" i="45"/>
  <c r="E33" i="44"/>
  <c r="E26" i="12"/>
  <c r="K26" i="12"/>
  <c r="M26" i="12"/>
  <c r="G28" i="44"/>
  <c r="J22" i="44"/>
  <c r="G33" i="44"/>
  <c r="J24" i="44"/>
  <c r="E10" i="44"/>
  <c r="E10" i="12"/>
  <c r="F26" i="12"/>
  <c r="G26" i="12"/>
  <c r="G33" i="42"/>
  <c r="J33" i="41"/>
  <c r="G33" i="41"/>
  <c r="G22" i="12"/>
  <c r="J23" i="44"/>
  <c r="L33" i="44"/>
  <c r="M28" i="44"/>
  <c r="I28" i="44"/>
  <c r="I30" i="12"/>
  <c r="K33" i="44"/>
  <c r="H28" i="44"/>
  <c r="H30" i="12"/>
  <c r="J30" i="12"/>
  <c r="E15" i="44"/>
  <c r="M28" i="42"/>
  <c r="K33" i="42"/>
  <c r="M33" i="42"/>
  <c r="J28" i="41"/>
  <c r="H33" i="44"/>
  <c r="H26" i="12"/>
  <c r="Y10" i="44"/>
  <c r="Y15" i="44"/>
  <c r="I33" i="44"/>
  <c r="J28" i="44"/>
  <c r="M33" i="44"/>
  <c r="I33" i="40"/>
  <c r="H33" i="40"/>
  <c r="F33" i="40"/>
  <c r="E33" i="40"/>
  <c r="L32" i="40"/>
  <c r="K32" i="40"/>
  <c r="L31" i="40"/>
  <c r="K31" i="40"/>
  <c r="L30" i="40"/>
  <c r="K30" i="40"/>
  <c r="L29" i="40"/>
  <c r="K29" i="40"/>
  <c r="L28" i="40"/>
  <c r="K28" i="40"/>
  <c r="L26" i="40"/>
  <c r="K26" i="40"/>
  <c r="L25" i="40"/>
  <c r="K25" i="40"/>
  <c r="L24" i="40"/>
  <c r="K24" i="40"/>
  <c r="L23" i="40"/>
  <c r="K23" i="40"/>
  <c r="L22" i="40"/>
  <c r="K22" i="40"/>
  <c r="Z15" i="40"/>
  <c r="Y15" i="40"/>
  <c r="X15" i="40"/>
  <c r="W15" i="40"/>
  <c r="V15" i="40"/>
  <c r="U15" i="40"/>
  <c r="T15" i="40"/>
  <c r="S15" i="40"/>
  <c r="R15" i="40"/>
  <c r="Q15" i="40"/>
  <c r="N15" i="40"/>
  <c r="M15" i="40"/>
  <c r="L15" i="40"/>
  <c r="K15" i="40"/>
  <c r="J15" i="40"/>
  <c r="I15" i="40"/>
  <c r="H15" i="40"/>
  <c r="G15" i="40"/>
  <c r="F15" i="40"/>
  <c r="E15" i="40"/>
  <c r="L32" i="39"/>
  <c r="K32" i="39"/>
  <c r="L31" i="39"/>
  <c r="K31" i="39"/>
  <c r="G31" i="39"/>
  <c r="I30" i="39"/>
  <c r="H30" i="39"/>
  <c r="F30" i="39"/>
  <c r="E30" i="39"/>
  <c r="K30" i="39"/>
  <c r="L29" i="39"/>
  <c r="I29" i="39"/>
  <c r="H29" i="39"/>
  <c r="K29" i="39"/>
  <c r="G29" i="39"/>
  <c r="F28" i="39"/>
  <c r="F33" i="39"/>
  <c r="E28" i="39"/>
  <c r="L26" i="39"/>
  <c r="K26" i="39"/>
  <c r="I25" i="39"/>
  <c r="L25" i="39"/>
  <c r="H25" i="39"/>
  <c r="G25" i="39"/>
  <c r="L24" i="39"/>
  <c r="I24" i="39"/>
  <c r="H24" i="39"/>
  <c r="H24" i="12"/>
  <c r="G24" i="39"/>
  <c r="I23" i="39"/>
  <c r="L23" i="39"/>
  <c r="H23" i="39"/>
  <c r="H23" i="12"/>
  <c r="G23" i="39"/>
  <c r="I22" i="39"/>
  <c r="H22" i="39"/>
  <c r="G22" i="39"/>
  <c r="X15" i="39"/>
  <c r="W15" i="39"/>
  <c r="V15" i="39"/>
  <c r="U15" i="39"/>
  <c r="T15" i="39"/>
  <c r="S15" i="39"/>
  <c r="R15" i="39"/>
  <c r="Q15" i="39"/>
  <c r="P15" i="39"/>
  <c r="O15" i="39"/>
  <c r="L15" i="39"/>
  <c r="K15" i="39"/>
  <c r="J15" i="39"/>
  <c r="I15" i="39"/>
  <c r="H15" i="39"/>
  <c r="G15" i="39"/>
  <c r="F15" i="39"/>
  <c r="Z14" i="39"/>
  <c r="Y14" i="39"/>
  <c r="Z13" i="39"/>
  <c r="Y13" i="39"/>
  <c r="M12" i="39"/>
  <c r="E12" i="39"/>
  <c r="E12" i="12"/>
  <c r="M11" i="39"/>
  <c r="N10" i="39"/>
  <c r="M10" i="39"/>
  <c r="Y10" i="39"/>
  <c r="Z10" i="39"/>
  <c r="K23" i="39"/>
  <c r="M23" i="39"/>
  <c r="K24" i="39"/>
  <c r="J30" i="39"/>
  <c r="J33" i="44"/>
  <c r="K33" i="40"/>
  <c r="L33" i="40"/>
  <c r="Y12" i="39"/>
  <c r="E11" i="12"/>
  <c r="M24" i="39"/>
  <c r="M29" i="39"/>
  <c r="E15" i="39"/>
  <c r="M15" i="39"/>
  <c r="H28" i="39"/>
  <c r="H33" i="39"/>
  <c r="H22" i="12"/>
  <c r="H28" i="12"/>
  <c r="H33" i="12"/>
  <c r="M31" i="39"/>
  <c r="Y11" i="39"/>
  <c r="I28" i="39"/>
  <c r="J23" i="39"/>
  <c r="J24" i="39"/>
  <c r="K25" i="39"/>
  <c r="M25" i="39"/>
  <c r="H25" i="12"/>
  <c r="E33" i="39"/>
  <c r="J29" i="39"/>
  <c r="L30" i="39"/>
  <c r="M30" i="39"/>
  <c r="I33" i="39"/>
  <c r="G33" i="39"/>
  <c r="N15" i="39"/>
  <c r="Z15" i="39"/>
  <c r="J22" i="39"/>
  <c r="G28" i="39"/>
  <c r="L22" i="39"/>
  <c r="G30" i="39"/>
  <c r="K22" i="39"/>
  <c r="K28" i="39"/>
  <c r="K33" i="39"/>
  <c r="J28" i="39"/>
  <c r="Y15" i="39"/>
  <c r="J33" i="39"/>
  <c r="L28" i="39"/>
  <c r="M22" i="39"/>
  <c r="M28" i="39"/>
  <c r="L33" i="39"/>
  <c r="M33" i="39"/>
  <c r="M31" i="38"/>
  <c r="I31" i="38"/>
  <c r="G31" i="38"/>
  <c r="M30" i="38"/>
  <c r="I30" i="38"/>
  <c r="J30" i="38"/>
  <c r="G30" i="38"/>
  <c r="M29" i="38"/>
  <c r="I29" i="38"/>
  <c r="J29" i="38"/>
  <c r="G29" i="38"/>
  <c r="L28" i="38"/>
  <c r="L33" i="38"/>
  <c r="K28" i="38"/>
  <c r="K33" i="38"/>
  <c r="H28" i="38"/>
  <c r="F28" i="38"/>
  <c r="E28" i="38"/>
  <c r="M27" i="38"/>
  <c r="I27" i="38"/>
  <c r="G27" i="38"/>
  <c r="M26" i="38"/>
  <c r="I26" i="38"/>
  <c r="I25" i="12"/>
  <c r="J25" i="12"/>
  <c r="G26" i="38"/>
  <c r="M25" i="38"/>
  <c r="I25" i="38"/>
  <c r="I24" i="12"/>
  <c r="J24" i="12"/>
  <c r="G25" i="38"/>
  <c r="M24" i="38"/>
  <c r="I24" i="38"/>
  <c r="I23" i="12"/>
  <c r="I28" i="12"/>
  <c r="G24" i="38"/>
  <c r="M23" i="38"/>
  <c r="I23" i="38"/>
  <c r="G23" i="38"/>
  <c r="M22" i="38"/>
  <c r="I22" i="38"/>
  <c r="G22" i="38"/>
  <c r="X15" i="38"/>
  <c r="W15" i="38"/>
  <c r="V15" i="38"/>
  <c r="U15" i="38"/>
  <c r="T15" i="38"/>
  <c r="S15" i="38"/>
  <c r="R15" i="38"/>
  <c r="Q15" i="38"/>
  <c r="N15" i="38"/>
  <c r="M15" i="38"/>
  <c r="L15" i="38"/>
  <c r="L14" i="12"/>
  <c r="K15" i="38"/>
  <c r="K14" i="12"/>
  <c r="K15" i="12"/>
  <c r="J15" i="38"/>
  <c r="I15" i="38"/>
  <c r="H15" i="38"/>
  <c r="G15" i="38"/>
  <c r="F15" i="38"/>
  <c r="E15" i="38"/>
  <c r="J31" i="38"/>
  <c r="J32" i="12"/>
  <c r="I22" i="12"/>
  <c r="J22" i="12"/>
  <c r="I26" i="12"/>
  <c r="J26" i="12"/>
  <c r="I28" i="38"/>
  <c r="J28" i="38"/>
  <c r="J23" i="38"/>
  <c r="J26" i="38"/>
  <c r="J22" i="38"/>
  <c r="J24" i="38"/>
  <c r="J25" i="38"/>
  <c r="J27" i="38"/>
  <c r="G28" i="38"/>
  <c r="E33" i="38"/>
  <c r="H33" i="38"/>
  <c r="F33" i="38"/>
  <c r="I33" i="38"/>
  <c r="M33" i="38"/>
  <c r="M28" i="38"/>
  <c r="G33" i="38"/>
  <c r="J33" i="38"/>
  <c r="L32" i="37"/>
  <c r="K32" i="37"/>
  <c r="L31" i="37"/>
  <c r="K31" i="37"/>
  <c r="G31" i="37"/>
  <c r="L30" i="37"/>
  <c r="K30" i="37"/>
  <c r="J30" i="37"/>
  <c r="G30" i="37"/>
  <c r="L29" i="37"/>
  <c r="K29" i="37"/>
  <c r="J29" i="37"/>
  <c r="G29" i="37"/>
  <c r="I28" i="37"/>
  <c r="H28" i="37"/>
  <c r="F28" i="37"/>
  <c r="E28" i="37"/>
  <c r="L27" i="37"/>
  <c r="K27" i="37"/>
  <c r="M27" i="37"/>
  <c r="J27" i="37"/>
  <c r="G27" i="37"/>
  <c r="L26" i="37"/>
  <c r="K26" i="37"/>
  <c r="G26" i="37"/>
  <c r="L25" i="37"/>
  <c r="K25" i="37"/>
  <c r="J25" i="37"/>
  <c r="G25" i="37"/>
  <c r="L24" i="37"/>
  <c r="K24" i="37"/>
  <c r="J24" i="37"/>
  <c r="G24" i="37"/>
  <c r="L23" i="37"/>
  <c r="K23" i="37"/>
  <c r="J23" i="37"/>
  <c r="G23" i="37"/>
  <c r="L22" i="37"/>
  <c r="K22" i="37"/>
  <c r="J22" i="37"/>
  <c r="G22" i="37"/>
  <c r="X15" i="37"/>
  <c r="W15" i="37"/>
  <c r="V15" i="37"/>
  <c r="U15" i="37"/>
  <c r="T15" i="37"/>
  <c r="S15" i="37"/>
  <c r="R15" i="37"/>
  <c r="Q15" i="37"/>
  <c r="N15" i="37"/>
  <c r="M15" i="37"/>
  <c r="J15" i="37"/>
  <c r="J14" i="12"/>
  <c r="X14" i="12"/>
  <c r="I15" i="37"/>
  <c r="H15" i="37"/>
  <c r="H14" i="12"/>
  <c r="G15" i="37"/>
  <c r="G14" i="12"/>
  <c r="F15" i="37"/>
  <c r="E15" i="37"/>
  <c r="Z14" i="37"/>
  <c r="Y14" i="37"/>
  <c r="Z13" i="37"/>
  <c r="Y13" i="37"/>
  <c r="Z12" i="37"/>
  <c r="Y12" i="37"/>
  <c r="Z11" i="37"/>
  <c r="Y11" i="37"/>
  <c r="Z10" i="37"/>
  <c r="Y10" i="37"/>
  <c r="I33" i="36"/>
  <c r="F33" i="36"/>
  <c r="E33" i="36"/>
  <c r="L31" i="36"/>
  <c r="M31" i="36"/>
  <c r="K31" i="36"/>
  <c r="J31" i="36"/>
  <c r="L30" i="36"/>
  <c r="K30" i="36"/>
  <c r="J30" i="36"/>
  <c r="G30" i="36"/>
  <c r="L29" i="36"/>
  <c r="K29" i="36"/>
  <c r="J29" i="36"/>
  <c r="G29" i="36"/>
  <c r="L28" i="36"/>
  <c r="H28" i="36"/>
  <c r="H33" i="36"/>
  <c r="G28" i="36"/>
  <c r="G33" i="36"/>
  <c r="F28" i="36"/>
  <c r="E28" i="36"/>
  <c r="K28" i="36"/>
  <c r="M28" i="36"/>
  <c r="L26" i="36"/>
  <c r="M26" i="36"/>
  <c r="K26" i="36"/>
  <c r="J26" i="36"/>
  <c r="G26" i="36"/>
  <c r="M25" i="36"/>
  <c r="L25" i="36"/>
  <c r="K25" i="36"/>
  <c r="G25" i="36"/>
  <c r="M24" i="36"/>
  <c r="L24" i="36"/>
  <c r="K24" i="36"/>
  <c r="J24" i="36"/>
  <c r="G24" i="36"/>
  <c r="L23" i="36"/>
  <c r="K23" i="36"/>
  <c r="J23" i="36"/>
  <c r="G23" i="36"/>
  <c r="L22" i="36"/>
  <c r="K22" i="36"/>
  <c r="J22" i="36"/>
  <c r="G22" i="36"/>
  <c r="W15" i="36"/>
  <c r="V15" i="36"/>
  <c r="U15" i="36"/>
  <c r="T15" i="36"/>
  <c r="S15" i="36"/>
  <c r="R15" i="36"/>
  <c r="Q15" i="36"/>
  <c r="M15" i="36"/>
  <c r="L15" i="36"/>
  <c r="K15" i="36"/>
  <c r="I15" i="36"/>
  <c r="H15" i="36"/>
  <c r="G15" i="36"/>
  <c r="E15" i="36"/>
  <c r="Z13" i="36"/>
  <c r="Y13" i="36"/>
  <c r="Y12" i="36"/>
  <c r="X12" i="36"/>
  <c r="X15" i="36"/>
  <c r="V12" i="36"/>
  <c r="U12" i="36"/>
  <c r="N12" i="36"/>
  <c r="N15" i="36"/>
  <c r="J12" i="36"/>
  <c r="J15" i="36"/>
  <c r="F12" i="36"/>
  <c r="F15" i="36"/>
  <c r="Z11" i="36"/>
  <c r="Y11" i="36"/>
  <c r="Z10" i="36"/>
  <c r="Y10" i="36"/>
  <c r="Y15" i="36"/>
  <c r="E33" i="35"/>
  <c r="L32" i="35"/>
  <c r="M32" i="35"/>
  <c r="K32" i="35"/>
  <c r="J32" i="35"/>
  <c r="G32" i="35"/>
  <c r="L31" i="35"/>
  <c r="M31" i="35"/>
  <c r="K31" i="35"/>
  <c r="I31" i="35"/>
  <c r="J31" i="35"/>
  <c r="H31" i="35"/>
  <c r="H30" i="35"/>
  <c r="K30" i="35"/>
  <c r="G31" i="35"/>
  <c r="F30" i="35"/>
  <c r="I30" i="35"/>
  <c r="J30" i="35"/>
  <c r="E30" i="35"/>
  <c r="L29" i="35"/>
  <c r="M29" i="35"/>
  <c r="K29" i="35"/>
  <c r="I29" i="35"/>
  <c r="J29" i="35"/>
  <c r="H29" i="35"/>
  <c r="G29" i="35"/>
  <c r="F28" i="35"/>
  <c r="E28" i="35"/>
  <c r="L27" i="35"/>
  <c r="M27" i="35"/>
  <c r="K27" i="35"/>
  <c r="I27" i="35"/>
  <c r="H27" i="35"/>
  <c r="G27" i="35"/>
  <c r="I26" i="35"/>
  <c r="L26" i="35"/>
  <c r="H26" i="35"/>
  <c r="K26" i="35"/>
  <c r="G26" i="35"/>
  <c r="L25" i="35"/>
  <c r="M25" i="35"/>
  <c r="K25" i="35"/>
  <c r="I25" i="35"/>
  <c r="J25" i="35"/>
  <c r="H25" i="35"/>
  <c r="G25" i="35"/>
  <c r="L24" i="35"/>
  <c r="M24" i="35"/>
  <c r="K24" i="35"/>
  <c r="J24" i="35"/>
  <c r="I24" i="35"/>
  <c r="H24" i="35"/>
  <c r="G24" i="35"/>
  <c r="K23" i="35"/>
  <c r="I23" i="35"/>
  <c r="L23" i="35"/>
  <c r="M23" i="35"/>
  <c r="H23" i="35"/>
  <c r="G23" i="35"/>
  <c r="L22" i="35"/>
  <c r="M22" i="35"/>
  <c r="I22" i="35"/>
  <c r="I28" i="35"/>
  <c r="H22" i="35"/>
  <c r="K22" i="35"/>
  <c r="G22" i="35"/>
  <c r="X15" i="35"/>
  <c r="W15" i="35"/>
  <c r="T15" i="35"/>
  <c r="S15" i="35"/>
  <c r="R15" i="35"/>
  <c r="Q15" i="35"/>
  <c r="N15" i="35"/>
  <c r="L15" i="35"/>
  <c r="K15" i="35"/>
  <c r="H15" i="35"/>
  <c r="G15" i="35"/>
  <c r="F15" i="35"/>
  <c r="Z14" i="35"/>
  <c r="Y14" i="35"/>
  <c r="Z13" i="35"/>
  <c r="V13" i="35"/>
  <c r="V15" i="35"/>
  <c r="U13" i="35"/>
  <c r="Y13" i="35"/>
  <c r="N12" i="35"/>
  <c r="M12" i="35"/>
  <c r="J12" i="35"/>
  <c r="Z12" i="35"/>
  <c r="I12" i="35"/>
  <c r="G12" i="35"/>
  <c r="F12" i="35"/>
  <c r="E12" i="35"/>
  <c r="Y12" i="35"/>
  <c r="M11" i="35"/>
  <c r="M15" i="35"/>
  <c r="J11" i="35"/>
  <c r="Z11" i="35"/>
  <c r="I11" i="35"/>
  <c r="Z10" i="35"/>
  <c r="I10" i="35"/>
  <c r="I15" i="35"/>
  <c r="E10" i="35"/>
  <c r="E15" i="35"/>
  <c r="I14" i="12"/>
  <c r="W14" i="12"/>
  <c r="M22" i="37"/>
  <c r="M23" i="37"/>
  <c r="M25" i="37"/>
  <c r="M29" i="37"/>
  <c r="M31" i="37"/>
  <c r="Y15" i="37"/>
  <c r="E14" i="12"/>
  <c r="I33" i="37"/>
  <c r="Z15" i="37"/>
  <c r="F14" i="12"/>
  <c r="K28" i="37"/>
  <c r="L28" i="37"/>
  <c r="M30" i="37"/>
  <c r="F33" i="37"/>
  <c r="M24" i="37"/>
  <c r="M26" i="37"/>
  <c r="H33" i="37"/>
  <c r="E33" i="37"/>
  <c r="K33" i="36"/>
  <c r="M29" i="36"/>
  <c r="M30" i="36"/>
  <c r="L33" i="36"/>
  <c r="M23" i="36"/>
  <c r="J28" i="37"/>
  <c r="G28" i="37"/>
  <c r="M33" i="36"/>
  <c r="M22" i="36"/>
  <c r="J28" i="36"/>
  <c r="J33" i="36"/>
  <c r="Z12" i="36"/>
  <c r="Z15" i="36"/>
  <c r="I33" i="35"/>
  <c r="Z15" i="35"/>
  <c r="L28" i="35"/>
  <c r="M26" i="35"/>
  <c r="J15" i="35"/>
  <c r="Y10" i="35"/>
  <c r="U15" i="35"/>
  <c r="J23" i="35"/>
  <c r="G28" i="35"/>
  <c r="G30" i="35"/>
  <c r="F33" i="35"/>
  <c r="G33" i="35"/>
  <c r="Y11" i="35"/>
  <c r="J22" i="35"/>
  <c r="H28" i="35"/>
  <c r="L30" i="35"/>
  <c r="M30" i="35"/>
  <c r="L33" i="37"/>
  <c r="J33" i="37"/>
  <c r="G29" i="12"/>
  <c r="G33" i="37"/>
  <c r="M28" i="37"/>
  <c r="K33" i="37"/>
  <c r="J33" i="35"/>
  <c r="L33" i="35"/>
  <c r="H33" i="35"/>
  <c r="K28" i="35"/>
  <c r="K33" i="35"/>
  <c r="Y15" i="35"/>
  <c r="J28" i="35"/>
  <c r="M33" i="37"/>
  <c r="M28" i="35"/>
  <c r="M33" i="35"/>
  <c r="I33" i="34"/>
  <c r="H33" i="34"/>
  <c r="E33" i="34"/>
  <c r="L32" i="34"/>
  <c r="K32" i="34"/>
  <c r="L31" i="34"/>
  <c r="K31" i="34"/>
  <c r="L30" i="34"/>
  <c r="K30" i="34"/>
  <c r="L29" i="34"/>
  <c r="K29" i="34"/>
  <c r="K33" i="34"/>
  <c r="L28" i="34"/>
  <c r="L33" i="34"/>
  <c r="K28" i="34"/>
  <c r="I28" i="34"/>
  <c r="F28" i="34"/>
  <c r="F33" i="34"/>
  <c r="L26" i="34"/>
  <c r="K26" i="34"/>
  <c r="L25" i="34"/>
  <c r="K25" i="34"/>
  <c r="L24" i="34"/>
  <c r="K24" i="34"/>
  <c r="L23" i="34"/>
  <c r="K23" i="34"/>
  <c r="L22" i="34"/>
  <c r="K22" i="34"/>
  <c r="X15" i="34"/>
  <c r="W15" i="34"/>
  <c r="V15" i="34"/>
  <c r="U15" i="34"/>
  <c r="T15" i="34"/>
  <c r="S15" i="34"/>
  <c r="R15" i="34"/>
  <c r="Q15" i="34"/>
  <c r="N15" i="34"/>
  <c r="M15" i="34"/>
  <c r="L15" i="34"/>
  <c r="K15" i="34"/>
  <c r="J15" i="34"/>
  <c r="I15" i="34"/>
  <c r="H15" i="34"/>
  <c r="G15" i="34"/>
  <c r="F15" i="34"/>
  <c r="E15" i="34"/>
  <c r="Z14" i="34"/>
  <c r="Y14" i="34"/>
  <c r="Z13" i="34"/>
  <c r="Y13" i="34"/>
  <c r="Z12" i="34"/>
  <c r="Y12" i="34"/>
  <c r="Z11" i="34"/>
  <c r="Y11" i="34"/>
  <c r="Z10" i="34"/>
  <c r="Z15" i="34"/>
  <c r="Y10" i="34"/>
  <c r="Y15" i="34"/>
  <c r="I33" i="33"/>
  <c r="H33" i="33"/>
  <c r="L32" i="33"/>
  <c r="K32" i="33"/>
  <c r="L31" i="33"/>
  <c r="K31" i="33"/>
  <c r="L30" i="33"/>
  <c r="K30" i="33"/>
  <c r="L29" i="33"/>
  <c r="K29" i="33"/>
  <c r="I28" i="33"/>
  <c r="H28" i="33"/>
  <c r="F28" i="33"/>
  <c r="F33" i="33"/>
  <c r="E28" i="33"/>
  <c r="K28" i="33"/>
  <c r="K33" i="33"/>
  <c r="L27" i="33"/>
  <c r="K27" i="33"/>
  <c r="L26" i="33"/>
  <c r="K26" i="33"/>
  <c r="L25" i="33"/>
  <c r="K25" i="33"/>
  <c r="L24" i="33"/>
  <c r="K24" i="33"/>
  <c r="L23" i="33"/>
  <c r="K23" i="33"/>
  <c r="L22" i="33"/>
  <c r="K22" i="33"/>
  <c r="Z15" i="33"/>
  <c r="Y15" i="33"/>
  <c r="X15" i="33"/>
  <c r="W15" i="33"/>
  <c r="V15" i="33"/>
  <c r="U15" i="33"/>
  <c r="T15" i="33"/>
  <c r="S15" i="33"/>
  <c r="R15" i="33"/>
  <c r="Q15" i="33"/>
  <c r="N15" i="33"/>
  <c r="M15" i="33"/>
  <c r="L15" i="33"/>
  <c r="K15" i="33"/>
  <c r="J15" i="33"/>
  <c r="I15" i="33"/>
  <c r="H15" i="33"/>
  <c r="G15" i="33"/>
  <c r="F15" i="33"/>
  <c r="E15" i="33"/>
  <c r="I33" i="32"/>
  <c r="H33" i="32"/>
  <c r="F33" i="32"/>
  <c r="E33" i="32"/>
  <c r="L32" i="32"/>
  <c r="K32" i="32"/>
  <c r="L31" i="32"/>
  <c r="K31" i="32"/>
  <c r="L30" i="32"/>
  <c r="K30" i="32"/>
  <c r="L29" i="32"/>
  <c r="K29" i="32"/>
  <c r="L28" i="32"/>
  <c r="L33" i="32"/>
  <c r="K28" i="32"/>
  <c r="K33" i="32"/>
  <c r="L27" i="32"/>
  <c r="K27" i="32"/>
  <c r="L26" i="32"/>
  <c r="K26" i="32"/>
  <c r="L25" i="32"/>
  <c r="K25" i="32"/>
  <c r="L24" i="32"/>
  <c r="K24" i="32"/>
  <c r="L23" i="32"/>
  <c r="K23" i="32"/>
  <c r="L22" i="32"/>
  <c r="K22" i="32"/>
  <c r="X15" i="32"/>
  <c r="W15" i="32"/>
  <c r="V15" i="32"/>
  <c r="U15" i="32"/>
  <c r="T15" i="32"/>
  <c r="S15" i="32"/>
  <c r="R15" i="32"/>
  <c r="Q15" i="32"/>
  <c r="N15" i="32"/>
  <c r="M15" i="32"/>
  <c r="L15" i="32"/>
  <c r="K15" i="32"/>
  <c r="J15" i="32"/>
  <c r="I15" i="32"/>
  <c r="H15" i="32"/>
  <c r="G15" i="32"/>
  <c r="F15" i="32"/>
  <c r="E15" i="32"/>
  <c r="Z14" i="32"/>
  <c r="Y14" i="32"/>
  <c r="Z13" i="32"/>
  <c r="Y13" i="32"/>
  <c r="Z12" i="32"/>
  <c r="Y12" i="32"/>
  <c r="Z11" i="32"/>
  <c r="Y11" i="32"/>
  <c r="Z10" i="32"/>
  <c r="Y10" i="32"/>
  <c r="Y15" i="32"/>
  <c r="M32" i="31"/>
  <c r="L32" i="31"/>
  <c r="K32" i="31"/>
  <c r="J32" i="31"/>
  <c r="G32" i="31"/>
  <c r="L31" i="31"/>
  <c r="K31" i="31"/>
  <c r="M31" i="31"/>
  <c r="J31" i="31"/>
  <c r="G31" i="31"/>
  <c r="K30" i="31"/>
  <c r="M30" i="31"/>
  <c r="J30" i="31"/>
  <c r="G30" i="31"/>
  <c r="K29" i="31"/>
  <c r="M29" i="31"/>
  <c r="J29" i="31"/>
  <c r="G29" i="31"/>
  <c r="I33" i="31"/>
  <c r="H28" i="31"/>
  <c r="H33" i="31"/>
  <c r="F33" i="31"/>
  <c r="E28" i="31"/>
  <c r="E33" i="31"/>
  <c r="G33" i="31"/>
  <c r="K26" i="31"/>
  <c r="J26" i="31"/>
  <c r="G26" i="31"/>
  <c r="K25" i="31"/>
  <c r="J25" i="31"/>
  <c r="G25" i="31"/>
  <c r="K24" i="31"/>
  <c r="J24" i="31"/>
  <c r="G24" i="31"/>
  <c r="K23" i="31"/>
  <c r="J23" i="31"/>
  <c r="G23" i="31"/>
  <c r="K22" i="31"/>
  <c r="J22" i="31"/>
  <c r="G22" i="31"/>
  <c r="X15" i="31"/>
  <c r="W15" i="31"/>
  <c r="V15" i="31"/>
  <c r="U15" i="31"/>
  <c r="T15" i="31"/>
  <c r="S15" i="31"/>
  <c r="R15" i="31"/>
  <c r="Q15" i="31"/>
  <c r="N15" i="31"/>
  <c r="M15" i="31"/>
  <c r="L15" i="31"/>
  <c r="K15" i="31"/>
  <c r="J15" i="31"/>
  <c r="I15" i="31"/>
  <c r="H15" i="31"/>
  <c r="G15" i="31"/>
  <c r="F15" i="31"/>
  <c r="E15" i="31"/>
  <c r="Z15" i="31"/>
  <c r="Y15" i="31"/>
  <c r="Z15" i="32"/>
  <c r="M22" i="31"/>
  <c r="M23" i="31"/>
  <c r="M26" i="31"/>
  <c r="L33" i="31"/>
  <c r="M24" i="31"/>
  <c r="M25" i="31"/>
  <c r="L28" i="33"/>
  <c r="L33" i="33"/>
  <c r="E33" i="33"/>
  <c r="J33" i="31"/>
  <c r="J28" i="31"/>
  <c r="G28" i="31"/>
  <c r="K28" i="31"/>
  <c r="M28" i="31"/>
  <c r="K33" i="31"/>
  <c r="M33" i="31"/>
  <c r="F33" i="30"/>
  <c r="L32" i="30"/>
  <c r="K32" i="30"/>
  <c r="M31" i="30"/>
  <c r="L31" i="30"/>
  <c r="K31" i="30"/>
  <c r="J31" i="30"/>
  <c r="G31" i="30"/>
  <c r="L30" i="30"/>
  <c r="M30" i="30"/>
  <c r="K30" i="30"/>
  <c r="J30" i="30"/>
  <c r="G30" i="30"/>
  <c r="L29" i="30"/>
  <c r="M29" i="30"/>
  <c r="K29" i="30"/>
  <c r="J29" i="30"/>
  <c r="G29" i="30"/>
  <c r="L28" i="30"/>
  <c r="L33" i="30"/>
  <c r="I28" i="30"/>
  <c r="I33" i="30"/>
  <c r="J33" i="30"/>
  <c r="H28" i="30"/>
  <c r="H33" i="30"/>
  <c r="F28" i="30"/>
  <c r="G28" i="30"/>
  <c r="E28" i="30"/>
  <c r="E33" i="30"/>
  <c r="M27" i="30"/>
  <c r="L27" i="30"/>
  <c r="K27" i="30"/>
  <c r="J27" i="30"/>
  <c r="G27" i="30"/>
  <c r="L26" i="30"/>
  <c r="M26" i="30"/>
  <c r="K26" i="30"/>
  <c r="G26" i="30"/>
  <c r="L25" i="30"/>
  <c r="M25" i="30"/>
  <c r="K25" i="30"/>
  <c r="J25" i="30"/>
  <c r="G25" i="30"/>
  <c r="L24" i="30"/>
  <c r="M24" i="30"/>
  <c r="K24" i="30"/>
  <c r="J24" i="30"/>
  <c r="G24" i="30"/>
  <c r="L23" i="30"/>
  <c r="M23" i="30"/>
  <c r="K23" i="30"/>
  <c r="J23" i="30"/>
  <c r="G23" i="30"/>
  <c r="M22" i="30"/>
  <c r="L22" i="30"/>
  <c r="K22" i="30"/>
  <c r="J22" i="30"/>
  <c r="G22" i="30"/>
  <c r="X15" i="30"/>
  <c r="W15" i="30"/>
  <c r="V15" i="30"/>
  <c r="U15" i="30"/>
  <c r="T15" i="30"/>
  <c r="S15" i="30"/>
  <c r="R15" i="30"/>
  <c r="Q15" i="30"/>
  <c r="N15" i="30"/>
  <c r="M15" i="30"/>
  <c r="L15" i="30"/>
  <c r="K15" i="30"/>
  <c r="J15" i="30"/>
  <c r="I15" i="30"/>
  <c r="H15" i="30"/>
  <c r="G15" i="30"/>
  <c r="F15" i="30"/>
  <c r="E15" i="30"/>
  <c r="Z13" i="30"/>
  <c r="Y13" i="30"/>
  <c r="Z12" i="30"/>
  <c r="Y12" i="30"/>
  <c r="Z11" i="30"/>
  <c r="Y11" i="30"/>
  <c r="Z10" i="30"/>
  <c r="Z15" i="30"/>
  <c r="Y10" i="30"/>
  <c r="Y15" i="30"/>
  <c r="G33" i="30"/>
  <c r="M28" i="30"/>
  <c r="J28" i="30"/>
  <c r="K28" i="30"/>
  <c r="K33" i="30"/>
  <c r="M33" i="30"/>
  <c r="E33" i="29"/>
  <c r="L32" i="29"/>
  <c r="K32" i="29"/>
  <c r="L31" i="29"/>
  <c r="M31" i="29"/>
  <c r="G31" i="29"/>
  <c r="M30" i="29"/>
  <c r="G30" i="29"/>
  <c r="M29" i="29"/>
  <c r="I29" i="29"/>
  <c r="H29" i="29"/>
  <c r="G29" i="29"/>
  <c r="F28" i="29"/>
  <c r="L28" i="29"/>
  <c r="L33" i="29"/>
  <c r="E28" i="29"/>
  <c r="G28" i="29"/>
  <c r="M27" i="29"/>
  <c r="I27" i="29"/>
  <c r="H27" i="29"/>
  <c r="G27" i="29"/>
  <c r="M26" i="29"/>
  <c r="I26" i="29"/>
  <c r="H26" i="29"/>
  <c r="G26" i="29"/>
  <c r="M25" i="29"/>
  <c r="I25" i="29"/>
  <c r="H25" i="29"/>
  <c r="G25" i="29"/>
  <c r="M24" i="29"/>
  <c r="I24" i="29"/>
  <c r="H24" i="29"/>
  <c r="G24" i="29"/>
  <c r="M23" i="29"/>
  <c r="I23" i="29"/>
  <c r="H23" i="29"/>
  <c r="G23" i="29"/>
  <c r="M22" i="29"/>
  <c r="I22" i="29"/>
  <c r="I28" i="29"/>
  <c r="I33" i="29"/>
  <c r="H22" i="29"/>
  <c r="H28" i="29"/>
  <c r="G22" i="29"/>
  <c r="X15" i="29"/>
  <c r="W15" i="29"/>
  <c r="V15" i="29"/>
  <c r="U15" i="29"/>
  <c r="T15" i="29"/>
  <c r="S15" i="29"/>
  <c r="R15" i="29"/>
  <c r="Q15" i="29"/>
  <c r="N15" i="29"/>
  <c r="M15" i="29"/>
  <c r="L15" i="29"/>
  <c r="K15" i="29"/>
  <c r="J15" i="29"/>
  <c r="I15" i="29"/>
  <c r="H15" i="29"/>
  <c r="G15" i="29"/>
  <c r="F15" i="29"/>
  <c r="E15" i="29"/>
  <c r="Z14" i="29"/>
  <c r="Y14" i="29"/>
  <c r="Z13" i="29"/>
  <c r="Y13" i="29"/>
  <c r="Z12" i="29"/>
  <c r="Y12" i="29"/>
  <c r="Z11" i="29"/>
  <c r="Y11" i="29"/>
  <c r="Z10" i="29"/>
  <c r="Y10" i="29"/>
  <c r="F9" i="29"/>
  <c r="G9" i="29"/>
  <c r="H9" i="29"/>
  <c r="I9" i="29"/>
  <c r="J9" i="29"/>
  <c r="K9" i="29"/>
  <c r="L9" i="29"/>
  <c r="M9" i="29"/>
  <c r="N9" i="29"/>
  <c r="Q9" i="29"/>
  <c r="R9" i="29"/>
  <c r="S9" i="29"/>
  <c r="T9" i="29"/>
  <c r="U9" i="29"/>
  <c r="V9" i="29"/>
  <c r="W9" i="29"/>
  <c r="X9" i="29"/>
  <c r="Y9" i="29"/>
  <c r="Z9" i="29"/>
  <c r="E15" i="12"/>
  <c r="K25" i="12"/>
  <c r="L26" i="12"/>
  <c r="L29" i="12"/>
  <c r="Z15" i="29"/>
  <c r="Y15" i="29"/>
  <c r="H33" i="29"/>
  <c r="K28" i="29"/>
  <c r="F33" i="29"/>
  <c r="G33" i="29"/>
  <c r="K33" i="29"/>
  <c r="M33" i="29"/>
  <c r="M28" i="29"/>
  <c r="G30" i="12"/>
  <c r="L27" i="12"/>
  <c r="M27" i="12"/>
  <c r="F15" i="12"/>
  <c r="I33" i="12"/>
  <c r="J33" i="12"/>
  <c r="J28" i="12"/>
  <c r="J17" i="12"/>
  <c r="N17" i="12"/>
  <c r="R17" i="12"/>
  <c r="H35" i="12"/>
  <c r="G17" i="12"/>
  <c r="K17" i="12"/>
  <c r="O17" i="12"/>
  <c r="S17" i="12"/>
  <c r="W17" i="12"/>
  <c r="I17" i="12"/>
  <c r="H17" i="12"/>
  <c r="L17" i="12"/>
  <c r="P17" i="12"/>
  <c r="T17" i="12"/>
  <c r="X17" i="12"/>
  <c r="F28" i="12"/>
  <c r="L31" i="12"/>
  <c r="M31" i="12"/>
  <c r="E28" i="12"/>
  <c r="E33" i="12"/>
  <c r="E35" i="12"/>
  <c r="J23" i="12"/>
  <c r="K23" i="12"/>
  <c r="K28" i="12"/>
  <c r="K33" i="12"/>
  <c r="K35" i="12"/>
  <c r="L23" i="12"/>
  <c r="W10" i="12"/>
  <c r="W15" i="12"/>
  <c r="G24" i="12"/>
  <c r="K30" i="12"/>
  <c r="M30" i="12"/>
  <c r="X10" i="12"/>
  <c r="X15" i="12"/>
  <c r="L25" i="12"/>
  <c r="M25" i="12"/>
  <c r="G32" i="12"/>
  <c r="L28" i="12"/>
  <c r="I35" i="12"/>
  <c r="G28" i="12"/>
  <c r="F33" i="12"/>
  <c r="M23" i="12"/>
  <c r="F35" i="12"/>
  <c r="G33" i="12"/>
  <c r="L33" i="12"/>
  <c r="M28" i="12"/>
  <c r="L35" i="12"/>
  <c r="M33" i="12"/>
</calcChain>
</file>

<file path=xl/comments1.xml><?xml version="1.0" encoding="utf-8"?>
<comments xmlns="http://schemas.openxmlformats.org/spreadsheetml/2006/main">
  <authors>
    <author>PŠ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ř. 0307.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ř. 0306.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ř. 0309b.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0200.</t>
        </r>
      </text>
    </comment>
    <comment ref="Y11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0207.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0305.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17 ř. 0305.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0310.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17 ř. 0310.</t>
        </r>
      </text>
    </comment>
    <comment ref="U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0308.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17 ř. 0308.</t>
        </r>
      </text>
    </comment>
    <comment ref="W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0309.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17 ř. 0309.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0311.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17 ř. 0311.</t>
        </r>
      </text>
    </comment>
    <comment ref="K22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0202.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0202.</t>
        </r>
      </text>
    </comment>
    <comment ref="K23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Škol. sl. 2 ř. 0203.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0203.</t>
        </r>
      </text>
    </comment>
    <comment ref="K24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0204.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0204.</t>
        </r>
      </text>
    </comment>
    <comment ref="K2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0205.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0205.</t>
        </r>
      </text>
    </comment>
    <comment ref="K26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0206.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0206.</t>
        </r>
      </text>
    </comment>
    <comment ref="K27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0201.</t>
        </r>
      </text>
    </comment>
    <comment ref="L27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0201.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2b ř. 0200.</t>
        </r>
      </text>
    </comment>
    <comment ref="F28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12b ř. 0200.</t>
        </r>
      </text>
    </comment>
    <comment ref="K28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0200.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0200.</t>
        </r>
      </text>
    </comment>
    <comment ref="K29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0207.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0207.</t>
        </r>
      </text>
    </comment>
    <comment ref="E33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0307.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0307.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2 ř. 0311.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  <charset val="238"/>
          </rPr>
          <t>PŠ:</t>
        </r>
        <r>
          <rPr>
            <sz val="9"/>
            <color indexed="81"/>
            <rFont val="Tahoma"/>
            <family val="2"/>
            <charset val="238"/>
          </rPr>
          <t xml:space="preserve">
Škol sl. 12 ř. 0311.</t>
        </r>
      </text>
    </comment>
  </commentList>
</comments>
</file>

<file path=xl/comments2.xml><?xml version="1.0" encoding="utf-8"?>
<comments xmlns="http://schemas.openxmlformats.org/spreadsheetml/2006/main">
  <authors>
    <author>Landa Vaclav</author>
  </authors>
  <commentList>
    <comment ref="J21" authorId="0" shapeId="0">
      <text>
        <r>
          <rPr>
            <sz val="9"/>
            <color indexed="81"/>
            <rFont val="Tahoma"/>
            <family val="2"/>
            <charset val="238"/>
          </rPr>
          <t>Vysoké částky průměrné měsíční mzdy z ostatních zdrojů rozpočtu VŠ jsou způsobeny vyplácením mezd pracovníkům, aniž by tito byli zapojeni úvazkem do daných typů zdrojů financování (zejména vyplácení odměn z doplňkové činnosti apod.)</t>
        </r>
      </text>
    </comment>
  </commentList>
</comments>
</file>

<file path=xl/sharedStrings.xml><?xml version="1.0" encoding="utf-8"?>
<sst xmlns="http://schemas.openxmlformats.org/spreadsheetml/2006/main" count="2227" uniqueCount="170">
  <si>
    <t xml:space="preserve"> </t>
  </si>
  <si>
    <t>č.ř.</t>
  </si>
  <si>
    <t>ostatní</t>
  </si>
  <si>
    <t>Celkem</t>
  </si>
  <si>
    <t>(v tis. Kč)</t>
  </si>
  <si>
    <t>Doplňková činnost</t>
  </si>
  <si>
    <t>mzdy</t>
  </si>
  <si>
    <t>Ukazatel</t>
  </si>
  <si>
    <t>KaM</t>
  </si>
  <si>
    <t>vědečtí pracovníci</t>
  </si>
  <si>
    <t>celkem</t>
  </si>
  <si>
    <t>profesoři</t>
  </si>
  <si>
    <t>docenti</t>
  </si>
  <si>
    <t>odborní asistenti</t>
  </si>
  <si>
    <t>asistenti</t>
  </si>
  <si>
    <t>lektoři</t>
  </si>
  <si>
    <t>akademičtí pracovníci</t>
  </si>
  <si>
    <t>CELKEM</t>
  </si>
  <si>
    <t>Fondy</t>
  </si>
  <si>
    <t>bez VaV</t>
  </si>
  <si>
    <t>Operační programy EU</t>
  </si>
  <si>
    <t>Ostatní zdroje</t>
  </si>
  <si>
    <t>Počet pracovníků</t>
  </si>
  <si>
    <t>Průměrná měsíční mzda</t>
  </si>
  <si>
    <t>Kapitola 333 - MŠMT</t>
  </si>
  <si>
    <t>VZaLS</t>
  </si>
  <si>
    <t>Vysoká škola</t>
  </si>
  <si>
    <t>VaV</t>
  </si>
  <si>
    <t>VaV z ostatních zdrojů (bez operačních progr.)</t>
  </si>
  <si>
    <t>VaV ze zahraničí</t>
  </si>
  <si>
    <t>vysoká škola</t>
  </si>
  <si>
    <t>ostatní poskytovatelé</t>
  </si>
  <si>
    <t>kapitola 333 - MŠMT</t>
  </si>
  <si>
    <t>Mzdy</t>
  </si>
  <si>
    <t>ostatní zdroje rozpočtu VŠ</t>
  </si>
  <si>
    <t>Zdroj financování</t>
  </si>
  <si>
    <t>Poznámky</t>
  </si>
  <si>
    <t>Ostatní</t>
  </si>
  <si>
    <t>OON</t>
  </si>
  <si>
    <r>
      <t>VaV z národních zdrojů</t>
    </r>
    <r>
      <rPr>
        <sz val="8"/>
        <rFont val="Calibri"/>
        <family val="2"/>
        <charset val="238"/>
      </rPr>
      <t xml:space="preserve"> (2)</t>
    </r>
  </si>
  <si>
    <r>
      <t xml:space="preserve">Počet pracovníků </t>
    </r>
    <r>
      <rPr>
        <sz val="8"/>
        <rFont val="Calibri"/>
        <family val="2"/>
        <charset val="238"/>
      </rPr>
      <t>(3)</t>
    </r>
  </si>
  <si>
    <r>
      <rPr>
        <sz val="8"/>
        <color indexed="8"/>
        <rFont val="Calibri"/>
        <family val="2"/>
        <charset val="238"/>
      </rPr>
      <t>(3)</t>
    </r>
    <r>
      <rPr>
        <sz val="10"/>
        <color indexed="8"/>
        <rFont val="Calibri"/>
        <family val="2"/>
        <charset val="238"/>
      </rPr>
      <t xml:space="preserve"> Počet pracovníků = průměrný počet zaměstnanců přepočtený na plný úvazek (full-time equivalent). Zahrnuje počty zaměstnanců v jednotlivých kategoriích za celý sledovaný rok přepočtené na zaměstnance s plným pracovním úvazkem, zaokrouhlené na celé číslo.  Počet pracovníků ve sl.1 je odvozený od mzdových prostředků hrazených z kapitoly 333-MŠMT; ve sl. 4 je odvozený od mzdových prostředků hrazených z ostatních zdrojů rozpočtu VŠ.</t>
    </r>
  </si>
  <si>
    <r>
      <t xml:space="preserve">akademičtí pracovníci </t>
    </r>
    <r>
      <rPr>
        <sz val="8"/>
        <rFont val="Calibri"/>
        <family val="2"/>
        <charset val="238"/>
      </rPr>
      <t>(4)</t>
    </r>
  </si>
  <si>
    <r>
      <t xml:space="preserve">vědečtí pracovníci </t>
    </r>
    <r>
      <rPr>
        <sz val="8"/>
        <rFont val="Calibri"/>
        <family val="2"/>
        <charset val="238"/>
      </rPr>
      <t>(5)</t>
    </r>
  </si>
  <si>
    <r>
      <t xml:space="preserve">ostatní </t>
    </r>
    <r>
      <rPr>
        <sz val="8"/>
        <rFont val="Calibri"/>
        <family val="2"/>
        <charset val="238"/>
      </rPr>
      <t>(6)</t>
    </r>
  </si>
  <si>
    <r>
      <rPr>
        <sz val="8"/>
        <color indexed="8"/>
        <rFont val="Calibri"/>
        <family val="2"/>
        <charset val="238"/>
      </rPr>
      <t>(5)</t>
    </r>
    <r>
      <rPr>
        <sz val="10"/>
        <color indexed="8"/>
        <rFont val="Calibri"/>
        <family val="2"/>
        <charset val="238"/>
      </rPr>
      <t xml:space="preserve"> Jedná se o vědecké pracovníky, kteří v rámci svého úvazku na vysoké škole pouze vědecky pracují. Pedagogické činnosti se nevěnují vůbec.</t>
    </r>
  </si>
  <si>
    <r>
      <rPr>
        <sz val="8"/>
        <color indexed="8"/>
        <rFont val="Calibri"/>
        <family val="2"/>
        <charset val="238"/>
      </rPr>
      <t>(2)</t>
    </r>
    <r>
      <rPr>
        <sz val="10"/>
        <color indexed="8"/>
        <rFont val="Calibri"/>
        <family val="2"/>
        <charset val="238"/>
      </rPr>
      <t xml:space="preserve"> Obsahuje prostředky z GA ČR, TA ČR, ministerstev a dalších národních zdrojů (bez operačních programů EU).</t>
    </r>
  </si>
  <si>
    <t>3=sl.2/12/sl.1</t>
  </si>
  <si>
    <t>6=sl.5/12     /sl.4</t>
  </si>
  <si>
    <t>9=sl.8/12   /sl.7</t>
  </si>
  <si>
    <r>
      <rPr>
        <sz val="8"/>
        <color indexed="8"/>
        <rFont val="Calibri"/>
        <family val="2"/>
        <charset val="238"/>
      </rPr>
      <t>(1)</t>
    </r>
    <r>
      <rPr>
        <sz val="10"/>
        <color indexed="8"/>
        <rFont val="Calibri"/>
        <family val="2"/>
        <charset val="238"/>
      </rPr>
      <t xml:space="preserve"> Mzdy = plnění poskytované za vykonanou práci či v přímé souvislosti s prací poskytovanou na základě pracovního poměru, a to bez sociálního a zdravotního pojištění, které odvádí zaměstnavatel; OON obsahuje pouze platby za provedenou práci (DPP, DPČ), neobsahuje sociální a zdravotní pojištění, které odvádí zaměstnavatel.</t>
    </r>
  </si>
  <si>
    <t xml:space="preserve">Tabulka 8   Pracovníci a mzdové prostředky </t>
  </si>
  <si>
    <r>
      <t xml:space="preserve">mzdy </t>
    </r>
    <r>
      <rPr>
        <sz val="8"/>
        <rFont val="Calibri"/>
        <family val="2"/>
        <charset val="238"/>
      </rPr>
      <t>(7)</t>
    </r>
  </si>
  <si>
    <r>
      <rPr>
        <sz val="8"/>
        <color indexed="8"/>
        <rFont val="Calibri"/>
        <family val="2"/>
        <charset val="238"/>
      </rPr>
      <t>(7)</t>
    </r>
    <r>
      <rPr>
        <sz val="10"/>
        <color indexed="8"/>
        <rFont val="Calibri"/>
        <family val="2"/>
        <charset val="238"/>
      </rPr>
      <t xml:space="preserve"> Hodnota mezd CELKEM v řádku 6 (CELKEM) tab. 8.a se rovná hodnotě mezd CELKEM ve sl. 8, ř. 11 tabulky 8.b.</t>
    </r>
  </si>
  <si>
    <t>tis. Kč</t>
  </si>
  <si>
    <r>
      <rPr>
        <sz val="8"/>
        <color indexed="8"/>
        <rFont val="Calibri"/>
        <family val="2"/>
        <charset val="238"/>
      </rPr>
      <t>(6)</t>
    </r>
    <r>
      <rPr>
        <sz val="10"/>
        <color indexed="8"/>
        <rFont val="Calibri"/>
        <family val="2"/>
        <charset val="238"/>
      </rPr>
      <t xml:space="preserve"> Úvazky pracovníků, kteří se nevěnují ani pedagogické ani vědecké činnosti. Jde zejména o technicko- hospodářské pracovníky, provozní a obchodně provozní pracovníky, zdravotní a ostatní pracovníky, atp.</t>
    </r>
  </si>
  <si>
    <r>
      <rPr>
        <sz val="8"/>
        <color indexed="8"/>
        <rFont val="Calibri"/>
        <family val="2"/>
        <charset val="238"/>
      </rPr>
      <t>(4)</t>
    </r>
    <r>
      <rPr>
        <sz val="10"/>
        <color indexed="8"/>
        <rFont val="Calibri"/>
        <family val="2"/>
        <charset val="238"/>
      </rPr>
      <t xml:space="preserve"> Jedná se o pracovníky vysoké školy, kteří jsou vnitřním předpisem vysoké školy zařazeni mezi akademické pracovníky. Zároveň platí, že se v rámci svého úvazku věnují pedagogické nebo vědecké činnosti; není možné mezi akademické pracovníky zařadit vědecké pracovníky, kteří na vysoké škole pouze vědecky pracují a vůbec nevyučují. Vědečtí, výzkumní a vývojoví pracovníci podílející se na pedagogické činnosti budou započteni do vyznačených kategorií akademických pracovníků.
Pokud vysoká škola v rámci svých vnitřních předpisů eviduje i jiné kategorie akademických pracovníků, doplní řádek "ostatní" a v komentáři blíže vysvětlí, o jaké pracovníky se jedná. Výčet v jednotlivých kategoriích (řádcích) akademických pracovníků se nesmí překrývat, celkový součet musí odpovídat skutečným přepočteným "full-time" akademickým pracovníkům. Celkový součet za kategorii akademických pracovníků a vědeckých pracovníků musí souhlasit s údajem vykázaným ve výroční zprávě o činnosti, tabulka 7.1.</t>
    </r>
  </si>
  <si>
    <r>
      <t xml:space="preserve">Tab. 8.a:    Pracovníci a mzdové prostředky </t>
    </r>
    <r>
      <rPr>
        <sz val="11"/>
        <rFont val="Calibri"/>
        <family val="2"/>
        <charset val="238"/>
      </rPr>
      <t>(v podrobném členění dle zdroje financování - mzdy vč. OON)</t>
    </r>
    <r>
      <rPr>
        <sz val="8"/>
        <rFont val="Calibri"/>
        <family val="2"/>
        <charset val="238"/>
      </rPr>
      <t xml:space="preserve"> (1)</t>
    </r>
  </si>
  <si>
    <r>
      <t xml:space="preserve">Tab. 8.b:    Pracovníci a mzdové prostředky </t>
    </r>
    <r>
      <rPr>
        <sz val="11"/>
        <rFont val="Calibri"/>
        <family val="2"/>
        <charset val="238"/>
      </rPr>
      <t>(v podrobném členění dle akademických kategorií -bez OON)</t>
    </r>
  </si>
  <si>
    <t xml:space="preserve">v gesci MŠMT </t>
  </si>
  <si>
    <r>
      <rPr>
        <sz val="8"/>
        <color indexed="8"/>
        <rFont val="Calibri"/>
        <family val="2"/>
        <charset val="238"/>
      </rPr>
      <t>(8)</t>
    </r>
    <r>
      <rPr>
        <sz val="10"/>
        <color indexed="8"/>
        <rFont val="Calibri"/>
        <family val="2"/>
        <charset val="238"/>
      </rPr>
      <t xml:space="preserve"> Hodnota mezd CELKEM ve sl. 2, ř. 11 tabulky 8.b. se rovná součtu hodnot mezd CELKEM ve sloupcích 1 a 3  řádku 6 tabulky 8.a.                                                 Hodnota mezd CELKEM ve sl. 5, ř. 11 tabulky 8.b. se rovná součtu hodnot mezd CELKEM ve sloupcích 5, 7, 9, 11, 13, 15 a 17  řádku 6 tabulky 8.a</t>
    </r>
  </si>
  <si>
    <t>Tabulka 8   Pracovníci a mzdové prostředky</t>
  </si>
  <si>
    <t>v tis. Kč</t>
  </si>
  <si>
    <t>VaV z národních zdrojů (2)</t>
  </si>
  <si>
    <t>v gesci MŠMT</t>
  </si>
  <si>
    <t>mzdy (7)</t>
  </si>
  <si>
    <t>Počet pracovníků (3)</t>
  </si>
  <si>
    <t>akademičtí pracovníci (4)</t>
  </si>
  <si>
    <t>-</t>
  </si>
  <si>
    <t>ped. prac. VVI</t>
  </si>
  <si>
    <t>vědečtí pracovníci (5)</t>
  </si>
  <si>
    <t>ostatní (6)</t>
  </si>
  <si>
    <r>
      <rPr>
        <b/>
        <sz val="18"/>
        <rFont val="Calibri"/>
        <family val="2"/>
        <charset val="238"/>
      </rPr>
      <t>Tab. 8.a:    Pracovníci a mzdové prostředky</t>
    </r>
    <r>
      <rPr>
        <b/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(dle zdroje financování mzdy a OON) (1)</t>
    </r>
  </si>
  <si>
    <r>
      <t>VaV z národních zdrojů</t>
    </r>
    <r>
      <rPr>
        <sz val="8"/>
        <rFont val="Calibri"/>
        <family val="2"/>
        <charset val="238"/>
      </rPr>
      <t xml:space="preserve"> (2)</t>
    </r>
  </si>
  <si>
    <r>
      <rPr>
        <b/>
        <sz val="18"/>
        <rFont val="Calibri"/>
        <family val="2"/>
        <charset val="238"/>
      </rPr>
      <t>Tab. 8.b:    Pracovníci a mzdové prostředky</t>
    </r>
    <r>
      <rPr>
        <b/>
        <sz val="12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(bez OON)</t>
    </r>
  </si>
  <si>
    <r>
      <t xml:space="preserve">Počet pracovníků </t>
    </r>
    <r>
      <rPr>
        <sz val="8"/>
        <rFont val="Calibri"/>
        <family val="2"/>
        <charset val="238"/>
      </rPr>
      <t>(3)</t>
    </r>
  </si>
  <si>
    <r>
      <t xml:space="preserve">akademičtí pracovníci </t>
    </r>
    <r>
      <rPr>
        <sz val="8"/>
        <rFont val="Calibri"/>
        <family val="2"/>
        <charset val="238"/>
      </rPr>
      <t>(4)</t>
    </r>
  </si>
  <si>
    <r>
      <t xml:space="preserve">vědečtí pracovníci </t>
    </r>
    <r>
      <rPr>
        <sz val="8"/>
        <rFont val="Calibri"/>
        <family val="2"/>
        <charset val="238"/>
      </rPr>
      <t>(5)</t>
    </r>
  </si>
  <si>
    <r>
      <t xml:space="preserve">ostatní </t>
    </r>
    <r>
      <rPr>
        <sz val="8"/>
        <rFont val="Calibri"/>
        <family val="2"/>
        <charset val="238"/>
      </rPr>
      <t>(6)</t>
    </r>
  </si>
  <si>
    <t>Tabulka 8   Pracovníci a mzdové prostředky v roce 2017</t>
  </si>
  <si>
    <r>
      <t xml:space="preserve">mzdy </t>
    </r>
    <r>
      <rPr>
        <sz val="8"/>
        <rFont val="Calibri"/>
        <family val="2"/>
        <charset val="238"/>
      </rPr>
      <t>(7)</t>
    </r>
  </si>
  <si>
    <r>
      <t xml:space="preserve">Tab. 8.b:    Pracovníci a mzdové prostředky </t>
    </r>
    <r>
      <rPr>
        <sz val="11"/>
        <rFont val="Calibri"/>
        <family val="2"/>
        <charset val="238"/>
      </rPr>
      <t>(v podrobném členění dle akademických kategorií - bez OON)</t>
    </r>
  </si>
  <si>
    <t>Kontrola výkaz Z+Z A.III.10</t>
  </si>
  <si>
    <t>pedagogičtí pracovníci V, VaI</t>
  </si>
  <si>
    <t>TABULKA 8 PRACOVNÍCI A MZDOVÉ PROSTŘEDKY</t>
  </si>
  <si>
    <r>
      <t>TABULKA 8a PRACOVNÍCI A MZDOVÉ PROSTŘEDKY (DLE ZDROJE FINANCOVÁNÍ - MZDY a OON)</t>
    </r>
    <r>
      <rPr>
        <b/>
        <vertAlign val="superscript"/>
        <sz val="12"/>
        <rFont val="Arial"/>
        <family val="2"/>
        <charset val="238"/>
      </rPr>
      <t>1)</t>
    </r>
  </si>
  <si>
    <t>v Kč</t>
  </si>
  <si>
    <t>Řádek</t>
  </si>
  <si>
    <t>Kapitola 333 – MŠMT</t>
  </si>
  <si>
    <t>Bez VaV</t>
  </si>
  <si>
    <t>V gesci MŠMT</t>
  </si>
  <si>
    <t>Ostatní poskytovatelé</t>
  </si>
  <si>
    <t>Mzdy (7)</t>
  </si>
  <si>
    <t>UJEP</t>
  </si>
  <si>
    <t>Akademičtí pracovníci</t>
  </si>
  <si>
    <t>Vědečtí pracovníci</t>
  </si>
  <si>
    <t>TABULKA 8b  PRACOVNÍCI A MZDOVÉ PROSTŘEDKY (BEZ OON)</t>
  </si>
  <si>
    <t>Ostatní zdroje rozpočtu UJEP</t>
  </si>
  <si>
    <t>6=sl.5/12/sl.4</t>
  </si>
  <si>
    <t>9=sl.8/12/sl.7</t>
  </si>
  <si>
    <t>Akademičtí pracovníci (4)</t>
  </si>
  <si>
    <t>Profesoři</t>
  </si>
  <si>
    <t>Docenti</t>
  </si>
  <si>
    <t>Odb. asistenti</t>
  </si>
  <si>
    <t>Asistenti</t>
  </si>
  <si>
    <t>Lektoři</t>
  </si>
  <si>
    <t>Vědečtí pracovníci (5)</t>
  </si>
  <si>
    <t>Ostatní (6)</t>
  </si>
  <si>
    <r>
      <t xml:space="preserve">Tab. 8.a:    Pracovníci a mzdové prostředky za rok 2017 </t>
    </r>
    <r>
      <rPr>
        <sz val="11"/>
        <rFont val="Calibri"/>
        <family val="2"/>
        <charset val="238"/>
      </rPr>
      <t>(v podrobném členění dle zdroje financování - mzdy vč. OON)</t>
    </r>
    <r>
      <rPr>
        <sz val="8"/>
        <rFont val="Calibri"/>
        <family val="2"/>
        <charset val="238"/>
      </rPr>
      <t xml:space="preserve"> (1)</t>
    </r>
  </si>
  <si>
    <t>č. ř.</t>
  </si>
  <si>
    <r>
      <t xml:space="preserve">Tab. 8.b:    Pracovníci a mzdové prostředky za rok 2017 </t>
    </r>
    <r>
      <rPr>
        <sz val="11"/>
        <rFont val="Calibri"/>
        <family val="2"/>
        <charset val="238"/>
      </rPr>
      <t>(v podrobném členění dle akademických kategorií -bez OON)</t>
    </r>
  </si>
  <si>
    <t>ped. prac. VaV</t>
  </si>
  <si>
    <t>pedag. prac.VVI</t>
  </si>
  <si>
    <t>Tabulka 8   Pracovníci a mzdové prostředky za rok 2017</t>
  </si>
  <si>
    <t>VaV z ostatních zdrojů (bez operač. progr.)</t>
  </si>
  <si>
    <t>ŠZP</t>
  </si>
  <si>
    <t>Průměrná měsíční mzda (Kč)</t>
  </si>
  <si>
    <r>
      <t xml:space="preserve">Mzdy </t>
    </r>
    <r>
      <rPr>
        <sz val="8"/>
        <rFont val="Calibri"/>
        <family val="2"/>
        <charset val="238"/>
      </rPr>
      <t>(7)</t>
    </r>
  </si>
  <si>
    <t>3=sl.2/12
/sl.1</t>
  </si>
  <si>
    <t>6=sl.5/12
/sl.4</t>
  </si>
  <si>
    <t>9=sl.8/12
/sl.7</t>
  </si>
  <si>
    <r>
      <t xml:space="preserve">Tab. 8.b:    Pracovníci a mzdové prostředky </t>
    </r>
    <r>
      <rPr>
        <sz val="11"/>
        <rFont val="Calibri"/>
        <family val="2"/>
        <charset val="238"/>
      </rPr>
      <t>(bez OON)</t>
    </r>
  </si>
  <si>
    <t>pedag.prac. V,VaI</t>
  </si>
  <si>
    <t xml:space="preserve">Tab. 8.   Pracovníci a mzdové prostředky </t>
  </si>
  <si>
    <r>
      <t xml:space="preserve">Tab. 8.a.    Pracovníci a mzdové prostředky </t>
    </r>
    <r>
      <rPr>
        <sz val="11"/>
        <rFont val="Comenia Serif"/>
        <family val="3"/>
      </rPr>
      <t>(v podrobném členění dle zdroje financování - mzdy vč. OON)</t>
    </r>
  </si>
  <si>
    <t xml:space="preserve">VaV z národních zdrojů </t>
  </si>
  <si>
    <t xml:space="preserve">mzdy </t>
  </si>
  <si>
    <r>
      <t xml:space="preserve">Tab. 8.b.    Pracovníci a mzdové prostředky </t>
    </r>
    <r>
      <rPr>
        <sz val="11"/>
        <rFont val="Comenia Serif"/>
        <family val="3"/>
      </rPr>
      <t>(v podrobném členění dle akademických kategorií -bez OON)</t>
    </r>
  </si>
  <si>
    <t xml:space="preserve">Počet pracovníků </t>
  </si>
  <si>
    <t xml:space="preserve">akademičtí pracovníci </t>
  </si>
  <si>
    <t xml:space="preserve">vědečtí pracovníci </t>
  </si>
  <si>
    <t xml:space="preserve">Tabulka 3.1.3.2 Pracovníci a mzdové prostředky Slezské univerzity v Opavě (dle zdroje financování mzdy a OON) </t>
  </si>
  <si>
    <t>Č. ř.</t>
  </si>
  <si>
    <t>VaV z ostatních zdrojů 
(bez operačních progr.)</t>
  </si>
  <si>
    <t>VaV z národních zdrojů*</t>
  </si>
  <si>
    <t>VŠ</t>
  </si>
  <si>
    <t>* V těchto sloupcích jsou uvedeny prostředky z GA ČR, ministerstev a dalších národních zdrojů (bez operačních programů EU).</t>
  </si>
  <si>
    <t>Tabulka 3.1.3.3 Pracovníci a mzdové prostředky Slezské univerzity v Opavě (bez OON)</t>
  </si>
  <si>
    <t>kontrola</t>
  </si>
  <si>
    <t>Ostatní zdroje rozpočtu VŠ</t>
  </si>
  <si>
    <t>Počet pracovníků*</t>
  </si>
  <si>
    <t>Průměrná měsíční mzda (v Kč)</t>
  </si>
  <si>
    <t>3=sl. 2/12
/sl. 1</t>
  </si>
  <si>
    <t>6=sl. 5/12
/sl. 4</t>
  </si>
  <si>
    <t>9=sl. 8/12
/sl. 7</t>
  </si>
  <si>
    <t>Akademičtí pracovníci**</t>
  </si>
  <si>
    <t>pedagog.pracovníci VaV</t>
  </si>
  <si>
    <t>Vědečtí pracovníci***</t>
  </si>
  <si>
    <t>Ostatní****</t>
  </si>
  <si>
    <t>MŠMT OP VK</t>
  </si>
  <si>
    <t>MŠMT OP VaVpI</t>
  </si>
  <si>
    <t>pedagogičtí prac.VaV</t>
  </si>
  <si>
    <r>
      <t xml:space="preserve">Tab. 8.a:    Pracovníci a mzdové prostředky </t>
    </r>
    <r>
      <rPr>
        <sz val="11"/>
        <rFont val="Calibri"/>
        <family val="2"/>
        <charset val="238"/>
      </rPr>
      <t>(dle zdroje financování mzdy a OON)</t>
    </r>
    <r>
      <rPr>
        <sz val="8"/>
        <rFont val="Calibri"/>
        <family val="2"/>
        <charset val="238"/>
      </rPr>
      <t xml:space="preserve"> (1)</t>
    </r>
  </si>
  <si>
    <t>MŠMT OP VVV</t>
  </si>
  <si>
    <t>MPO OP PIK</t>
  </si>
  <si>
    <t>---</t>
  </si>
  <si>
    <r>
      <t xml:space="preserve">Tab. 8.a:    Pracovníci a mzdové prostředky </t>
    </r>
    <r>
      <rPr>
        <sz val="11"/>
        <rFont val="Calibri"/>
        <family val="2"/>
        <charset val="238"/>
      </rPr>
      <t>(v podrobném členění dle zdroje financování - mzdy vč. OON)</t>
    </r>
  </si>
  <si>
    <t>VaV z národních zdrojů</t>
  </si>
  <si>
    <r>
      <t xml:space="preserve">Tab. 8.a:    Pracovníci a mzdové prostředky </t>
    </r>
    <r>
      <rPr>
        <sz val="12"/>
        <rFont val="Times New Roman"/>
        <family val="1"/>
        <charset val="238"/>
      </rPr>
      <t>(v podrobném členění dle zdroje financování - mzdy vč. OON) (1)</t>
    </r>
  </si>
  <si>
    <r>
      <t xml:space="preserve">Tab. 8.b:    Pracovníci a mzdové prostředky </t>
    </r>
    <r>
      <rPr>
        <sz val="12"/>
        <rFont val="Times New Roman"/>
        <family val="1"/>
        <charset val="238"/>
      </rPr>
      <t>(v podrobném členění dle akademických kategorií -bez OON)</t>
    </r>
  </si>
  <si>
    <t>pedag.prac.VaV</t>
  </si>
  <si>
    <t xml:space="preserve">Tabulka 8   Pracovníci a mzdové prostředky UTB za rok 2017 </t>
  </si>
  <si>
    <t>pedag. pracovníci VaV</t>
  </si>
  <si>
    <t>X</t>
  </si>
  <si>
    <t>ŠLP Kostelec</t>
  </si>
  <si>
    <t>ŠZP Lány</t>
  </si>
  <si>
    <r>
      <t xml:space="preserve">Tab. 8.b:    Pracovníci a mzdové prostředky </t>
    </r>
    <r>
      <rPr>
        <sz val="10"/>
        <rFont val="Calibri"/>
        <family val="2"/>
        <charset val="238"/>
      </rPr>
      <t>(bez OON)</t>
    </r>
  </si>
  <si>
    <t>pedag.prac.VaVI</t>
  </si>
  <si>
    <r>
      <t xml:space="preserve">mzdy </t>
    </r>
    <r>
      <rPr>
        <b/>
        <sz val="8"/>
        <rFont val="Calibri"/>
        <family val="2"/>
        <charset val="238"/>
      </rPr>
      <t>(7)</t>
    </r>
  </si>
  <si>
    <t>ped. A VaV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</si>
</sst>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K_č_-;\-* #,##0\ _K_č_-;_-* &quot;-&quot;\ _K_č_-;_-@_-"/>
    <numFmt numFmtId="43" formatCode="_-* #,##0.00\ _K_č_-;\-* #,##0.00\ _K_č_-;_-* &quot;-&quot;??\ _K_č_-;_-@_-"/>
    <numFmt numFmtId="164" formatCode="0.000"/>
    <numFmt numFmtId="165" formatCode="#,##0.000"/>
    <numFmt numFmtId="176" formatCode="0.0"/>
    <numFmt numFmtId="177" formatCode="#,##0.0"/>
    <numFmt numFmtId="179" formatCode="#,##0\ _K_č"/>
  </numFmts>
  <fonts count="7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b/>
      <sz val="24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4"/>
      <color indexed="8"/>
      <name val="Calibri"/>
      <family val="2"/>
      <charset val="238"/>
    </font>
    <font>
      <sz val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omenia Serif"/>
      <family val="3"/>
    </font>
    <font>
      <sz val="11"/>
      <name val="Comenia Serif"/>
      <family val="3"/>
    </font>
    <font>
      <sz val="11"/>
      <color indexed="8"/>
      <name val="Comenia Serif"/>
      <family val="3"/>
    </font>
    <font>
      <b/>
      <sz val="11"/>
      <color indexed="8"/>
      <name val="Comenia Serif"/>
      <family val="3"/>
    </font>
    <font>
      <sz val="8"/>
      <color indexed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E3193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 tint="0.499984740745262"/>
      <name val="Arial"/>
      <family val="2"/>
      <charset val="238"/>
    </font>
    <font>
      <sz val="12"/>
      <color theme="1" tint="0.49998474074526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4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2022">
    <xf numFmtId="0" fontId="0" fillId="0" borderId="0" xfId="0"/>
    <xf numFmtId="0" fontId="46" fillId="0" borderId="0" xfId="2" applyFont="1" applyAlignment="1" applyProtection="1">
      <alignment vertical="center"/>
      <protection locked="0"/>
    </xf>
    <xf numFmtId="0" fontId="47" fillId="0" borderId="0" xfId="2" applyFont="1" applyAlignment="1" applyProtection="1">
      <alignment vertical="center"/>
      <protection locked="0"/>
    </xf>
    <xf numFmtId="0" fontId="47" fillId="0" borderId="0" xfId="2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right" vertical="center"/>
      <protection locked="0"/>
    </xf>
    <xf numFmtId="0" fontId="48" fillId="0" borderId="0" xfId="2" applyFont="1" applyAlignment="1" applyProtection="1">
      <alignment vertical="center"/>
      <protection locked="0"/>
    </xf>
    <xf numFmtId="0" fontId="47" fillId="0" borderId="0" xfId="2" applyFont="1" applyAlignment="1" applyProtection="1">
      <alignment horizontal="center" vertical="center"/>
      <protection locked="0"/>
    </xf>
    <xf numFmtId="0" fontId="47" fillId="0" borderId="0" xfId="2" applyFont="1" applyAlignment="1">
      <alignment horizontal="center" vertical="center"/>
    </xf>
    <xf numFmtId="0" fontId="47" fillId="0" borderId="0" xfId="2" applyFont="1" applyBorder="1" applyAlignment="1" applyProtection="1">
      <alignment vertical="center" wrapText="1"/>
      <protection locked="0"/>
    </xf>
    <xf numFmtId="0" fontId="47" fillId="0" borderId="0" xfId="2" applyFont="1" applyBorder="1" applyAlignment="1" applyProtection="1">
      <alignment vertical="center"/>
      <protection locked="0"/>
    </xf>
    <xf numFmtId="0" fontId="48" fillId="0" borderId="1" xfId="2" applyFont="1" applyBorder="1" applyAlignment="1" applyProtection="1">
      <alignment horizontal="center" vertical="center" wrapText="1"/>
      <protection locked="0"/>
    </xf>
    <xf numFmtId="0" fontId="47" fillId="0" borderId="2" xfId="2" applyFont="1" applyFill="1" applyBorder="1" applyAlignment="1" applyProtection="1">
      <alignment horizontal="center" vertical="center" wrapText="1"/>
      <protection locked="0"/>
    </xf>
    <xf numFmtId="0" fontId="48" fillId="0" borderId="0" xfId="2" applyFont="1" applyAlignment="1">
      <alignment vertical="center"/>
    </xf>
    <xf numFmtId="0" fontId="47" fillId="0" borderId="0" xfId="2" applyFont="1" applyFill="1" applyAlignment="1" applyProtection="1">
      <alignment vertical="center"/>
      <protection locked="0"/>
    </xf>
    <xf numFmtId="0" fontId="46" fillId="0" borderId="0" xfId="2" applyFont="1" applyFill="1" applyAlignment="1" applyProtection="1">
      <alignment vertical="center"/>
      <protection locked="0"/>
    </xf>
    <xf numFmtId="0" fontId="47" fillId="0" borderId="0" xfId="2" applyFont="1" applyBorder="1" applyAlignment="1" applyProtection="1">
      <alignment horizontal="justify" vertical="center" wrapText="1"/>
      <protection locked="0"/>
    </xf>
    <xf numFmtId="0" fontId="47" fillId="0" borderId="0" xfId="2" applyFont="1" applyFill="1" applyAlignment="1" applyProtection="1">
      <alignment horizontal="left" vertical="center"/>
      <protection locked="0"/>
    </xf>
    <xf numFmtId="0" fontId="47" fillId="0" borderId="3" xfId="2" applyFont="1" applyBorder="1" applyAlignment="1" applyProtection="1">
      <alignment horizontal="center" vertical="center" wrapText="1"/>
      <protection locked="0"/>
    </xf>
    <xf numFmtId="0" fontId="47" fillId="0" borderId="0" xfId="2" applyFont="1" applyBorder="1" applyAlignment="1" applyProtection="1">
      <alignment horizontal="left" vertical="center" wrapText="1"/>
      <protection locked="0"/>
    </xf>
    <xf numFmtId="0" fontId="46" fillId="0" borderId="0" xfId="2" applyFont="1" applyBorder="1" applyAlignment="1" applyProtection="1">
      <alignment horizontal="justify" vertical="center"/>
      <protection locked="0"/>
    </xf>
    <xf numFmtId="0" fontId="47" fillId="0" borderId="0" xfId="2" applyFont="1" applyBorder="1" applyAlignment="1" applyProtection="1">
      <alignment horizontal="left" vertical="center"/>
      <protection locked="0"/>
    </xf>
    <xf numFmtId="0" fontId="47" fillId="0" borderId="0" xfId="2" applyFont="1" applyBorder="1" applyAlignment="1">
      <alignment vertical="center"/>
    </xf>
    <xf numFmtId="0" fontId="47" fillId="0" borderId="0" xfId="2" applyFont="1" applyBorder="1" applyAlignment="1">
      <alignment horizontal="left" vertical="center"/>
    </xf>
    <xf numFmtId="0" fontId="47" fillId="0" borderId="0" xfId="2" applyFont="1" applyAlignment="1">
      <alignment horizontal="left" vertical="center"/>
    </xf>
    <xf numFmtId="0" fontId="0" fillId="0" borderId="0" xfId="0"/>
    <xf numFmtId="0" fontId="47" fillId="0" borderId="4" xfId="2" applyFont="1" applyFill="1" applyBorder="1" applyAlignment="1" applyProtection="1">
      <alignment horizontal="left" vertical="center"/>
      <protection locked="0"/>
    </xf>
    <xf numFmtId="0" fontId="47" fillId="0" borderId="5" xfId="2" applyFont="1" applyBorder="1" applyAlignment="1" applyProtection="1">
      <alignment horizontal="center" vertical="center" wrapText="1"/>
      <protection locked="0"/>
    </xf>
    <xf numFmtId="0" fontId="47" fillId="0" borderId="6" xfId="2" applyFont="1" applyFill="1" applyBorder="1" applyAlignment="1" applyProtection="1">
      <alignment vertical="center" wrapText="1"/>
      <protection locked="0"/>
    </xf>
    <xf numFmtId="0" fontId="49" fillId="0" borderId="0" xfId="2" applyFont="1" applyAlignment="1" applyProtection="1">
      <alignment horizontal="left" vertical="center"/>
      <protection locked="0"/>
    </xf>
    <xf numFmtId="0" fontId="47" fillId="0" borderId="4" xfId="2" applyFont="1" applyBorder="1" applyAlignment="1" applyProtection="1">
      <alignment horizontal="center" vertical="center" wrapText="1"/>
      <protection locked="0"/>
    </xf>
    <xf numFmtId="0" fontId="47" fillId="0" borderId="7" xfId="2" applyFont="1" applyBorder="1" applyAlignment="1" applyProtection="1">
      <alignment horizontal="center" vertical="center" wrapText="1"/>
      <protection locked="0"/>
    </xf>
    <xf numFmtId="0" fontId="48" fillId="0" borderId="0" xfId="2" applyFont="1" applyBorder="1" applyAlignment="1" applyProtection="1">
      <alignment vertical="center"/>
      <protection locked="0"/>
    </xf>
    <xf numFmtId="0" fontId="47" fillId="0" borderId="8" xfId="2" applyFont="1" applyBorder="1" applyAlignment="1" applyProtection="1">
      <alignment horizontal="center" vertical="center" wrapText="1"/>
      <protection locked="0"/>
    </xf>
    <xf numFmtId="0" fontId="48" fillId="0" borderId="9" xfId="2" applyFont="1" applyBorder="1" applyAlignment="1" applyProtection="1">
      <alignment horizontal="center" vertical="center" wrapText="1"/>
      <protection locked="0"/>
    </xf>
    <xf numFmtId="0" fontId="47" fillId="0" borderId="5" xfId="2" applyFont="1" applyFill="1" applyBorder="1" applyAlignment="1" applyProtection="1">
      <alignment vertical="center"/>
      <protection locked="0"/>
    </xf>
    <xf numFmtId="0" fontId="47" fillId="0" borderId="10" xfId="2" applyFont="1" applyFill="1" applyBorder="1" applyAlignment="1" applyProtection="1">
      <alignment vertical="center" wrapText="1"/>
      <protection locked="0"/>
    </xf>
    <xf numFmtId="0" fontId="47" fillId="0" borderId="11" xfId="2" applyFont="1" applyFill="1" applyBorder="1" applyAlignment="1" applyProtection="1">
      <alignment vertical="center" wrapText="1"/>
      <protection locked="0"/>
    </xf>
    <xf numFmtId="0" fontId="47" fillId="0" borderId="12" xfId="2" applyFont="1" applyFill="1" applyBorder="1" applyAlignment="1" applyProtection="1">
      <alignment vertical="center" wrapText="1"/>
      <protection locked="0"/>
    </xf>
    <xf numFmtId="0" fontId="47" fillId="0" borderId="13" xfId="2" applyFont="1" applyFill="1" applyBorder="1" applyAlignment="1" applyProtection="1">
      <alignment horizontal="center" vertical="center" wrapText="1"/>
      <protection locked="0"/>
    </xf>
    <xf numFmtId="0" fontId="47" fillId="0" borderId="13" xfId="2" applyFont="1" applyBorder="1" applyAlignment="1">
      <alignment horizontal="center" vertical="center"/>
    </xf>
    <xf numFmtId="0" fontId="47" fillId="0" borderId="14" xfId="2" applyFont="1" applyFill="1" applyBorder="1" applyAlignment="1" applyProtection="1">
      <alignment horizontal="center" vertical="center" wrapText="1"/>
      <protection locked="0"/>
    </xf>
    <xf numFmtId="0" fontId="48" fillId="0" borderId="15" xfId="2" applyFont="1" applyBorder="1" applyAlignment="1" applyProtection="1">
      <alignment horizontal="center" vertical="center" wrapText="1"/>
      <protection locked="0"/>
    </xf>
    <xf numFmtId="0" fontId="47" fillId="0" borderId="16" xfId="2" applyFont="1" applyBorder="1" applyAlignment="1" applyProtection="1">
      <alignment horizontal="center" vertical="center" wrapText="1"/>
      <protection locked="0"/>
    </xf>
    <xf numFmtId="0" fontId="47" fillId="0" borderId="17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0" fillId="0" borderId="0" xfId="2" applyFont="1" applyAlignment="1" applyProtection="1">
      <alignment vertical="center"/>
      <protection locked="0"/>
    </xf>
    <xf numFmtId="0" fontId="4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9" fillId="0" borderId="0" xfId="0" applyFont="1" applyAlignment="1">
      <alignment vertical="center"/>
    </xf>
    <xf numFmtId="0" fontId="47" fillId="0" borderId="4" xfId="2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47" fillId="0" borderId="0" xfId="2" applyFont="1" applyAlignment="1" applyProtection="1">
      <alignment horizontal="left" vertical="center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47" fillId="0" borderId="0" xfId="2" applyFont="1" applyBorder="1" applyAlignment="1" applyProtection="1">
      <alignment horizontal="center" vertical="center"/>
      <protection locked="0"/>
    </xf>
    <xf numFmtId="0" fontId="46" fillId="4" borderId="0" xfId="2" applyFont="1" applyFill="1" applyAlignment="1" applyProtection="1">
      <alignment vertical="center"/>
      <protection locked="0"/>
    </xf>
    <xf numFmtId="0" fontId="47" fillId="4" borderId="0" xfId="2" applyFont="1" applyFill="1" applyAlignment="1">
      <alignment vertical="center"/>
    </xf>
    <xf numFmtId="0" fontId="47" fillId="4" borderId="0" xfId="2" applyFont="1" applyFill="1" applyBorder="1" applyAlignment="1">
      <alignment horizontal="center" vertical="center"/>
    </xf>
    <xf numFmtId="0" fontId="47" fillId="5" borderId="2" xfId="2" applyFont="1" applyFill="1" applyBorder="1" applyAlignment="1" applyProtection="1">
      <alignment horizontal="center" vertical="center" wrapText="1"/>
      <protection locked="0"/>
    </xf>
    <xf numFmtId="0" fontId="47" fillId="5" borderId="14" xfId="2" applyFont="1" applyFill="1" applyBorder="1" applyAlignment="1" applyProtection="1">
      <alignment horizontal="center" vertical="center" wrapText="1"/>
      <protection locked="0"/>
    </xf>
    <xf numFmtId="0" fontId="49" fillId="0" borderId="0" xfId="2" applyFont="1" applyAlignment="1" applyProtection="1">
      <alignment horizontal="right" vertical="center"/>
      <protection locked="0"/>
    </xf>
    <xf numFmtId="0" fontId="49" fillId="0" borderId="0" xfId="0" applyFont="1" applyAlignment="1">
      <alignment horizontal="right" vertical="center"/>
    </xf>
    <xf numFmtId="0" fontId="5" fillId="0" borderId="0" xfId="2" applyFont="1" applyFill="1" applyAlignment="1" applyProtection="1">
      <alignment horizontal="left" vertical="center"/>
      <protection locked="0"/>
    </xf>
    <xf numFmtId="3" fontId="47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6" xfId="2" applyFont="1" applyFill="1" applyBorder="1" applyAlignment="1" applyProtection="1">
      <alignment horizontal="right" vertical="center" wrapText="1" indent="1"/>
      <protection locked="0"/>
    </xf>
    <xf numFmtId="3" fontId="4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10" xfId="2" applyFont="1" applyFill="1" applyBorder="1" applyAlignment="1" applyProtection="1">
      <alignment horizontal="right" vertical="center" wrapText="1" indent="1"/>
      <protection locked="0"/>
    </xf>
    <xf numFmtId="0" fontId="47" fillId="0" borderId="2" xfId="2" applyFont="1" applyFill="1" applyBorder="1" applyAlignment="1" applyProtection="1">
      <alignment horizontal="right" vertical="center" wrapText="1" indent="1"/>
      <protection locked="0"/>
    </xf>
    <xf numFmtId="3" fontId="4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18" xfId="2" applyFont="1" applyFill="1" applyBorder="1" applyAlignment="1" applyProtection="1">
      <alignment horizontal="right" vertical="center" wrapText="1" indent="1"/>
      <protection locked="0"/>
    </xf>
    <xf numFmtId="0" fontId="47" fillId="0" borderId="21" xfId="2" applyFont="1" applyFill="1" applyBorder="1" applyAlignment="1" applyProtection="1">
      <alignment horizontal="right" vertical="center" wrapText="1" indent="1"/>
      <protection locked="0"/>
    </xf>
    <xf numFmtId="0" fontId="47" fillId="0" borderId="19" xfId="2" applyFont="1" applyFill="1" applyBorder="1" applyAlignment="1" applyProtection="1">
      <alignment horizontal="right" vertical="center" wrapText="1" indent="1"/>
      <protection locked="0"/>
    </xf>
    <xf numFmtId="0" fontId="47" fillId="0" borderId="20" xfId="2" applyFont="1" applyFill="1" applyBorder="1" applyAlignment="1" applyProtection="1">
      <alignment horizontal="right" vertical="center" wrapText="1" indent="1"/>
      <protection locked="0"/>
    </xf>
    <xf numFmtId="0" fontId="0" fillId="0" borderId="26" xfId="0" applyFont="1" applyBorder="1" applyAlignment="1">
      <alignment horizontal="right" vertical="center" indent="1"/>
    </xf>
    <xf numFmtId="0" fontId="0" fillId="0" borderId="20" xfId="0" applyFont="1" applyBorder="1" applyAlignment="1">
      <alignment horizontal="right" vertical="center" indent="1"/>
    </xf>
    <xf numFmtId="0" fontId="47" fillId="5" borderId="18" xfId="2" applyFont="1" applyFill="1" applyBorder="1" applyAlignment="1" applyProtection="1">
      <alignment horizontal="right" vertical="center" indent="1"/>
      <protection locked="0"/>
    </xf>
    <xf numFmtId="0" fontId="0" fillId="5" borderId="20" xfId="0" applyFill="1" applyBorder="1" applyAlignment="1">
      <alignment horizontal="right" vertical="center" indent="1"/>
    </xf>
    <xf numFmtId="0" fontId="47" fillId="0" borderId="11" xfId="2" applyFont="1" applyFill="1" applyBorder="1" applyAlignment="1" applyProtection="1">
      <alignment horizontal="right" vertical="center" wrapText="1" indent="1"/>
      <protection locked="0"/>
    </xf>
    <xf numFmtId="0" fontId="47" fillId="0" borderId="12" xfId="2" applyFont="1" applyFill="1" applyBorder="1" applyAlignment="1" applyProtection="1">
      <alignment horizontal="right" vertical="center" wrapText="1" indent="1"/>
      <protection locked="0"/>
    </xf>
    <xf numFmtId="0" fontId="0" fillId="0" borderId="27" xfId="0" applyFont="1" applyBorder="1" applyAlignment="1">
      <alignment horizontal="right" vertical="center" indent="1"/>
    </xf>
    <xf numFmtId="0" fontId="0" fillId="0" borderId="12" xfId="0" applyFont="1" applyBorder="1" applyAlignment="1">
      <alignment horizontal="right" vertical="center" indent="1"/>
    </xf>
    <xf numFmtId="0" fontId="47" fillId="5" borderId="10" xfId="2" applyFont="1" applyFill="1" applyBorder="1" applyAlignment="1" applyProtection="1">
      <alignment horizontal="right" vertical="center" indent="1"/>
      <protection locked="0"/>
    </xf>
    <xf numFmtId="0" fontId="0" fillId="5" borderId="12" xfId="0" applyFill="1" applyBorder="1" applyAlignment="1">
      <alignment horizontal="right" vertical="center" indent="1"/>
    </xf>
    <xf numFmtId="0" fontId="47" fillId="0" borderId="28" xfId="2" applyFont="1" applyFill="1" applyBorder="1" applyAlignment="1" applyProtection="1">
      <alignment horizontal="right" vertical="center" wrapText="1" indent="1"/>
      <protection locked="0"/>
    </xf>
    <xf numFmtId="0" fontId="47" fillId="0" borderId="29" xfId="2" applyFont="1" applyFill="1" applyBorder="1" applyAlignment="1" applyProtection="1">
      <alignment horizontal="right" vertical="center" wrapText="1" indent="1"/>
      <protection locked="0"/>
    </xf>
    <xf numFmtId="0" fontId="47" fillId="0" borderId="30" xfId="2" applyFont="1" applyFill="1" applyBorder="1" applyAlignment="1" applyProtection="1">
      <alignment horizontal="right" vertical="center" wrapText="1" indent="1"/>
      <protection locked="0"/>
    </xf>
    <xf numFmtId="0" fontId="47" fillId="0" borderId="31" xfId="2" applyFont="1" applyFill="1" applyBorder="1" applyAlignment="1" applyProtection="1">
      <alignment horizontal="right" vertical="center" wrapText="1" indent="1"/>
      <protection locked="0"/>
    </xf>
    <xf numFmtId="3" fontId="47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8" xfId="0" applyFont="1" applyBorder="1" applyAlignment="1">
      <alignment horizontal="right" vertical="center" indent="1"/>
    </xf>
    <xf numFmtId="0" fontId="0" fillId="0" borderId="31" xfId="0" applyFont="1" applyBorder="1" applyAlignment="1">
      <alignment horizontal="right" vertical="center" indent="1"/>
    </xf>
    <xf numFmtId="0" fontId="0" fillId="0" borderId="28" xfId="0" applyBorder="1" applyAlignment="1">
      <alignment horizontal="right" vertical="center" indent="1"/>
    </xf>
    <xf numFmtId="0" fontId="0" fillId="0" borderId="31" xfId="0" applyBorder="1" applyAlignment="1">
      <alignment horizontal="right" vertical="center" indent="1"/>
    </xf>
    <xf numFmtId="0" fontId="0" fillId="0" borderId="32" xfId="0" applyFont="1" applyBorder="1" applyAlignment="1">
      <alignment horizontal="right" vertical="center" indent="1"/>
    </xf>
    <xf numFmtId="0" fontId="47" fillId="5" borderId="28" xfId="2" applyFont="1" applyFill="1" applyBorder="1" applyAlignment="1" applyProtection="1">
      <alignment horizontal="right" vertical="center" wrapText="1" indent="1"/>
      <protection locked="0"/>
    </xf>
    <xf numFmtId="0" fontId="0" fillId="5" borderId="31" xfId="0" applyFill="1" applyBorder="1" applyAlignment="1">
      <alignment horizontal="right" vertical="center" indent="1"/>
    </xf>
    <xf numFmtId="0" fontId="48" fillId="0" borderId="33" xfId="2" applyFont="1" applyFill="1" applyBorder="1" applyAlignment="1" applyProtection="1">
      <alignment horizontal="right" vertical="center" wrapText="1" indent="1"/>
      <protection locked="0"/>
    </xf>
    <xf numFmtId="0" fontId="48" fillId="0" borderId="34" xfId="2" applyFont="1" applyFill="1" applyBorder="1" applyAlignment="1" applyProtection="1">
      <alignment horizontal="right" vertical="center" wrapText="1" indent="1"/>
      <protection locked="0"/>
    </xf>
    <xf numFmtId="0" fontId="48" fillId="0" borderId="35" xfId="2" applyFont="1" applyFill="1" applyBorder="1" applyAlignment="1" applyProtection="1">
      <alignment horizontal="right" vertical="center" wrapText="1" indent="1"/>
      <protection locked="0"/>
    </xf>
    <xf numFmtId="0" fontId="48" fillId="0" borderId="36" xfId="2" applyFont="1" applyFill="1" applyBorder="1" applyAlignment="1" applyProtection="1">
      <alignment horizontal="right" vertical="center" wrapText="1" indent="1"/>
      <protection locked="0"/>
    </xf>
    <xf numFmtId="3" fontId="4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3" xfId="0" applyFont="1" applyBorder="1" applyAlignment="1">
      <alignment horizontal="right" vertical="center" indent="1"/>
    </xf>
    <xf numFmtId="0" fontId="0" fillId="0" borderId="36" xfId="0" applyFont="1" applyBorder="1" applyAlignment="1">
      <alignment horizontal="right" vertical="center" indent="1"/>
    </xf>
    <xf numFmtId="0" fontId="45" fillId="0" borderId="33" xfId="0" applyFont="1" applyBorder="1" applyAlignment="1">
      <alignment horizontal="right" vertical="center" indent="1"/>
    </xf>
    <xf numFmtId="0" fontId="45" fillId="0" borderId="36" xfId="0" applyFont="1" applyBorder="1" applyAlignment="1">
      <alignment horizontal="right" vertical="center" indent="1"/>
    </xf>
    <xf numFmtId="0" fontId="0" fillId="0" borderId="9" xfId="0" applyFont="1" applyBorder="1" applyAlignment="1">
      <alignment horizontal="right" vertical="center" indent="1"/>
    </xf>
    <xf numFmtId="0" fontId="48" fillId="5" borderId="33" xfId="2" applyFont="1" applyFill="1" applyBorder="1" applyAlignment="1" applyProtection="1">
      <alignment horizontal="right" vertical="center" wrapText="1" indent="1"/>
      <protection locked="0"/>
    </xf>
    <xf numFmtId="0" fontId="0" fillId="5" borderId="36" xfId="0" applyFill="1" applyBorder="1" applyAlignment="1">
      <alignment horizontal="right" vertical="center" indent="1"/>
    </xf>
    <xf numFmtId="3" fontId="49" fillId="0" borderId="28" xfId="0" applyNumberFormat="1" applyFont="1" applyBorder="1" applyAlignment="1">
      <alignment horizontal="right" vertical="center" indent="1"/>
    </xf>
    <xf numFmtId="0" fontId="0" fillId="0" borderId="0" xfId="0" applyFill="1" applyAlignment="1">
      <alignment vertical="center"/>
    </xf>
    <xf numFmtId="0" fontId="48" fillId="0" borderId="37" xfId="2" applyFont="1" applyFill="1" applyBorder="1" applyAlignment="1" applyProtection="1">
      <alignment horizontal="center" vertical="center" wrapText="1"/>
      <protection locked="0"/>
    </xf>
    <xf numFmtId="0" fontId="48" fillId="0" borderId="38" xfId="2" applyFont="1" applyFill="1" applyBorder="1" applyAlignment="1" applyProtection="1">
      <alignment horizontal="center" vertical="center" wrapText="1"/>
      <protection locked="0"/>
    </xf>
    <xf numFmtId="0" fontId="47" fillId="0" borderId="11" xfId="2" applyFont="1" applyFill="1" applyBorder="1" applyAlignment="1" applyProtection="1">
      <alignment horizontal="center" vertical="center" wrapText="1"/>
      <protection locked="0"/>
    </xf>
    <xf numFmtId="0" fontId="47" fillId="0" borderId="4" xfId="2" applyFont="1" applyFill="1" applyBorder="1" applyAlignment="1" applyProtection="1">
      <alignment horizontal="left" vertical="center"/>
      <protection locked="0"/>
    </xf>
    <xf numFmtId="0" fontId="47" fillId="0" borderId="27" xfId="2" applyFont="1" applyBorder="1" applyAlignment="1" applyProtection="1">
      <alignment horizontal="center" vertical="center" wrapText="1"/>
      <protection locked="0"/>
    </xf>
    <xf numFmtId="0" fontId="47" fillId="0" borderId="7" xfId="2" applyFont="1" applyBorder="1" applyAlignment="1" applyProtection="1">
      <alignment horizontal="center" vertical="center" wrapText="1"/>
      <protection locked="0"/>
    </xf>
    <xf numFmtId="0" fontId="24" fillId="0" borderId="0" xfId="2" applyFont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5" fillId="0" borderId="0" xfId="2" applyFont="1" applyAlignment="1" applyProtection="1">
      <alignment vertical="center"/>
    </xf>
    <xf numFmtId="0" fontId="27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0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5" fillId="6" borderId="10" xfId="2" applyFont="1" applyFill="1" applyBorder="1" applyAlignment="1" applyProtection="1">
      <alignment horizontal="center" vertical="center" wrapText="1"/>
    </xf>
    <xf numFmtId="0" fontId="5" fillId="6" borderId="12" xfId="2" applyFont="1" applyFill="1" applyBorder="1" applyAlignment="1" applyProtection="1">
      <alignment horizontal="center" vertical="center" wrapText="1"/>
    </xf>
    <xf numFmtId="0" fontId="5" fillId="0" borderId="24" xfId="2" applyFont="1" applyFill="1" applyBorder="1" applyAlignment="1" applyProtection="1">
      <alignment horizontal="center" vertical="center" wrapText="1"/>
    </xf>
    <xf numFmtId="0" fontId="5" fillId="0" borderId="25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3" xfId="2" applyFont="1" applyFill="1" applyBorder="1" applyAlignment="1" applyProtection="1">
      <alignment horizontal="center" vertical="center" wrapText="1"/>
    </xf>
    <xf numFmtId="0" fontId="5" fillId="0" borderId="39" xfId="2" applyFont="1" applyFill="1" applyBorder="1" applyAlignment="1" applyProtection="1">
      <alignment horizontal="center" vertical="center" wrapText="1"/>
    </xf>
    <xf numFmtId="0" fontId="5" fillId="6" borderId="24" xfId="2" applyFont="1" applyFill="1" applyBorder="1" applyAlignment="1" applyProtection="1">
      <alignment horizontal="center" vertical="center" wrapText="1"/>
    </xf>
    <xf numFmtId="0" fontId="5" fillId="6" borderId="23" xfId="2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165" fontId="0" fillId="4" borderId="18" xfId="0" applyNumberFormat="1" applyFill="1" applyBorder="1"/>
    <xf numFmtId="165" fontId="0" fillId="4" borderId="19" xfId="0" applyNumberFormat="1" applyFill="1" applyBorder="1"/>
    <xf numFmtId="165" fontId="0" fillId="4" borderId="20" xfId="0" applyNumberFormat="1" applyFill="1" applyBorder="1"/>
    <xf numFmtId="165" fontId="0" fillId="4" borderId="21" xfId="0" applyNumberFormat="1" applyFill="1" applyBorder="1"/>
    <xf numFmtId="165" fontId="0" fillId="4" borderId="5" xfId="0" applyNumberFormat="1" applyFill="1" applyBorder="1"/>
    <xf numFmtId="165" fontId="10" fillId="6" borderId="18" xfId="2" applyNumberFormat="1" applyFont="1" applyFill="1" applyBorder="1" applyAlignment="1" applyProtection="1">
      <alignment horizontal="right" vertical="center"/>
    </xf>
    <xf numFmtId="165" fontId="10" fillId="6" borderId="20" xfId="2" applyNumberFormat="1" applyFont="1" applyFill="1" applyBorder="1" applyAlignment="1" applyProtection="1">
      <alignment horizontal="right" vertical="center"/>
    </xf>
    <xf numFmtId="165" fontId="0" fillId="4" borderId="10" xfId="0" applyNumberFormat="1" applyFill="1" applyBorder="1"/>
    <xf numFmtId="165" fontId="0" fillId="4" borderId="6" xfId="0" applyNumberFormat="1" applyFill="1" applyBorder="1"/>
    <xf numFmtId="165" fontId="0" fillId="4" borderId="12" xfId="0" applyNumberFormat="1" applyFill="1" applyBorder="1"/>
    <xf numFmtId="165" fontId="0" fillId="4" borderId="11" xfId="0" applyNumberFormat="1" applyFill="1" applyBorder="1"/>
    <xf numFmtId="165" fontId="0" fillId="4" borderId="4" xfId="0" applyNumberFormat="1" applyFill="1" applyBorder="1"/>
    <xf numFmtId="165" fontId="10" fillId="6" borderId="10" xfId="2" applyNumberFormat="1" applyFont="1" applyFill="1" applyBorder="1" applyAlignment="1" applyProtection="1">
      <alignment horizontal="right" vertical="center"/>
    </xf>
    <xf numFmtId="165" fontId="10" fillId="6" borderId="12" xfId="2" applyNumberFormat="1" applyFont="1" applyFill="1" applyBorder="1" applyAlignment="1" applyProtection="1">
      <alignment horizontal="right" vertical="center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8" xfId="2" applyFont="1" applyBorder="1" applyAlignment="1" applyProtection="1">
      <alignment horizontal="center" vertical="center" wrapText="1"/>
    </xf>
    <xf numFmtId="165" fontId="0" fillId="4" borderId="2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5" fontId="10" fillId="6" borderId="28" xfId="2" applyNumberFormat="1" applyFont="1" applyFill="1" applyBorder="1" applyAlignment="1" applyProtection="1">
      <alignment horizontal="right" vertical="center"/>
    </xf>
    <xf numFmtId="165" fontId="10" fillId="6" borderId="31" xfId="2" applyNumberFormat="1" applyFont="1" applyFill="1" applyBorder="1" applyAlignment="1" applyProtection="1">
      <alignment horizontal="right" vertical="center"/>
    </xf>
    <xf numFmtId="0" fontId="7" fillId="0" borderId="9" xfId="2" applyFont="1" applyBorder="1" applyAlignment="1" applyProtection="1">
      <alignment horizontal="center" vertical="center" wrapText="1"/>
    </xf>
    <xf numFmtId="165" fontId="21" fillId="4" borderId="33" xfId="2" applyNumberFormat="1" applyFont="1" applyFill="1" applyBorder="1" applyAlignment="1" applyProtection="1">
      <alignment horizontal="right" vertical="center" wrapText="1"/>
    </xf>
    <xf numFmtId="165" fontId="21" fillId="4" borderId="34" xfId="2" applyNumberFormat="1" applyFont="1" applyFill="1" applyBorder="1" applyAlignment="1" applyProtection="1">
      <alignment horizontal="right" vertical="center" wrapText="1"/>
    </xf>
    <xf numFmtId="165" fontId="21" fillId="4" borderId="35" xfId="2" applyNumberFormat="1" applyFont="1" applyFill="1" applyBorder="1" applyAlignment="1" applyProtection="1">
      <alignment horizontal="right" vertical="center" wrapText="1"/>
    </xf>
    <xf numFmtId="165" fontId="21" fillId="4" borderId="36" xfId="2" applyNumberFormat="1" applyFont="1" applyFill="1" applyBorder="1" applyAlignment="1" applyProtection="1">
      <alignment horizontal="right" vertical="center" wrapText="1"/>
    </xf>
    <xf numFmtId="165" fontId="20" fillId="4" borderId="33" xfId="0" applyNumberFormat="1" applyFont="1" applyFill="1" applyBorder="1" applyAlignment="1" applyProtection="1">
      <alignment horizontal="right" vertical="center"/>
    </xf>
    <xf numFmtId="165" fontId="20" fillId="4" borderId="36" xfId="0" applyNumberFormat="1" applyFont="1" applyFill="1" applyBorder="1" applyAlignment="1" applyProtection="1">
      <alignment horizontal="right" vertical="center"/>
    </xf>
    <xf numFmtId="165" fontId="20" fillId="4" borderId="9" xfId="0" applyNumberFormat="1" applyFont="1" applyFill="1" applyBorder="1" applyAlignment="1" applyProtection="1">
      <alignment horizontal="right" vertical="center"/>
    </xf>
    <xf numFmtId="165" fontId="20" fillId="4" borderId="40" xfId="0" applyNumberFormat="1" applyFont="1" applyFill="1" applyBorder="1" applyAlignment="1" applyProtection="1">
      <alignment horizontal="right" vertical="center"/>
    </xf>
    <xf numFmtId="165" fontId="21" fillId="6" borderId="33" xfId="2" applyNumberFormat="1" applyFont="1" applyFill="1" applyBorder="1" applyAlignment="1" applyProtection="1">
      <alignment horizontal="right" vertical="center" wrapText="1"/>
    </xf>
    <xf numFmtId="165" fontId="20" fillId="6" borderId="36" xfId="0" applyNumberFormat="1" applyFont="1" applyFill="1" applyBorder="1" applyAlignment="1" applyProtection="1">
      <alignment horizontal="right" vertical="center"/>
    </xf>
    <xf numFmtId="0" fontId="8" fillId="0" borderId="0" xfId="2" applyFont="1" applyAlignment="1" applyProtection="1">
      <alignment horizontal="left" vertical="center"/>
    </xf>
    <xf numFmtId="0" fontId="21" fillId="0" borderId="0" xfId="2" applyFont="1" applyAlignment="1" applyProtection="1">
      <alignment vertical="center"/>
    </xf>
    <xf numFmtId="0" fontId="8" fillId="0" borderId="0" xfId="2" applyFont="1" applyAlignment="1" applyProtection="1">
      <alignment horizontal="right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13" xfId="2" applyFont="1" applyFill="1" applyBorder="1" applyAlignment="1" applyProtection="1">
      <alignment horizontal="center" vertical="center" wrapText="1"/>
    </xf>
    <xf numFmtId="0" fontId="5" fillId="0" borderId="14" xfId="2" applyFont="1" applyFill="1" applyBorder="1" applyAlignment="1" applyProtection="1">
      <alignment horizontal="center" vertical="center" wrapText="1"/>
    </xf>
    <xf numFmtId="0" fontId="5" fillId="0" borderId="17" xfId="2" applyFont="1" applyFill="1" applyBorder="1" applyAlignment="1" applyProtection="1">
      <alignment horizontal="center" vertical="center" wrapText="1"/>
    </xf>
    <xf numFmtId="0" fontId="5" fillId="0" borderId="13" xfId="2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vertical="center"/>
    </xf>
    <xf numFmtId="165" fontId="0" fillId="4" borderId="41" xfId="0" applyNumberFormat="1" applyFont="1" applyFill="1" applyBorder="1"/>
    <xf numFmtId="165" fontId="0" fillId="4" borderId="6" xfId="0" applyNumberFormat="1" applyFont="1" applyFill="1" applyBorder="1"/>
    <xf numFmtId="165" fontId="10" fillId="4" borderId="20" xfId="2" applyNumberFormat="1" applyFont="1" applyFill="1" applyBorder="1" applyAlignment="1" applyProtection="1">
      <alignment horizontal="right" vertical="center" wrapText="1"/>
      <protection locked="0"/>
    </xf>
    <xf numFmtId="165" fontId="10" fillId="4" borderId="20" xfId="2" applyNumberFormat="1" applyFont="1" applyFill="1" applyBorder="1" applyAlignment="1" applyProtection="1">
      <alignment horizontal="center" vertical="center" wrapText="1"/>
      <protection locked="0"/>
    </xf>
    <xf numFmtId="165" fontId="10" fillId="4" borderId="21" xfId="2" applyNumberFormat="1" applyFont="1" applyFill="1" applyBorder="1" applyAlignment="1" applyProtection="1">
      <alignment horizontal="right" vertical="center" wrapText="1"/>
    </xf>
    <xf numFmtId="165" fontId="10" fillId="4" borderId="19" xfId="2" applyNumberFormat="1" applyFont="1" applyFill="1" applyBorder="1" applyAlignment="1" applyProtection="1">
      <alignment horizontal="right" vertical="center" wrapText="1"/>
    </xf>
    <xf numFmtId="165" fontId="0" fillId="0" borderId="0" xfId="0" applyNumberFormat="1" applyAlignment="1" applyProtection="1">
      <alignment vertical="center"/>
    </xf>
    <xf numFmtId="165" fontId="0" fillId="4" borderId="10" xfId="0" applyNumberFormat="1" applyFont="1" applyFill="1" applyBorder="1"/>
    <xf numFmtId="165" fontId="10" fillId="4" borderId="11" xfId="2" applyNumberFormat="1" applyFont="1" applyFill="1" applyBorder="1" applyAlignment="1" applyProtection="1">
      <alignment horizontal="right" vertical="center" wrapText="1"/>
    </xf>
    <xf numFmtId="165" fontId="10" fillId="4" borderId="6" xfId="2" applyNumberFormat="1" applyFont="1" applyFill="1" applyBorder="1" applyAlignment="1" applyProtection="1">
      <alignment horizontal="right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left" vertical="center"/>
    </xf>
    <xf numFmtId="165" fontId="10" fillId="4" borderId="12" xfId="2" applyNumberFormat="1" applyFont="1" applyFill="1" applyBorder="1" applyAlignment="1" applyProtection="1">
      <alignment horizontal="right" vertical="center" wrapText="1"/>
      <protection locked="0"/>
    </xf>
    <xf numFmtId="165" fontId="10" fillId="4" borderId="12" xfId="2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</xf>
    <xf numFmtId="0" fontId="7" fillId="0" borderId="4" xfId="2" applyFont="1" applyFill="1" applyBorder="1" applyAlignment="1" applyProtection="1">
      <alignment horizontal="left" vertical="center"/>
    </xf>
    <xf numFmtId="165" fontId="45" fillId="4" borderId="10" xfId="0" applyNumberFormat="1" applyFont="1" applyFill="1" applyBorder="1"/>
    <xf numFmtId="165" fontId="45" fillId="4" borderId="6" xfId="0" applyNumberFormat="1" applyFont="1" applyFill="1" applyBorder="1"/>
    <xf numFmtId="165" fontId="21" fillId="4" borderId="12" xfId="2" applyNumberFormat="1" applyFont="1" applyFill="1" applyBorder="1" applyAlignment="1" applyProtection="1">
      <alignment horizontal="right" vertical="center" wrapText="1"/>
      <protection locked="0"/>
    </xf>
    <xf numFmtId="165" fontId="21" fillId="4" borderId="12" xfId="2" applyNumberFormat="1" applyFont="1" applyFill="1" applyBorder="1" applyAlignment="1" applyProtection="1">
      <alignment horizontal="center" vertical="center" wrapText="1"/>
      <protection locked="0"/>
    </xf>
    <xf numFmtId="165" fontId="21" fillId="4" borderId="11" xfId="2" applyNumberFormat="1" applyFont="1" applyFill="1" applyBorder="1" applyAlignment="1" applyProtection="1">
      <alignment horizontal="right" vertical="center" wrapText="1"/>
    </xf>
    <xf numFmtId="165" fontId="21" fillId="4" borderId="6" xfId="2" applyNumberFormat="1" applyFont="1" applyFill="1" applyBorder="1" applyAlignment="1" applyProtection="1">
      <alignment horizontal="right" vertical="center" wrapText="1"/>
    </xf>
    <xf numFmtId="165" fontId="51" fillId="0" borderId="0" xfId="0" applyNumberFormat="1" applyFont="1" applyFill="1" applyAlignment="1" applyProtection="1">
      <alignment vertical="center"/>
    </xf>
    <xf numFmtId="0" fontId="5" fillId="0" borderId="16" xfId="2" applyFont="1" applyBorder="1" applyAlignment="1" applyProtection="1">
      <alignment horizontal="center" vertical="center" wrapText="1"/>
    </xf>
    <xf numFmtId="165" fontId="0" fillId="4" borderId="2" xfId="0" applyNumberFormat="1" applyFont="1" applyFill="1" applyBorder="1"/>
    <xf numFmtId="165" fontId="0" fillId="4" borderId="13" xfId="0" applyNumberFormat="1" applyFont="1" applyFill="1" applyBorder="1"/>
    <xf numFmtId="165" fontId="10" fillId="4" borderId="14" xfId="2" applyNumberFormat="1" applyFont="1" applyFill="1" applyBorder="1" applyAlignment="1" applyProtection="1">
      <alignment horizontal="right" vertical="center" wrapText="1"/>
    </xf>
    <xf numFmtId="165" fontId="10" fillId="4" borderId="14" xfId="2" applyNumberFormat="1" applyFont="1" applyFill="1" applyBorder="1" applyAlignment="1" applyProtection="1">
      <alignment horizontal="center" vertical="center" wrapText="1"/>
    </xf>
    <xf numFmtId="165" fontId="10" fillId="4" borderId="17" xfId="2" applyNumberFormat="1" applyFont="1" applyFill="1" applyBorder="1" applyAlignment="1" applyProtection="1">
      <alignment horizontal="right" vertical="center" wrapText="1"/>
    </xf>
    <xf numFmtId="165" fontId="10" fillId="4" borderId="13" xfId="2" applyNumberFormat="1" applyFont="1" applyFill="1" applyBorder="1" applyAlignment="1" applyProtection="1">
      <alignment horizontal="right" vertical="center" wrapText="1"/>
    </xf>
    <xf numFmtId="0" fontId="7" fillId="0" borderId="15" xfId="2" applyFont="1" applyBorder="1" applyAlignment="1" applyProtection="1">
      <alignment horizontal="center" vertical="center" wrapText="1"/>
    </xf>
    <xf numFmtId="165" fontId="21" fillId="4" borderId="24" xfId="2" applyNumberFormat="1" applyFont="1" applyFill="1" applyBorder="1" applyAlignment="1" applyProtection="1">
      <alignment horizontal="right" vertical="center" wrapText="1"/>
    </xf>
    <xf numFmtId="165" fontId="21" fillId="4" borderId="22" xfId="2" applyNumberFormat="1" applyFont="1" applyFill="1" applyBorder="1" applyAlignment="1" applyProtection="1">
      <alignment horizontal="right" vertical="center" wrapText="1"/>
    </xf>
    <xf numFmtId="165" fontId="45" fillId="4" borderId="35" xfId="0" applyNumberFormat="1" applyFont="1" applyFill="1" applyBorder="1" applyProtection="1"/>
    <xf numFmtId="165" fontId="0" fillId="4" borderId="36" xfId="0" applyNumberFormat="1" applyFont="1" applyFill="1" applyBorder="1" applyAlignment="1">
      <alignment horizontal="center"/>
    </xf>
    <xf numFmtId="165" fontId="21" fillId="4" borderId="25" xfId="2" applyNumberFormat="1" applyFont="1" applyFill="1" applyBorder="1" applyAlignment="1" applyProtection="1">
      <alignment horizontal="right" vertical="center" wrapText="1"/>
    </xf>
    <xf numFmtId="165" fontId="45" fillId="4" borderId="36" xfId="0" applyNumberFormat="1" applyFont="1" applyFill="1" applyBorder="1"/>
    <xf numFmtId="0" fontId="7" fillId="0" borderId="0" xfId="2" applyFont="1" applyAlignment="1">
      <alignment vertical="center"/>
    </xf>
    <xf numFmtId="0" fontId="20" fillId="0" borderId="0" xfId="0" applyFont="1" applyAlignment="1" applyProtection="1">
      <alignment vertical="center"/>
    </xf>
    <xf numFmtId="0" fontId="47" fillId="0" borderId="33" xfId="2" applyFont="1" applyFill="1" applyBorder="1" applyAlignment="1" applyProtection="1">
      <alignment horizontal="center" vertical="center" wrapText="1"/>
      <protection locked="0"/>
    </xf>
    <xf numFmtId="0" fontId="47" fillId="0" borderId="36" xfId="2" applyFont="1" applyFill="1" applyBorder="1" applyAlignment="1" applyProtection="1">
      <alignment horizontal="center" vertical="center" wrapText="1"/>
      <protection locked="0"/>
    </xf>
    <xf numFmtId="0" fontId="47" fillId="5" borderId="33" xfId="2" applyFont="1" applyFill="1" applyBorder="1" applyAlignment="1" applyProtection="1">
      <alignment horizontal="center" vertical="center" wrapText="1"/>
      <protection locked="0"/>
    </xf>
    <xf numFmtId="0" fontId="47" fillId="5" borderId="36" xfId="2" applyFont="1" applyFill="1" applyBorder="1" applyAlignment="1" applyProtection="1">
      <alignment horizontal="center" vertical="center" wrapText="1"/>
      <protection locked="0"/>
    </xf>
    <xf numFmtId="4" fontId="47" fillId="0" borderId="18" xfId="2" applyNumberFormat="1" applyFont="1" applyFill="1" applyBorder="1" applyAlignment="1" applyProtection="1">
      <alignment vertical="center" wrapText="1"/>
      <protection locked="0"/>
    </xf>
    <xf numFmtId="4" fontId="47" fillId="0" borderId="21" xfId="2" applyNumberFormat="1" applyFont="1" applyFill="1" applyBorder="1" applyAlignment="1" applyProtection="1">
      <alignment vertical="center" wrapText="1"/>
      <protection locked="0"/>
    </xf>
    <xf numFmtId="4" fontId="47" fillId="0" borderId="19" xfId="2" applyNumberFormat="1" applyFont="1" applyFill="1" applyBorder="1" applyAlignment="1" applyProtection="1">
      <alignment vertical="center" wrapText="1"/>
      <protection locked="0"/>
    </xf>
    <xf numFmtId="4" fontId="47" fillId="0" borderId="20" xfId="2" applyNumberFormat="1" applyFont="1" applyFill="1" applyBorder="1" applyAlignment="1" applyProtection="1">
      <alignment vertical="center" wrapText="1"/>
      <protection locked="0"/>
    </xf>
    <xf numFmtId="4" fontId="0" fillId="0" borderId="26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47" fillId="5" borderId="26" xfId="2" applyNumberFormat="1" applyFont="1" applyFill="1" applyBorder="1" applyAlignment="1" applyProtection="1">
      <alignment vertical="center"/>
      <protection locked="0"/>
    </xf>
    <xf numFmtId="4" fontId="47" fillId="5" borderId="37" xfId="2" applyNumberFormat="1" applyFont="1" applyFill="1" applyBorder="1" applyAlignment="1" applyProtection="1">
      <alignment vertical="center"/>
      <protection locked="0"/>
    </xf>
    <xf numFmtId="4" fontId="47" fillId="0" borderId="10" xfId="2" applyNumberFormat="1" applyFont="1" applyFill="1" applyBorder="1" applyAlignment="1" applyProtection="1">
      <alignment vertical="center" wrapText="1"/>
      <protection locked="0"/>
    </xf>
    <xf numFmtId="4" fontId="47" fillId="0" borderId="11" xfId="2" applyNumberFormat="1" applyFont="1" applyFill="1" applyBorder="1" applyAlignment="1" applyProtection="1">
      <alignment vertical="center" wrapText="1"/>
      <protection locked="0"/>
    </xf>
    <xf numFmtId="4" fontId="47" fillId="0" borderId="6" xfId="2" applyNumberFormat="1" applyFont="1" applyFill="1" applyBorder="1" applyAlignment="1" applyProtection="1">
      <alignment vertical="center" wrapText="1"/>
      <protection locked="0"/>
    </xf>
    <xf numFmtId="4" fontId="47" fillId="0" borderId="12" xfId="2" applyNumberFormat="1" applyFont="1" applyFill="1" applyBorder="1" applyAlignment="1" applyProtection="1">
      <alignment vertical="center" wrapText="1"/>
      <protection locked="0"/>
    </xf>
    <xf numFmtId="4" fontId="0" fillId="0" borderId="27" xfId="0" applyNumberFormat="1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4" fontId="47" fillId="5" borderId="31" xfId="2" applyNumberFormat="1" applyFont="1" applyFill="1" applyBorder="1" applyAlignment="1" applyProtection="1">
      <alignment vertical="center"/>
      <protection locked="0"/>
    </xf>
    <xf numFmtId="4" fontId="47" fillId="5" borderId="12" xfId="2" applyNumberFormat="1" applyFont="1" applyFill="1" applyBorder="1" applyAlignment="1" applyProtection="1">
      <alignment vertical="center"/>
      <protection locked="0"/>
    </xf>
    <xf numFmtId="4" fontId="47" fillId="5" borderId="20" xfId="2" applyNumberFormat="1" applyFont="1" applyFill="1" applyBorder="1" applyAlignment="1" applyProtection="1">
      <alignment vertical="center"/>
      <protection locked="0"/>
    </xf>
    <xf numFmtId="4" fontId="47" fillId="0" borderId="28" xfId="2" applyNumberFormat="1" applyFont="1" applyFill="1" applyBorder="1" applyAlignment="1" applyProtection="1">
      <alignment vertical="center" wrapText="1"/>
      <protection locked="0"/>
    </xf>
    <xf numFmtId="4" fontId="47" fillId="0" borderId="29" xfId="2" applyNumberFormat="1" applyFont="1" applyFill="1" applyBorder="1" applyAlignment="1" applyProtection="1">
      <alignment vertical="center" wrapText="1"/>
      <protection locked="0"/>
    </xf>
    <xf numFmtId="4" fontId="47" fillId="0" borderId="30" xfId="2" applyNumberFormat="1" applyFont="1" applyFill="1" applyBorder="1" applyAlignment="1" applyProtection="1">
      <alignment vertical="center" wrapText="1"/>
      <protection locked="0"/>
    </xf>
    <xf numFmtId="4" fontId="47" fillId="0" borderId="31" xfId="2" applyNumberFormat="1" applyFont="1" applyFill="1" applyBorder="1" applyAlignment="1" applyProtection="1">
      <alignment vertical="center" wrapText="1"/>
      <protection locked="0"/>
    </xf>
    <xf numFmtId="4" fontId="0" fillId="0" borderId="28" xfId="0" applyNumberFormat="1" applyFont="1" applyBorder="1" applyAlignment="1">
      <alignment vertical="center"/>
    </xf>
    <xf numFmtId="4" fontId="0" fillId="0" borderId="31" xfId="0" applyNumberFormat="1" applyFon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31" xfId="0" applyNumberFormat="1" applyBorder="1" applyAlignment="1">
      <alignment vertical="center"/>
    </xf>
    <xf numFmtId="4" fontId="0" fillId="0" borderId="32" xfId="0" applyNumberFormat="1" applyFont="1" applyBorder="1" applyAlignment="1">
      <alignment vertical="center"/>
    </xf>
    <xf numFmtId="0" fontId="47" fillId="5" borderId="28" xfId="2" applyFont="1" applyFill="1" applyBorder="1" applyAlignment="1" applyProtection="1">
      <alignment vertical="center" wrapText="1"/>
      <protection locked="0"/>
    </xf>
    <xf numFmtId="0" fontId="0" fillId="5" borderId="31" xfId="0" applyFill="1" applyBorder="1" applyAlignment="1">
      <alignment vertical="center"/>
    </xf>
    <xf numFmtId="4" fontId="48" fillId="0" borderId="33" xfId="2" applyNumberFormat="1" applyFont="1" applyFill="1" applyBorder="1" applyAlignment="1" applyProtection="1">
      <alignment vertical="center" wrapText="1"/>
      <protection locked="0"/>
    </xf>
    <xf numFmtId="4" fontId="48" fillId="0" borderId="34" xfId="2" applyNumberFormat="1" applyFont="1" applyFill="1" applyBorder="1" applyAlignment="1" applyProtection="1">
      <alignment vertical="center" wrapText="1"/>
      <protection locked="0"/>
    </xf>
    <xf numFmtId="4" fontId="48" fillId="0" borderId="35" xfId="2" applyNumberFormat="1" applyFont="1" applyFill="1" applyBorder="1" applyAlignment="1" applyProtection="1">
      <alignment vertical="center" wrapText="1"/>
      <protection locked="0"/>
    </xf>
    <xf numFmtId="4" fontId="48" fillId="0" borderId="36" xfId="2" applyNumberFormat="1" applyFont="1" applyFill="1" applyBorder="1" applyAlignment="1" applyProtection="1">
      <alignment vertical="center" wrapText="1"/>
      <protection locked="0"/>
    </xf>
    <xf numFmtId="4" fontId="52" fillId="0" borderId="33" xfId="0" applyNumberFormat="1" applyFont="1" applyBorder="1" applyAlignment="1">
      <alignment vertical="center"/>
    </xf>
    <xf numFmtId="4" fontId="52" fillId="0" borderId="36" xfId="0" applyNumberFormat="1" applyFont="1" applyBorder="1" applyAlignment="1">
      <alignment vertical="center"/>
    </xf>
    <xf numFmtId="4" fontId="52" fillId="0" borderId="9" xfId="0" applyNumberFormat="1" applyFont="1" applyBorder="1" applyAlignment="1">
      <alignment vertical="center"/>
    </xf>
    <xf numFmtId="4" fontId="48" fillId="5" borderId="33" xfId="2" applyNumberFormat="1" applyFont="1" applyFill="1" applyBorder="1" applyAlignment="1" applyProtection="1">
      <alignment vertical="center" wrapText="1"/>
      <protection locked="0"/>
    </xf>
    <xf numFmtId="4" fontId="52" fillId="5" borderId="36" xfId="0" applyNumberFormat="1" applyFont="1" applyFill="1" applyBorder="1" applyAlignment="1">
      <alignment vertical="center"/>
    </xf>
    <xf numFmtId="4" fontId="49" fillId="0" borderId="19" xfId="0" applyNumberFormat="1" applyFont="1" applyBorder="1" applyAlignment="1">
      <alignment vertical="center"/>
    </xf>
    <xf numFmtId="4" fontId="47" fillId="0" borderId="6" xfId="2" applyNumberFormat="1" applyFont="1" applyBorder="1" applyAlignment="1">
      <alignment vertical="center"/>
    </xf>
    <xf numFmtId="0" fontId="47" fillId="0" borderId="6" xfId="2" applyFont="1" applyBorder="1" applyAlignment="1">
      <alignment vertical="center"/>
    </xf>
    <xf numFmtId="0" fontId="47" fillId="0" borderId="6" xfId="2" applyFont="1" applyBorder="1" applyAlignment="1" applyProtection="1">
      <alignment horizontal="right" vertical="center"/>
      <protection locked="0"/>
    </xf>
    <xf numFmtId="4" fontId="4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4" xfId="2" applyFont="1" applyFill="1" applyBorder="1" applyAlignment="1" applyProtection="1">
      <alignment horizontal="left" vertical="center" wrapText="1"/>
      <protection locked="0"/>
    </xf>
    <xf numFmtId="4" fontId="47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" fontId="47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" fontId="4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4" fontId="4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5" fontId="4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" fontId="48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0" xfId="0" applyFont="1" applyAlignment="1">
      <alignment vertical="center"/>
    </xf>
    <xf numFmtId="0" fontId="3" fillId="0" borderId="0" xfId="2" applyFont="1" applyFill="1" applyAlignment="1" applyProtection="1">
      <alignment vertical="center"/>
      <protection locked="0"/>
    </xf>
    <xf numFmtId="0" fontId="53" fillId="0" borderId="0" xfId="0" applyFont="1" applyAlignment="1">
      <alignment horizontal="right" vertical="center"/>
    </xf>
    <xf numFmtId="0" fontId="33" fillId="0" borderId="6" xfId="2" applyFont="1" applyFill="1" applyBorder="1" applyAlignment="1" applyProtection="1">
      <alignment horizontal="center" vertical="center" wrapText="1"/>
      <protection locked="0"/>
    </xf>
    <xf numFmtId="0" fontId="33" fillId="6" borderId="6" xfId="2" applyFont="1" applyFill="1" applyBorder="1" applyAlignment="1" applyProtection="1">
      <alignment horizontal="center" vertical="center" wrapText="1"/>
      <protection locked="0"/>
    </xf>
    <xf numFmtId="0" fontId="33" fillId="0" borderId="6" xfId="2" applyFont="1" applyBorder="1" applyAlignment="1" applyProtection="1">
      <alignment horizontal="center" vertical="center" wrapText="1"/>
      <protection locked="0"/>
    </xf>
    <xf numFmtId="3" fontId="34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6" xfId="0" applyNumberFormat="1" applyFont="1" applyBorder="1" applyAlignment="1">
      <alignment horizontal="right" vertical="center" indent="1"/>
    </xf>
    <xf numFmtId="3" fontId="34" fillId="6" borderId="6" xfId="2" applyNumberFormat="1" applyFont="1" applyFill="1" applyBorder="1" applyAlignment="1" applyProtection="1">
      <alignment horizontal="right" vertical="center" indent="1"/>
    </xf>
    <xf numFmtId="0" fontId="31" fillId="0" borderId="6" xfId="2" applyFont="1" applyBorder="1" applyAlignment="1" applyProtection="1">
      <alignment horizontal="center" vertical="center" wrapText="1"/>
      <protection locked="0"/>
    </xf>
    <xf numFmtId="3" fontId="35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55" fillId="0" borderId="6" xfId="0" applyNumberFormat="1" applyFont="1" applyBorder="1" applyAlignment="1">
      <alignment horizontal="right" vertical="center" indent="1"/>
    </xf>
    <xf numFmtId="3" fontId="35" fillId="6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55" fillId="6" borderId="6" xfId="0" applyNumberFormat="1" applyFont="1" applyFill="1" applyBorder="1" applyAlignment="1">
      <alignment horizontal="right" vertical="center" indent="1"/>
    </xf>
    <xf numFmtId="0" fontId="36" fillId="0" borderId="0" xfId="2" applyFont="1" applyAlignment="1" applyProtection="1">
      <alignment vertical="center"/>
      <protection locked="0"/>
    </xf>
    <xf numFmtId="0" fontId="53" fillId="0" borderId="0" xfId="2" applyFont="1" applyAlignment="1" applyProtection="1">
      <alignment horizontal="left" vertical="center"/>
      <protection locked="0"/>
    </xf>
    <xf numFmtId="0" fontId="5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>
      <alignment vertical="center"/>
    </xf>
    <xf numFmtId="0" fontId="33" fillId="0" borderId="6" xfId="2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33" fillId="0" borderId="6" xfId="2" applyFont="1" applyFill="1" applyBorder="1" applyAlignment="1" applyProtection="1">
      <alignment horizontal="left" vertical="center" indent="1"/>
      <protection locked="0"/>
    </xf>
    <xf numFmtId="2" fontId="34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6" xfId="2" applyNumberFormat="1" applyFont="1" applyFill="1" applyBorder="1" applyAlignment="1" applyProtection="1">
      <alignment horizontal="right" vertical="center" wrapText="1" indent="1"/>
    </xf>
    <xf numFmtId="2" fontId="34" fillId="0" borderId="6" xfId="2" applyNumberFormat="1" applyFont="1" applyFill="1" applyBorder="1" applyAlignment="1" applyProtection="1">
      <alignment horizontal="right" vertical="center" wrapText="1" indent="1"/>
    </xf>
    <xf numFmtId="3" fontId="34" fillId="0" borderId="6" xfId="2" applyNumberFormat="1" applyFont="1" applyFill="1" applyBorder="1" applyAlignment="1" applyProtection="1">
      <alignment horizontal="right" vertical="center" wrapText="1" indent="1"/>
    </xf>
    <xf numFmtId="2" fontId="35" fillId="0" borderId="6" xfId="2" applyNumberFormat="1" applyFont="1" applyFill="1" applyBorder="1" applyAlignment="1" applyProtection="1">
      <alignment horizontal="right" vertical="center" wrapText="1" indent="1"/>
    </xf>
    <xf numFmtId="3" fontId="35" fillId="0" borderId="6" xfId="2" applyNumberFormat="1" applyFont="1" applyFill="1" applyBorder="1" applyAlignment="1" applyProtection="1">
      <alignment horizontal="right" vertical="center" wrapText="1" indent="1"/>
    </xf>
    <xf numFmtId="165" fontId="35" fillId="0" borderId="6" xfId="2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Alignment="1">
      <alignment vertical="center"/>
    </xf>
    <xf numFmtId="3" fontId="47" fillId="0" borderId="18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19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20" xfId="2" applyNumberFormat="1" applyFont="1" applyFill="1" applyBorder="1" applyAlignment="1" applyProtection="1">
      <alignment horizontal="right" vertical="center" wrapText="1"/>
      <protection locked="0"/>
    </xf>
    <xf numFmtId="3" fontId="0" fillId="0" borderId="26" xfId="0" applyNumberFormat="1" applyFont="1" applyBorder="1" applyAlignment="1">
      <alignment horizontal="right" vertical="center"/>
    </xf>
    <xf numFmtId="3" fontId="0" fillId="0" borderId="20" xfId="0" applyNumberFormat="1" applyFont="1" applyBorder="1" applyAlignment="1">
      <alignment horizontal="right" vertical="center"/>
    </xf>
    <xf numFmtId="3" fontId="47" fillId="5" borderId="18" xfId="2" applyNumberFormat="1" applyFont="1" applyFill="1" applyBorder="1" applyAlignment="1" applyProtection="1">
      <alignment horizontal="right" vertical="center"/>
      <protection locked="0"/>
    </xf>
    <xf numFmtId="3" fontId="0" fillId="5" borderId="20" xfId="0" applyNumberFormat="1" applyFill="1" applyBorder="1" applyAlignment="1">
      <alignment horizontal="right" vertical="center"/>
    </xf>
    <xf numFmtId="3" fontId="47" fillId="0" borderId="10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11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12" xfId="2" applyNumberFormat="1" applyFont="1" applyFill="1" applyBorder="1" applyAlignment="1" applyProtection="1">
      <alignment horizontal="right" vertical="center" wrapText="1"/>
      <protection locked="0"/>
    </xf>
    <xf numFmtId="3" fontId="0" fillId="0" borderId="27" xfId="0" applyNumberFormat="1" applyFont="1" applyBorder="1" applyAlignment="1">
      <alignment horizontal="right" vertical="center"/>
    </xf>
    <xf numFmtId="3" fontId="0" fillId="0" borderId="12" xfId="0" applyNumberFormat="1" applyFont="1" applyBorder="1" applyAlignment="1">
      <alignment horizontal="right" vertical="center"/>
    </xf>
    <xf numFmtId="3" fontId="47" fillId="5" borderId="10" xfId="2" applyNumberFormat="1" applyFont="1" applyFill="1" applyBorder="1" applyAlignment="1" applyProtection="1">
      <alignment horizontal="right" vertical="center"/>
      <protection locked="0"/>
    </xf>
    <xf numFmtId="3" fontId="0" fillId="5" borderId="12" xfId="0" applyNumberFormat="1" applyFill="1" applyBorder="1" applyAlignment="1">
      <alignment horizontal="right" vertical="center"/>
    </xf>
    <xf numFmtId="3" fontId="47" fillId="0" borderId="28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30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31" xfId="2" applyNumberFormat="1" applyFont="1" applyFill="1" applyBorder="1" applyAlignment="1" applyProtection="1">
      <alignment horizontal="right" vertical="center" wrapText="1"/>
      <protection locked="0"/>
    </xf>
    <xf numFmtId="3" fontId="0" fillId="0" borderId="28" xfId="0" applyNumberFormat="1" applyFont="1" applyBorder="1" applyAlignment="1">
      <alignment horizontal="right" vertical="center"/>
    </xf>
    <xf numFmtId="3" fontId="0" fillId="0" borderId="31" xfId="0" applyNumberFormat="1" applyFon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3" fontId="0" fillId="0" borderId="32" xfId="0" applyNumberFormat="1" applyFont="1" applyBorder="1" applyAlignment="1">
      <alignment horizontal="right" vertical="center"/>
    </xf>
    <xf numFmtId="3" fontId="47" fillId="5" borderId="28" xfId="2" applyNumberFormat="1" applyFont="1" applyFill="1" applyBorder="1" applyAlignment="1" applyProtection="1">
      <alignment horizontal="right" vertical="center" wrapText="1"/>
      <protection locked="0"/>
    </xf>
    <xf numFmtId="3" fontId="0" fillId="5" borderId="31" xfId="0" applyNumberFormat="1" applyFill="1" applyBorder="1" applyAlignment="1">
      <alignment horizontal="right" vertical="center"/>
    </xf>
    <xf numFmtId="3" fontId="48" fillId="0" borderId="33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34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35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36" xfId="2" applyNumberFormat="1" applyFont="1" applyFill="1" applyBorder="1" applyAlignment="1" applyProtection="1">
      <alignment horizontal="right" vertical="center" wrapText="1"/>
      <protection locked="0"/>
    </xf>
    <xf numFmtId="3" fontId="49" fillId="0" borderId="33" xfId="0" applyNumberFormat="1" applyFont="1" applyBorder="1" applyAlignment="1">
      <alignment horizontal="right" vertical="center"/>
    </xf>
    <xf numFmtId="3" fontId="49" fillId="0" borderId="36" xfId="0" applyNumberFormat="1" applyFont="1" applyBorder="1" applyAlignment="1">
      <alignment horizontal="right" vertical="center"/>
    </xf>
    <xf numFmtId="3" fontId="52" fillId="0" borderId="33" xfId="0" applyNumberFormat="1" applyFont="1" applyBorder="1" applyAlignment="1">
      <alignment horizontal="right" vertical="center"/>
    </xf>
    <xf numFmtId="3" fontId="52" fillId="0" borderId="36" xfId="0" applyNumberFormat="1" applyFont="1" applyBorder="1" applyAlignment="1">
      <alignment horizontal="right" vertical="center"/>
    </xf>
    <xf numFmtId="3" fontId="49" fillId="0" borderId="9" xfId="0" applyNumberFormat="1" applyFont="1" applyBorder="1" applyAlignment="1">
      <alignment horizontal="right" vertical="center"/>
    </xf>
    <xf numFmtId="3" fontId="48" fillId="5" borderId="33" xfId="2" applyNumberFormat="1" applyFont="1" applyFill="1" applyBorder="1" applyAlignment="1" applyProtection="1">
      <alignment horizontal="right" vertical="center" wrapText="1"/>
      <protection locked="0"/>
    </xf>
    <xf numFmtId="3" fontId="49" fillId="5" borderId="36" xfId="0" applyNumberFormat="1" applyFont="1" applyFill="1" applyBorder="1" applyAlignment="1">
      <alignment horizontal="right" vertical="center"/>
    </xf>
    <xf numFmtId="0" fontId="5" fillId="2" borderId="4" xfId="2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21" fillId="0" borderId="0" xfId="2" applyFont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17" xfId="2" applyFont="1" applyFill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 applyProtection="1">
      <alignment horizontal="center" vertical="center" wrapText="1"/>
      <protection locked="0"/>
    </xf>
    <xf numFmtId="0" fontId="5" fillId="0" borderId="14" xfId="2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3" borderId="14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3" fontId="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6" xfId="0" applyNumberFormat="1" applyFont="1" applyBorder="1" applyAlignment="1">
      <alignment horizontal="right" vertical="center" indent="1"/>
    </xf>
    <xf numFmtId="3" fontId="8" fillId="0" borderId="20" xfId="0" applyNumberFormat="1" applyFont="1" applyBorder="1" applyAlignment="1">
      <alignment horizontal="right" vertical="center" indent="1"/>
    </xf>
    <xf numFmtId="3" fontId="5" fillId="3" borderId="18" xfId="2" applyNumberFormat="1" applyFont="1" applyFill="1" applyBorder="1" applyAlignment="1" applyProtection="1">
      <alignment horizontal="right" vertical="center" indent="1"/>
      <protection locked="0"/>
    </xf>
    <xf numFmtId="3" fontId="8" fillId="3" borderId="20" xfId="0" applyNumberFormat="1" applyFont="1" applyFill="1" applyBorder="1" applyAlignment="1">
      <alignment horizontal="right" vertical="center" indent="1"/>
    </xf>
    <xf numFmtId="3" fontId="5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7" xfId="0" applyNumberFormat="1" applyFont="1" applyBorder="1" applyAlignment="1">
      <alignment horizontal="right" vertical="center" indent="1"/>
    </xf>
    <xf numFmtId="3" fontId="8" fillId="0" borderId="12" xfId="0" applyNumberFormat="1" applyFont="1" applyBorder="1" applyAlignment="1">
      <alignment horizontal="right" vertical="center" indent="1"/>
    </xf>
    <xf numFmtId="3" fontId="5" fillId="3" borderId="10" xfId="2" applyNumberFormat="1" applyFont="1" applyFill="1" applyBorder="1" applyAlignment="1" applyProtection="1">
      <alignment horizontal="right" vertical="center" indent="1"/>
      <protection locked="0"/>
    </xf>
    <xf numFmtId="3" fontId="8" fillId="3" borderId="12" xfId="0" applyNumberFormat="1" applyFont="1" applyFill="1" applyBorder="1" applyAlignment="1">
      <alignment horizontal="right" vertical="center" inden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3" fontId="5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8" xfId="0" applyNumberFormat="1" applyFont="1" applyBorder="1" applyAlignment="1">
      <alignment horizontal="right" vertical="center" indent="1"/>
    </xf>
    <xf numFmtId="3" fontId="0" fillId="0" borderId="31" xfId="0" applyNumberFormat="1" applyFont="1" applyBorder="1" applyAlignment="1">
      <alignment horizontal="right" vertical="center" indent="1"/>
    </xf>
    <xf numFmtId="3" fontId="0" fillId="0" borderId="28" xfId="0" applyNumberFormat="1" applyBorder="1" applyAlignment="1">
      <alignment horizontal="right" vertical="center" indent="1"/>
    </xf>
    <xf numFmtId="3" fontId="0" fillId="0" borderId="31" xfId="0" applyNumberFormat="1" applyBorder="1" applyAlignment="1">
      <alignment horizontal="right" vertical="center" indent="1"/>
    </xf>
    <xf numFmtId="3" fontId="8" fillId="0" borderId="32" xfId="0" applyNumberFormat="1" applyFont="1" applyBorder="1" applyAlignment="1">
      <alignment horizontal="right" vertical="center" indent="1"/>
    </xf>
    <xf numFmtId="3" fontId="8" fillId="0" borderId="31" xfId="0" applyNumberFormat="1" applyFont="1" applyBorder="1" applyAlignment="1">
      <alignment horizontal="right" vertical="center" indent="1"/>
    </xf>
    <xf numFmtId="3" fontId="5" fillId="3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31" xfId="0" applyNumberFormat="1" applyFont="1" applyFill="1" applyBorder="1" applyAlignment="1">
      <alignment horizontal="right" vertical="center" indent="1"/>
    </xf>
    <xf numFmtId="0" fontId="7" fillId="0" borderId="9" xfId="2" applyFont="1" applyBorder="1" applyAlignment="1" applyProtection="1">
      <alignment horizontal="center" vertical="center" wrapText="1"/>
      <protection locked="0"/>
    </xf>
    <xf numFmtId="3" fontId="7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3" xfId="0" applyNumberFormat="1" applyFont="1" applyBorder="1" applyAlignment="1">
      <alignment horizontal="right" vertical="center" indent="1"/>
    </xf>
    <xf numFmtId="3" fontId="8" fillId="0" borderId="36" xfId="0" applyNumberFormat="1" applyFont="1" applyBorder="1" applyAlignment="1">
      <alignment horizontal="right" vertical="center" indent="1"/>
    </xf>
    <xf numFmtId="3" fontId="9" fillId="0" borderId="33" xfId="0" applyNumberFormat="1" applyFont="1" applyBorder="1" applyAlignment="1">
      <alignment horizontal="right" vertical="center" indent="1"/>
    </xf>
    <xf numFmtId="3" fontId="9" fillId="0" borderId="36" xfId="0" applyNumberFormat="1" applyFont="1" applyBorder="1" applyAlignment="1">
      <alignment horizontal="right" vertical="center" indent="1"/>
    </xf>
    <xf numFmtId="3" fontId="8" fillId="0" borderId="9" xfId="0" applyNumberFormat="1" applyFont="1" applyBorder="1" applyAlignment="1">
      <alignment horizontal="right" vertical="center" indent="1"/>
    </xf>
    <xf numFmtId="3" fontId="7" fillId="3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36" xfId="0" applyNumberFormat="1" applyFont="1" applyFill="1" applyBorder="1" applyAlignment="1">
      <alignment horizontal="right" vertical="center" indent="1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5" fillId="0" borderId="10" xfId="2" applyFont="1" applyFill="1" applyBorder="1" applyAlignment="1" applyProtection="1">
      <alignment vertical="center" wrapText="1"/>
      <protection locked="0"/>
    </xf>
    <xf numFmtId="0" fontId="5" fillId="0" borderId="6" xfId="2" applyFont="1" applyFill="1" applyBorder="1" applyAlignment="1" applyProtection="1">
      <alignment vertical="center" wrapText="1"/>
      <protection locked="0"/>
    </xf>
    <xf numFmtId="0" fontId="5" fillId="0" borderId="12" xfId="2" applyFont="1" applyFill="1" applyBorder="1" applyAlignment="1" applyProtection="1">
      <alignment vertical="center" wrapText="1"/>
      <protection locked="0"/>
    </xf>
    <xf numFmtId="0" fontId="5" fillId="0" borderId="11" xfId="2" applyFont="1" applyFill="1" applyBorder="1" applyAlignment="1" applyProtection="1">
      <alignment vertical="center" wrapText="1"/>
      <protection locked="0"/>
    </xf>
    <xf numFmtId="0" fontId="5" fillId="0" borderId="0" xfId="2" applyFont="1" applyBorder="1" applyAlignment="1">
      <alignment vertical="center"/>
    </xf>
    <xf numFmtId="0" fontId="5" fillId="0" borderId="13" xfId="2" applyFont="1" applyBorder="1" applyAlignment="1">
      <alignment horizontal="center" vertical="center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 applyProtection="1">
      <alignment vertical="center"/>
      <protection locked="0"/>
    </xf>
    <xf numFmtId="165" fontId="5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left" vertical="center"/>
      <protection locked="0"/>
    </xf>
    <xf numFmtId="165" fontId="5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165" fontId="5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5" xfId="2" applyFont="1" applyBorder="1" applyAlignment="1" applyProtection="1">
      <alignment horizontal="center" vertical="center" wrapText="1"/>
      <protection locked="0"/>
    </xf>
    <xf numFmtId="165" fontId="7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/>
    </xf>
    <xf numFmtId="0" fontId="5" fillId="7" borderId="2" xfId="2" applyFont="1" applyFill="1" applyBorder="1" applyAlignment="1" applyProtection="1">
      <alignment horizontal="center" vertical="center" wrapText="1"/>
      <protection locked="0"/>
    </xf>
    <xf numFmtId="0" fontId="5" fillId="7" borderId="14" xfId="2" applyFont="1" applyFill="1" applyBorder="1" applyAlignment="1" applyProtection="1">
      <alignment horizontal="center" vertical="center" wrapTex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9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0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6" xfId="0" applyNumberFormat="1" applyFont="1" applyBorder="1" applyAlignment="1">
      <alignment horizontal="right" vertical="center"/>
    </xf>
    <xf numFmtId="3" fontId="10" fillId="0" borderId="20" xfId="0" applyNumberFormat="1" applyFont="1" applyBorder="1" applyAlignment="1">
      <alignment horizontal="right" vertical="center"/>
    </xf>
    <xf numFmtId="3" fontId="10" fillId="7" borderId="18" xfId="2" applyNumberFormat="1" applyFont="1" applyFill="1" applyBorder="1" applyAlignment="1" applyProtection="1">
      <alignment horizontal="right" vertical="center"/>
      <protection locked="0"/>
    </xf>
    <xf numFmtId="3" fontId="1" fillId="7" borderId="20" xfId="0" applyNumberFormat="1" applyFont="1" applyFill="1" applyBorder="1" applyAlignment="1">
      <alignment horizontal="right" vertical="center"/>
    </xf>
    <xf numFmtId="3" fontId="10" fillId="0" borderId="10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2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7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7" borderId="10" xfId="2" applyNumberFormat="1" applyFont="1" applyFill="1" applyBorder="1" applyAlignment="1" applyProtection="1">
      <alignment horizontal="right" vertical="center"/>
      <protection locked="0"/>
    </xf>
    <xf numFmtId="3" fontId="1" fillId="7" borderId="12" xfId="0" applyNumberFormat="1" applyFont="1" applyFill="1" applyBorder="1" applyAlignment="1">
      <alignment horizontal="right" vertical="center"/>
    </xf>
    <xf numFmtId="0" fontId="5" fillId="0" borderId="42" xfId="2" applyFont="1" applyBorder="1" applyAlignment="1" applyProtection="1">
      <alignment horizontal="center" vertical="center" wrapText="1"/>
      <protection locked="0"/>
    </xf>
    <xf numFmtId="3" fontId="10" fillId="0" borderId="28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9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30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3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8" xfId="0" applyNumberFormat="1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3" fontId="10" fillId="0" borderId="32" xfId="0" applyNumberFormat="1" applyFont="1" applyBorder="1" applyAlignment="1">
      <alignment horizontal="right" vertical="center"/>
    </xf>
    <xf numFmtId="3" fontId="10" fillId="7" borderId="28" xfId="2" applyNumberFormat="1" applyFont="1" applyFill="1" applyBorder="1" applyAlignment="1" applyProtection="1">
      <alignment horizontal="right" vertical="center" wrapText="1"/>
      <protection locked="0"/>
    </xf>
    <xf numFmtId="3" fontId="1" fillId="7" borderId="31" xfId="0" applyNumberFormat="1" applyFont="1" applyFill="1" applyBorder="1" applyAlignment="1">
      <alignment horizontal="right" vertical="center"/>
    </xf>
    <xf numFmtId="0" fontId="7" fillId="0" borderId="1" xfId="2" applyFont="1" applyBorder="1" applyAlignment="1" applyProtection="1">
      <alignment horizontal="center" vertical="center" wrapText="1"/>
      <protection locked="0"/>
    </xf>
    <xf numFmtId="3" fontId="21" fillId="0" borderId="33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34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35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36" xfId="2" applyNumberFormat="1" applyFont="1" applyFill="1" applyBorder="1" applyAlignment="1" applyProtection="1">
      <alignment horizontal="right" vertical="center" wrapText="1"/>
      <protection locked="0"/>
    </xf>
    <xf numFmtId="3" fontId="20" fillId="0" borderId="33" xfId="0" applyNumberFormat="1" applyFont="1" applyBorder="1" applyAlignment="1">
      <alignment horizontal="right" vertical="center"/>
    </xf>
    <xf numFmtId="3" fontId="20" fillId="0" borderId="36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/>
    </xf>
    <xf numFmtId="3" fontId="21" fillId="7" borderId="33" xfId="2" applyNumberFormat="1" applyFont="1" applyFill="1" applyBorder="1" applyAlignment="1" applyProtection="1">
      <alignment horizontal="right" vertical="center" wrapText="1"/>
      <protection locked="0"/>
    </xf>
    <xf numFmtId="3" fontId="20" fillId="7" borderId="36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2" applyNumberFormat="1" applyFont="1" applyAlignment="1" applyProtection="1">
      <alignment horizontal="left" vertical="center"/>
      <protection locked="0"/>
    </xf>
    <xf numFmtId="0" fontId="5" fillId="0" borderId="10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0" borderId="12" xfId="2" applyFont="1" applyFill="1" applyBorder="1" applyAlignment="1" applyProtection="1">
      <alignment horizontal="center" vertical="center" wrapText="1"/>
      <protection locked="0"/>
    </xf>
    <xf numFmtId="0" fontId="5" fillId="7" borderId="11" xfId="2" applyFont="1" applyFill="1" applyBorder="1" applyAlignment="1" applyProtection="1">
      <alignment horizontal="center" vertical="center" wrapText="1"/>
      <protection locked="0"/>
    </xf>
    <xf numFmtId="0" fontId="5" fillId="7" borderId="0" xfId="2" applyFont="1" applyFill="1" applyBorder="1" applyAlignment="1">
      <alignment horizontal="center" vertical="center"/>
    </xf>
    <xf numFmtId="0" fontId="5" fillId="7" borderId="12" xfId="2" applyFont="1" applyFill="1" applyBorder="1" applyAlignment="1" applyProtection="1">
      <alignment horizontal="center" vertical="center" wrapText="1"/>
      <protection locked="0"/>
    </xf>
    <xf numFmtId="0" fontId="5" fillId="7" borderId="17" xfId="2" applyFont="1" applyFill="1" applyBorder="1" applyAlignment="1" applyProtection="1">
      <alignment horizontal="center" vertical="center" wrapText="1"/>
      <protection locked="0"/>
    </xf>
    <xf numFmtId="0" fontId="5" fillId="7" borderId="13" xfId="2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0" fillId="0" borderId="20" xfId="2" applyNumberFormat="1" applyFont="1" applyFill="1" applyBorder="1" applyAlignment="1" applyProtection="1">
      <alignment horizontal="center" vertical="center" wrapText="1"/>
      <protection locked="0"/>
    </xf>
    <xf numFmtId="3" fontId="10" fillId="7" borderId="21" xfId="2" applyNumberFormat="1" applyFont="1" applyFill="1" applyBorder="1" applyAlignment="1" applyProtection="1">
      <alignment horizontal="right" vertical="center" wrapText="1"/>
      <protection locked="0"/>
    </xf>
    <xf numFmtId="3" fontId="10" fillId="7" borderId="19" xfId="2" applyNumberFormat="1" applyFont="1" applyFill="1" applyBorder="1" applyAlignment="1" applyProtection="1">
      <alignment horizontal="right" vertical="center" wrapText="1"/>
      <protection locked="0"/>
    </xf>
    <xf numFmtId="3" fontId="10" fillId="7" borderId="20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3" fontId="10" fillId="7" borderId="11" xfId="2" applyNumberFormat="1" applyFont="1" applyFill="1" applyBorder="1" applyAlignment="1" applyProtection="1">
      <alignment horizontal="right" vertical="center" wrapText="1"/>
      <protection locked="0"/>
    </xf>
    <xf numFmtId="3" fontId="10" fillId="7" borderId="6" xfId="2" applyNumberFormat="1" applyFont="1" applyFill="1" applyBorder="1" applyAlignment="1" applyProtection="1">
      <alignment horizontal="right" vertical="center" wrapText="1"/>
      <protection locked="0"/>
    </xf>
    <xf numFmtId="3" fontId="10" fillId="7" borderId="12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4" xfId="2" applyNumberFormat="1" applyFont="1" applyFill="1" applyBorder="1" applyAlignment="1" applyProtection="1">
      <alignment horizontal="center" vertical="center" wrapText="1"/>
      <protection locked="0"/>
    </xf>
    <xf numFmtId="3" fontId="10" fillId="7" borderId="17" xfId="2" applyNumberFormat="1" applyFont="1" applyFill="1" applyBorder="1" applyAlignment="1" applyProtection="1">
      <alignment horizontal="right" vertical="center" wrapText="1"/>
      <protection locked="0"/>
    </xf>
    <xf numFmtId="3" fontId="10" fillId="7" borderId="13" xfId="2" applyNumberFormat="1" applyFont="1" applyFill="1" applyBorder="1" applyAlignment="1" applyProtection="1">
      <alignment horizontal="right" vertical="center" wrapText="1"/>
      <protection locked="0"/>
    </xf>
    <xf numFmtId="3" fontId="10" fillId="7" borderId="14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24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23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23" xfId="2" applyNumberFormat="1" applyFont="1" applyFill="1" applyBorder="1" applyAlignment="1" applyProtection="1">
      <alignment horizontal="center" vertical="center" wrapText="1"/>
      <protection locked="0"/>
    </xf>
    <xf numFmtId="3" fontId="21" fillId="7" borderId="25" xfId="2" applyNumberFormat="1" applyFont="1" applyFill="1" applyBorder="1" applyAlignment="1" applyProtection="1">
      <alignment horizontal="right" vertical="center" wrapText="1"/>
      <protection locked="0"/>
    </xf>
    <xf numFmtId="3" fontId="21" fillId="7" borderId="22" xfId="2" applyNumberFormat="1" applyFont="1" applyFill="1" applyBorder="1" applyAlignment="1" applyProtection="1">
      <alignment horizontal="right" vertical="center" wrapText="1"/>
      <protection locked="0"/>
    </xf>
    <xf numFmtId="3" fontId="21" fillId="7" borderId="23" xfId="2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Fill="1" applyAlignment="1">
      <alignment vertical="center"/>
    </xf>
    <xf numFmtId="0" fontId="5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18" xfId="2" applyNumberFormat="1" applyFont="1" applyFill="1" applyBorder="1" applyAlignment="1" applyProtection="1">
      <alignment vertical="center" wrapText="1"/>
      <protection locked="0"/>
    </xf>
    <xf numFmtId="3" fontId="5" fillId="0" borderId="21" xfId="2" applyNumberFormat="1" applyFont="1" applyFill="1" applyBorder="1" applyAlignment="1" applyProtection="1">
      <alignment vertical="center" wrapText="1"/>
      <protection locked="0"/>
    </xf>
    <xf numFmtId="3" fontId="5" fillId="0" borderId="19" xfId="2" applyNumberFormat="1" applyFont="1" applyFill="1" applyBorder="1" applyAlignment="1" applyProtection="1">
      <alignment vertical="center" wrapText="1"/>
      <protection locked="0"/>
    </xf>
    <xf numFmtId="3" fontId="5" fillId="0" borderId="20" xfId="2" applyNumberFormat="1" applyFont="1" applyFill="1" applyBorder="1" applyAlignment="1" applyProtection="1">
      <alignment vertical="center" wrapText="1"/>
      <protection locked="0"/>
    </xf>
    <xf numFmtId="3" fontId="47" fillId="0" borderId="26" xfId="0" applyNumberFormat="1" applyFont="1" applyFill="1" applyBorder="1" applyAlignment="1">
      <alignment vertical="center"/>
    </xf>
    <xf numFmtId="3" fontId="47" fillId="0" borderId="20" xfId="0" applyNumberFormat="1" applyFont="1" applyFill="1" applyBorder="1" applyAlignment="1">
      <alignment vertical="center"/>
    </xf>
    <xf numFmtId="3" fontId="5" fillId="0" borderId="18" xfId="2" applyNumberFormat="1" applyFont="1" applyFill="1" applyBorder="1" applyAlignment="1" applyProtection="1">
      <alignment vertical="center"/>
      <protection locked="0"/>
    </xf>
    <xf numFmtId="3" fontId="57" fillId="0" borderId="20" xfId="0" applyNumberFormat="1" applyFont="1" applyFill="1" applyBorder="1" applyAlignment="1">
      <alignment vertical="center"/>
    </xf>
    <xf numFmtId="3" fontId="5" fillId="0" borderId="10" xfId="2" applyNumberFormat="1" applyFont="1" applyFill="1" applyBorder="1" applyAlignment="1" applyProtection="1">
      <alignment vertical="center" wrapText="1"/>
      <protection locked="0"/>
    </xf>
    <xf numFmtId="3" fontId="5" fillId="0" borderId="11" xfId="2" applyNumberFormat="1" applyFont="1" applyFill="1" applyBorder="1" applyAlignment="1" applyProtection="1">
      <alignment vertical="center" wrapText="1"/>
      <protection locked="0"/>
    </xf>
    <xf numFmtId="3" fontId="5" fillId="0" borderId="6" xfId="2" applyNumberFormat="1" applyFont="1" applyFill="1" applyBorder="1" applyAlignment="1" applyProtection="1">
      <alignment vertical="center" wrapText="1"/>
      <protection locked="0"/>
    </xf>
    <xf numFmtId="3" fontId="5" fillId="0" borderId="12" xfId="2" applyNumberFormat="1" applyFont="1" applyFill="1" applyBorder="1" applyAlignment="1" applyProtection="1">
      <alignment vertical="center" wrapText="1"/>
      <protection locked="0"/>
    </xf>
    <xf numFmtId="3" fontId="47" fillId="0" borderId="27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5" fillId="0" borderId="8" xfId="2" applyFont="1" applyFill="1" applyBorder="1" applyAlignment="1" applyProtection="1">
      <alignment horizontal="center" vertical="center" wrapText="1"/>
      <protection locked="0"/>
    </xf>
    <xf numFmtId="3" fontId="5" fillId="0" borderId="28" xfId="2" applyNumberFormat="1" applyFont="1" applyFill="1" applyBorder="1" applyAlignment="1" applyProtection="1">
      <alignment vertical="center" wrapText="1"/>
      <protection locked="0"/>
    </xf>
    <xf numFmtId="3" fontId="5" fillId="0" borderId="29" xfId="2" applyNumberFormat="1" applyFont="1" applyFill="1" applyBorder="1" applyAlignment="1" applyProtection="1">
      <alignment vertical="center" wrapText="1"/>
      <protection locked="0"/>
    </xf>
    <xf numFmtId="3" fontId="5" fillId="0" borderId="30" xfId="2" applyNumberFormat="1" applyFont="1" applyFill="1" applyBorder="1" applyAlignment="1" applyProtection="1">
      <alignment vertical="center" wrapText="1"/>
      <protection locked="0"/>
    </xf>
    <xf numFmtId="3" fontId="5" fillId="0" borderId="31" xfId="2" applyNumberFormat="1" applyFont="1" applyFill="1" applyBorder="1" applyAlignment="1" applyProtection="1">
      <alignment vertical="center" wrapText="1"/>
      <protection locked="0"/>
    </xf>
    <xf numFmtId="3" fontId="57" fillId="0" borderId="28" xfId="0" applyNumberFormat="1" applyFont="1" applyFill="1" applyBorder="1" applyAlignment="1">
      <alignment vertical="center"/>
    </xf>
    <xf numFmtId="3" fontId="57" fillId="0" borderId="31" xfId="0" applyNumberFormat="1" applyFont="1" applyFill="1" applyBorder="1" applyAlignment="1">
      <alignment vertical="center"/>
    </xf>
    <xf numFmtId="3" fontId="47" fillId="0" borderId="32" xfId="0" applyNumberFormat="1" applyFont="1" applyFill="1" applyBorder="1" applyAlignment="1">
      <alignment vertical="center"/>
    </xf>
    <xf numFmtId="3" fontId="47" fillId="0" borderId="31" xfId="0" applyNumberFormat="1" applyFont="1" applyFill="1" applyBorder="1" applyAlignment="1">
      <alignment vertical="center"/>
    </xf>
    <xf numFmtId="3" fontId="7" fillId="0" borderId="33" xfId="2" applyNumberFormat="1" applyFont="1" applyFill="1" applyBorder="1" applyAlignment="1" applyProtection="1">
      <alignment vertical="center" wrapText="1"/>
      <protection locked="0"/>
    </xf>
    <xf numFmtId="3" fontId="7" fillId="0" borderId="34" xfId="2" applyNumberFormat="1" applyFont="1" applyFill="1" applyBorder="1" applyAlignment="1" applyProtection="1">
      <alignment vertical="center" wrapText="1"/>
      <protection locked="0"/>
    </xf>
    <xf numFmtId="3" fontId="7" fillId="0" borderId="35" xfId="2" applyNumberFormat="1" applyFont="1" applyFill="1" applyBorder="1" applyAlignment="1" applyProtection="1">
      <alignment vertical="center" wrapText="1"/>
      <protection locked="0"/>
    </xf>
    <xf numFmtId="3" fontId="7" fillId="0" borderId="36" xfId="2" applyNumberFormat="1" applyFont="1" applyFill="1" applyBorder="1" applyAlignment="1" applyProtection="1">
      <alignment vertical="center" wrapText="1"/>
      <protection locked="0"/>
    </xf>
    <xf numFmtId="3" fontId="21" fillId="0" borderId="33" xfId="0" applyNumberFormat="1" applyFont="1" applyFill="1" applyBorder="1" applyAlignment="1">
      <alignment vertical="center"/>
    </xf>
    <xf numFmtId="3" fontId="21" fillId="0" borderId="36" xfId="0" applyNumberFormat="1" applyFont="1" applyFill="1" applyBorder="1" applyAlignment="1">
      <alignment vertical="center"/>
    </xf>
    <xf numFmtId="3" fontId="21" fillId="0" borderId="9" xfId="0" applyNumberFormat="1" applyFont="1" applyFill="1" applyBorder="1" applyAlignment="1">
      <alignment vertical="center"/>
    </xf>
    <xf numFmtId="3" fontId="7" fillId="0" borderId="36" xfId="0" applyNumberFormat="1" applyFont="1" applyFill="1" applyBorder="1" applyAlignment="1">
      <alignment vertical="center"/>
    </xf>
    <xf numFmtId="0" fontId="58" fillId="0" borderId="0" xfId="0" applyFont="1" applyAlignment="1">
      <alignment horizontal="right" vertical="center"/>
    </xf>
    <xf numFmtId="3" fontId="59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right" vertical="center"/>
    </xf>
    <xf numFmtId="3" fontId="58" fillId="0" borderId="0" xfId="0" applyNumberFormat="1" applyFont="1" applyAlignment="1">
      <alignment horizontal="right" vertical="center"/>
    </xf>
    <xf numFmtId="0" fontId="59" fillId="0" borderId="0" xfId="0" applyFont="1" applyAlignment="1">
      <alignment horizontal="left" vertical="center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right" vertical="center"/>
      <protection locked="0"/>
    </xf>
    <xf numFmtId="165" fontId="58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" fontId="5" fillId="0" borderId="18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1" xfId="2" applyNumberFormat="1" applyFont="1" applyFill="1" applyBorder="1" applyAlignment="1" applyProtection="1">
      <alignment horizontal="right" vertical="center" wrapText="1"/>
      <protection locked="0"/>
    </xf>
    <xf numFmtId="165" fontId="5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5" fillId="0" borderId="10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6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11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4" xfId="2" applyNumberFormat="1" applyFont="1" applyFill="1" applyBorder="1" applyAlignment="1" applyProtection="1">
      <alignment vertical="center" wrapText="1"/>
      <protection locked="0"/>
    </xf>
    <xf numFmtId="3" fontId="5" fillId="0" borderId="13" xfId="2" applyNumberFormat="1" applyFont="1" applyFill="1" applyBorder="1" applyAlignment="1" applyProtection="1">
      <alignment vertical="center" wrapText="1"/>
      <protection locked="0"/>
    </xf>
    <xf numFmtId="4" fontId="5" fillId="0" borderId="17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24" xfId="2" applyNumberFormat="1" applyFont="1" applyFill="1" applyBorder="1" applyAlignment="1" applyProtection="1">
      <alignment horizontal="right" vertical="center" wrapText="1"/>
      <protection locked="0"/>
    </xf>
    <xf numFmtId="3" fontId="7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7" fillId="0" borderId="23" xfId="2" applyNumberFormat="1" applyFont="1" applyFill="1" applyBorder="1" applyAlignment="1" applyProtection="1">
      <alignment horizontal="right" vertical="center" wrapText="1"/>
      <protection locked="0"/>
    </xf>
    <xf numFmtId="3" fontId="7" fillId="0" borderId="36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25" xfId="2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Alignment="1">
      <alignment vertical="center"/>
    </xf>
    <xf numFmtId="0" fontId="37" fillId="0" borderId="0" xfId="2" applyFont="1" applyFill="1" applyAlignment="1" applyProtection="1">
      <alignment vertical="center"/>
      <protection locked="0"/>
    </xf>
    <xf numFmtId="0" fontId="38" fillId="0" borderId="0" xfId="2" applyFont="1" applyFill="1" applyAlignment="1" applyProtection="1">
      <alignment horizontal="left" vertical="center"/>
      <protection locked="0"/>
    </xf>
    <xf numFmtId="0" fontId="38" fillId="0" borderId="0" xfId="2" applyFont="1" applyFill="1" applyAlignment="1" applyProtection="1">
      <alignment vertical="center"/>
      <protection locked="0"/>
    </xf>
    <xf numFmtId="0" fontId="38" fillId="0" borderId="0" xfId="2" applyFont="1" applyBorder="1" applyAlignment="1" applyProtection="1">
      <alignment vertical="center"/>
      <protection locked="0"/>
    </xf>
    <xf numFmtId="0" fontId="38" fillId="0" borderId="0" xfId="2" applyFont="1" applyAlignment="1" applyProtection="1">
      <alignment vertical="center"/>
      <protection locked="0"/>
    </xf>
    <xf numFmtId="0" fontId="38" fillId="0" borderId="0" xfId="2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2" applyFont="1" applyAlignment="1" applyProtection="1">
      <alignment vertical="center"/>
      <protection locked="0"/>
    </xf>
    <xf numFmtId="0" fontId="39" fillId="0" borderId="0" xfId="0" applyFont="1" applyAlignment="1">
      <alignment horizontal="right" vertical="center"/>
    </xf>
    <xf numFmtId="0" fontId="38" fillId="0" borderId="2" xfId="2" applyFont="1" applyFill="1" applyBorder="1" applyAlignment="1" applyProtection="1">
      <alignment horizontal="center" vertical="center" wrapText="1"/>
      <protection locked="0"/>
    </xf>
    <xf numFmtId="0" fontId="38" fillId="0" borderId="17" xfId="2" applyFont="1" applyFill="1" applyBorder="1" applyAlignment="1" applyProtection="1">
      <alignment horizontal="center" vertical="center" wrapText="1"/>
      <protection locked="0"/>
    </xf>
    <xf numFmtId="0" fontId="38" fillId="0" borderId="13" xfId="2" applyFont="1" applyFill="1" applyBorder="1" applyAlignment="1" applyProtection="1">
      <alignment horizontal="center" vertical="center" wrapText="1"/>
      <protection locked="0"/>
    </xf>
    <xf numFmtId="0" fontId="38" fillId="0" borderId="14" xfId="2" applyFont="1" applyFill="1" applyBorder="1" applyAlignment="1" applyProtection="1">
      <alignment horizontal="center" vertical="center" wrapText="1"/>
      <protection locked="0"/>
    </xf>
    <xf numFmtId="0" fontId="38" fillId="3" borderId="2" xfId="2" applyFont="1" applyFill="1" applyBorder="1" applyAlignment="1" applyProtection="1">
      <alignment horizontal="center" vertical="center" wrapText="1"/>
      <protection locked="0"/>
    </xf>
    <xf numFmtId="0" fontId="38" fillId="3" borderId="14" xfId="2" applyFont="1" applyFill="1" applyBorder="1" applyAlignment="1" applyProtection="1">
      <alignment horizontal="center" vertical="center" wrapText="1"/>
      <protection locked="0"/>
    </xf>
    <xf numFmtId="0" fontId="38" fillId="0" borderId="5" xfId="2" applyFont="1" applyBorder="1" applyAlignment="1" applyProtection="1">
      <alignment horizontal="center" vertical="center" wrapText="1"/>
      <protection locked="0"/>
    </xf>
    <xf numFmtId="3" fontId="3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6" xfId="0" applyNumberFormat="1" applyFont="1" applyBorder="1" applyAlignment="1">
      <alignment horizontal="right" vertical="center" indent="1"/>
    </xf>
    <xf numFmtId="3" fontId="39" fillId="0" borderId="20" xfId="0" applyNumberFormat="1" applyFont="1" applyBorder="1" applyAlignment="1">
      <alignment horizontal="right" vertical="center" indent="1"/>
    </xf>
    <xf numFmtId="3" fontId="38" fillId="3" borderId="18" xfId="2" applyNumberFormat="1" applyFont="1" applyFill="1" applyBorder="1" applyAlignment="1" applyProtection="1">
      <alignment horizontal="right" vertical="center" indent="1"/>
      <protection locked="0"/>
    </xf>
    <xf numFmtId="3" fontId="39" fillId="3" borderId="20" xfId="0" applyNumberFormat="1" applyFont="1" applyFill="1" applyBorder="1" applyAlignment="1">
      <alignment horizontal="right" vertical="center" indent="1"/>
    </xf>
    <xf numFmtId="3" fontId="3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7" xfId="0" applyNumberFormat="1" applyFont="1" applyBorder="1" applyAlignment="1">
      <alignment horizontal="right" vertical="center" indent="1"/>
    </xf>
    <xf numFmtId="3" fontId="39" fillId="0" borderId="12" xfId="0" applyNumberFormat="1" applyFont="1" applyBorder="1" applyAlignment="1">
      <alignment horizontal="right" vertical="center" indent="1"/>
    </xf>
    <xf numFmtId="0" fontId="38" fillId="0" borderId="4" xfId="2" applyFont="1" applyBorder="1" applyAlignment="1" applyProtection="1">
      <alignment horizontal="center" vertical="center" wrapText="1"/>
      <protection locked="0"/>
    </xf>
    <xf numFmtId="3" fontId="39" fillId="0" borderId="27" xfId="0" applyNumberFormat="1" applyFont="1" applyFill="1" applyBorder="1" applyAlignment="1">
      <alignment horizontal="right" vertical="center" indent="1"/>
    </xf>
    <xf numFmtId="3" fontId="39" fillId="0" borderId="12" xfId="0" applyNumberFormat="1" applyFont="1" applyFill="1" applyBorder="1" applyAlignment="1">
      <alignment horizontal="right" vertical="center" indent="1"/>
    </xf>
    <xf numFmtId="0" fontId="38" fillId="0" borderId="8" xfId="2" applyFont="1" applyBorder="1" applyAlignment="1" applyProtection="1">
      <alignment horizontal="center" vertical="center" wrapText="1"/>
      <protection locked="0"/>
    </xf>
    <xf numFmtId="3" fontId="38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8" xfId="0" applyNumberFormat="1" applyFont="1" applyBorder="1" applyAlignment="1">
      <alignment horizontal="right" vertical="center" indent="1"/>
    </xf>
    <xf numFmtId="3" fontId="39" fillId="0" borderId="31" xfId="0" applyNumberFormat="1" applyFont="1" applyBorder="1" applyAlignment="1">
      <alignment horizontal="right" vertical="center" indent="1"/>
    </xf>
    <xf numFmtId="3" fontId="39" fillId="0" borderId="32" xfId="0" applyNumberFormat="1" applyFont="1" applyBorder="1" applyAlignment="1">
      <alignment horizontal="right" vertical="center" indent="1"/>
    </xf>
    <xf numFmtId="0" fontId="37" fillId="0" borderId="9" xfId="2" applyFont="1" applyBorder="1" applyAlignment="1" applyProtection="1">
      <alignment horizontal="center" vertical="center" wrapText="1"/>
      <protection locked="0"/>
    </xf>
    <xf numFmtId="3" fontId="37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33" xfId="0" applyNumberFormat="1" applyFont="1" applyBorder="1" applyAlignment="1">
      <alignment horizontal="right" vertical="center" indent="1"/>
    </xf>
    <xf numFmtId="3" fontId="39" fillId="0" borderId="36" xfId="0" applyNumberFormat="1" applyFont="1" applyBorder="1" applyAlignment="1">
      <alignment horizontal="right" vertical="center" indent="1"/>
    </xf>
    <xf numFmtId="3" fontId="40" fillId="0" borderId="33" xfId="0" applyNumberFormat="1" applyFont="1" applyBorder="1" applyAlignment="1">
      <alignment horizontal="right" vertical="center" indent="1"/>
    </xf>
    <xf numFmtId="3" fontId="40" fillId="0" borderId="36" xfId="0" applyNumberFormat="1" applyFont="1" applyBorder="1" applyAlignment="1">
      <alignment horizontal="right" vertical="center" indent="1"/>
    </xf>
    <xf numFmtId="3" fontId="39" fillId="0" borderId="9" xfId="0" applyNumberFormat="1" applyFont="1" applyBorder="1" applyAlignment="1">
      <alignment horizontal="right" vertical="center" indent="1"/>
    </xf>
    <xf numFmtId="3" fontId="37" fillId="3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39" fillId="3" borderId="36" xfId="0" applyNumberFormat="1" applyFont="1" applyFill="1" applyBorder="1" applyAlignment="1">
      <alignment horizontal="right" vertical="center" indent="1"/>
    </xf>
    <xf numFmtId="0" fontId="39" fillId="0" borderId="0" xfId="2" applyFont="1" applyAlignment="1" applyProtection="1">
      <alignment horizontal="left" vertical="center"/>
      <protection locked="0"/>
    </xf>
    <xf numFmtId="0" fontId="39" fillId="0" borderId="0" xfId="2" applyFont="1" applyAlignment="1" applyProtection="1">
      <alignment horizontal="right" vertical="center"/>
      <protection locked="0"/>
    </xf>
    <xf numFmtId="0" fontId="38" fillId="0" borderId="10" xfId="2" applyFont="1" applyFill="1" applyBorder="1" applyAlignment="1" applyProtection="1">
      <alignment vertical="center" wrapText="1"/>
      <protection locked="0"/>
    </xf>
    <xf numFmtId="0" fontId="38" fillId="0" borderId="6" xfId="2" applyFont="1" applyFill="1" applyBorder="1" applyAlignment="1" applyProtection="1">
      <alignment vertical="center" wrapText="1"/>
      <protection locked="0"/>
    </xf>
    <xf numFmtId="0" fontId="38" fillId="0" borderId="12" xfId="2" applyFont="1" applyFill="1" applyBorder="1" applyAlignment="1" applyProtection="1">
      <alignment vertical="center" wrapText="1"/>
      <protection locked="0"/>
    </xf>
    <xf numFmtId="0" fontId="38" fillId="0" borderId="11" xfId="2" applyFont="1" applyFill="1" applyBorder="1" applyAlignment="1" applyProtection="1">
      <alignment vertical="center" wrapText="1"/>
      <protection locked="0"/>
    </xf>
    <xf numFmtId="0" fontId="38" fillId="0" borderId="0" xfId="2" applyFont="1" applyBorder="1" applyAlignment="1">
      <alignment vertical="center"/>
    </xf>
    <xf numFmtId="0" fontId="38" fillId="0" borderId="13" xfId="2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7" xfId="2" applyFont="1" applyBorder="1" applyAlignment="1" applyProtection="1">
      <alignment horizontal="center" vertical="center" wrapText="1"/>
      <protection locked="0"/>
    </xf>
    <xf numFmtId="0" fontId="38" fillId="0" borderId="5" xfId="2" applyFont="1" applyFill="1" applyBorder="1" applyAlignment="1" applyProtection="1">
      <alignment vertical="center"/>
      <protection locked="0"/>
    </xf>
    <xf numFmtId="176" fontId="3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76" fontId="3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3" xfId="2" applyFont="1" applyBorder="1" applyAlignment="1" applyProtection="1">
      <alignment horizontal="center" vertical="center" wrapText="1"/>
      <protection locked="0"/>
    </xf>
    <xf numFmtId="0" fontId="38" fillId="0" borderId="4" xfId="2" applyFont="1" applyFill="1" applyBorder="1" applyAlignment="1" applyProtection="1">
      <alignment horizontal="left" vertical="center"/>
      <protection locked="0"/>
    </xf>
    <xf numFmtId="176" fontId="3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76" fontId="3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10" xfId="2" applyFont="1" applyFill="1" applyBorder="1" applyAlignment="1" applyProtection="1">
      <alignment horizontal="right" vertical="center" wrapText="1" indent="1"/>
      <protection locked="0"/>
    </xf>
    <xf numFmtId="0" fontId="38" fillId="0" borderId="16" xfId="2" applyFont="1" applyBorder="1" applyAlignment="1" applyProtection="1">
      <alignment horizontal="center" vertical="center" wrapText="1"/>
      <protection locked="0"/>
    </xf>
    <xf numFmtId="0" fontId="38" fillId="0" borderId="2" xfId="2" applyFont="1" applyFill="1" applyBorder="1" applyAlignment="1" applyProtection="1">
      <alignment horizontal="right" vertical="center" wrapText="1" indent="1"/>
      <protection locked="0"/>
    </xf>
    <xf numFmtId="3" fontId="3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15" xfId="2" applyFont="1" applyBorder="1" applyAlignment="1" applyProtection="1">
      <alignment horizontal="center" vertical="center" wrapText="1"/>
      <protection locked="0"/>
    </xf>
    <xf numFmtId="0" fontId="37" fillId="0" borderId="24" xfId="2" applyFont="1" applyFill="1" applyBorder="1" applyAlignment="1" applyProtection="1">
      <alignment horizontal="right" vertical="center" wrapText="1" indent="1"/>
      <protection locked="0"/>
    </xf>
    <xf numFmtId="3" fontId="37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77" fontId="37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77" fontId="37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6" fillId="4" borderId="6" xfId="2" applyFont="1" applyFill="1" applyBorder="1" applyAlignment="1" applyProtection="1">
      <alignment horizontal="center" vertical="center" wrapText="1"/>
      <protection locked="0"/>
    </xf>
    <xf numFmtId="0" fontId="3" fillId="4" borderId="6" xfId="2" applyFont="1" applyFill="1" applyBorder="1" applyAlignment="1" applyProtection="1">
      <alignment horizontal="center" vertical="center" wrapText="1"/>
      <protection locked="0"/>
    </xf>
    <xf numFmtId="3" fontId="53" fillId="4" borderId="6" xfId="2" applyNumberFormat="1" applyFont="1" applyFill="1" applyBorder="1" applyAlignment="1" applyProtection="1">
      <alignment horizontal="right" vertical="center" wrapText="1"/>
      <protection locked="0"/>
    </xf>
    <xf numFmtId="3" fontId="53" fillId="4" borderId="6" xfId="0" applyNumberFormat="1" applyFont="1" applyFill="1" applyBorder="1" applyAlignment="1">
      <alignment horizontal="right" vertical="center"/>
    </xf>
    <xf numFmtId="3" fontId="53" fillId="4" borderId="6" xfId="2" applyNumberFormat="1" applyFont="1" applyFill="1" applyBorder="1" applyAlignment="1" applyProtection="1">
      <alignment horizontal="right" vertical="center"/>
      <protection locked="0"/>
    </xf>
    <xf numFmtId="3" fontId="56" fillId="4" borderId="6" xfId="2" applyNumberFormat="1" applyFont="1" applyFill="1" applyBorder="1" applyAlignment="1" applyProtection="1">
      <alignment horizontal="right" vertical="center" wrapText="1"/>
      <protection locked="0"/>
    </xf>
    <xf numFmtId="3" fontId="56" fillId="4" borderId="6" xfId="0" applyNumberFormat="1" applyFont="1" applyFill="1" applyBorder="1" applyAlignment="1">
      <alignment horizontal="right" vertical="center"/>
    </xf>
    <xf numFmtId="3" fontId="56" fillId="4" borderId="6" xfId="2" applyNumberFormat="1" applyFont="1" applyFill="1" applyBorder="1" applyAlignment="1" applyProtection="1">
      <alignment horizontal="right" vertical="center"/>
      <protection locked="0"/>
    </xf>
    <xf numFmtId="0" fontId="53" fillId="4" borderId="0" xfId="0" applyFont="1" applyFill="1" applyAlignment="1">
      <alignment vertical="center"/>
    </xf>
    <xf numFmtId="0" fontId="53" fillId="4" borderId="0" xfId="2" applyFont="1" applyFill="1" applyAlignment="1" applyProtection="1">
      <alignment horizontal="left" vertical="center"/>
      <protection locked="0"/>
    </xf>
    <xf numFmtId="0" fontId="3" fillId="4" borderId="0" xfId="2" applyFont="1" applyFill="1" applyAlignment="1">
      <alignment vertical="center"/>
    </xf>
    <xf numFmtId="0" fontId="60" fillId="4" borderId="0" xfId="2" applyFont="1" applyFill="1" applyAlignment="1" applyProtection="1">
      <alignment horizontal="left" vertical="center"/>
      <protection locked="0"/>
    </xf>
    <xf numFmtId="0" fontId="60" fillId="4" borderId="0" xfId="0" applyFont="1" applyFill="1" applyAlignment="1">
      <alignment vertical="center"/>
    </xf>
    <xf numFmtId="0" fontId="60" fillId="4" borderId="0" xfId="2" applyFont="1" applyFill="1" applyAlignment="1" applyProtection="1">
      <alignment vertical="center"/>
      <protection locked="0"/>
    </xf>
    <xf numFmtId="0" fontId="3" fillId="4" borderId="0" xfId="2" applyFont="1" applyFill="1" applyAlignment="1" applyProtection="1">
      <alignment vertical="center"/>
      <protection locked="0"/>
    </xf>
    <xf numFmtId="0" fontId="56" fillId="4" borderId="0" xfId="0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36" fillId="0" borderId="0" xfId="2" applyFont="1" applyAlignment="1">
      <alignment vertical="center"/>
    </xf>
    <xf numFmtId="0" fontId="36" fillId="4" borderId="6" xfId="2" applyFont="1" applyFill="1" applyBorder="1" applyAlignment="1">
      <alignment horizontal="center" vertical="center"/>
    </xf>
    <xf numFmtId="0" fontId="56" fillId="4" borderId="6" xfId="2" applyFont="1" applyFill="1" applyBorder="1" applyAlignment="1" applyProtection="1">
      <alignment horizontal="center" vertical="center" wrapText="1"/>
      <protection locked="0"/>
    </xf>
    <xf numFmtId="0" fontId="56" fillId="4" borderId="6" xfId="2" applyFont="1" applyFill="1" applyBorder="1" applyAlignment="1">
      <alignment horizontal="center" vertical="center"/>
    </xf>
    <xf numFmtId="0" fontId="56" fillId="4" borderId="0" xfId="0" applyFont="1" applyFill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" fillId="4" borderId="6" xfId="2" applyFont="1" applyFill="1" applyBorder="1" applyAlignment="1" applyProtection="1">
      <alignment vertical="center"/>
      <protection locked="0"/>
    </xf>
    <xf numFmtId="0" fontId="3" fillId="4" borderId="6" xfId="2" applyFont="1" applyFill="1" applyBorder="1" applyAlignment="1" applyProtection="1">
      <alignment horizontal="left" vertical="center"/>
      <protection locked="0"/>
    </xf>
    <xf numFmtId="0" fontId="61" fillId="0" borderId="0" xfId="0" applyFont="1" applyAlignment="1">
      <alignment vertical="center"/>
    </xf>
    <xf numFmtId="0" fontId="36" fillId="0" borderId="6" xfId="2" applyFont="1" applyBorder="1" applyAlignment="1" applyProtection="1">
      <alignment horizontal="center" vertical="center" wrapText="1"/>
      <protection locked="0"/>
    </xf>
    <xf numFmtId="0" fontId="61" fillId="4" borderId="0" xfId="0" applyFont="1" applyFill="1" applyAlignment="1">
      <alignment vertical="center"/>
    </xf>
    <xf numFmtId="165" fontId="3" fillId="4" borderId="0" xfId="2" applyNumberFormat="1" applyFont="1" applyFill="1" applyAlignment="1">
      <alignment horizontal="right" vertical="center"/>
    </xf>
    <xf numFmtId="0" fontId="47" fillId="4" borderId="2" xfId="2" applyFont="1" applyFill="1" applyBorder="1" applyAlignment="1" applyProtection="1">
      <alignment horizontal="center" vertical="center" wrapText="1"/>
      <protection locked="0"/>
    </xf>
    <xf numFmtId="0" fontId="47" fillId="4" borderId="13" xfId="2" applyFont="1" applyFill="1" applyBorder="1" applyAlignment="1" applyProtection="1">
      <alignment horizontal="center" vertical="center" wrapText="1"/>
      <protection locked="0"/>
    </xf>
    <xf numFmtId="0" fontId="47" fillId="4" borderId="14" xfId="2" applyFont="1" applyFill="1" applyBorder="1" applyAlignment="1" applyProtection="1">
      <alignment horizontal="center" vertical="center" wrapText="1"/>
      <protection locked="0"/>
    </xf>
    <xf numFmtId="3" fontId="5" fillId="0" borderId="18" xfId="2" applyNumberFormat="1" applyFont="1" applyFill="1" applyBorder="1" applyAlignment="1" applyProtection="1">
      <alignment horizontal="left" vertical="center" wrapText="1"/>
    </xf>
    <xf numFmtId="3" fontId="5" fillId="4" borderId="18" xfId="2" applyNumberFormat="1" applyFont="1" applyFill="1" applyBorder="1" applyAlignment="1" applyProtection="1">
      <alignment horizontal="left" vertical="center" wrapText="1"/>
    </xf>
    <xf numFmtId="3" fontId="5" fillId="3" borderId="18" xfId="2" applyNumberFormat="1" applyFont="1" applyFill="1" applyBorder="1" applyAlignment="1" applyProtection="1">
      <alignment horizontal="left" vertical="center" wrapText="1"/>
    </xf>
    <xf numFmtId="3" fontId="7" fillId="0" borderId="33" xfId="2" applyNumberFormat="1" applyFont="1" applyFill="1" applyBorder="1" applyAlignment="1" applyProtection="1">
      <alignment horizontal="center" vertical="center" wrapText="1"/>
    </xf>
    <xf numFmtId="3" fontId="7" fillId="4" borderId="33" xfId="2" applyNumberFormat="1" applyFont="1" applyFill="1" applyBorder="1" applyAlignment="1" applyProtection="1">
      <alignment horizontal="center" vertical="center" wrapText="1"/>
    </xf>
    <xf numFmtId="3" fontId="7" fillId="3" borderId="18" xfId="2" applyNumberFormat="1" applyFont="1" applyFill="1" applyBorder="1" applyAlignment="1" applyProtection="1">
      <alignment horizontal="left" vertical="center" wrapText="1"/>
    </xf>
    <xf numFmtId="3" fontId="47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3" fontId="46" fillId="0" borderId="0" xfId="2" applyNumberFormat="1" applyFont="1" applyAlignment="1" applyProtection="1">
      <alignment vertical="center"/>
      <protection locked="0"/>
    </xf>
    <xf numFmtId="3" fontId="47" fillId="0" borderId="0" xfId="2" applyNumberFormat="1" applyFont="1" applyFill="1" applyAlignment="1" applyProtection="1">
      <alignment horizontal="left" vertical="center"/>
      <protection locked="0"/>
    </xf>
    <xf numFmtId="3" fontId="47" fillId="0" borderId="0" xfId="2" applyNumberFormat="1" applyFont="1" applyFill="1" applyAlignment="1" applyProtection="1">
      <alignment vertical="center"/>
      <protection locked="0"/>
    </xf>
    <xf numFmtId="3" fontId="47" fillId="0" borderId="0" xfId="2" applyNumberFormat="1" applyFont="1" applyBorder="1" applyAlignment="1" applyProtection="1">
      <alignment vertical="center"/>
      <protection locked="0"/>
    </xf>
    <xf numFmtId="3" fontId="47" fillId="0" borderId="0" xfId="2" applyNumberFormat="1" applyFont="1" applyAlignment="1" applyProtection="1">
      <alignment vertical="center"/>
      <protection locked="0"/>
    </xf>
    <xf numFmtId="3" fontId="47" fillId="0" borderId="0" xfId="2" applyNumberFormat="1" applyFont="1" applyAlignment="1">
      <alignment vertical="center"/>
    </xf>
    <xf numFmtId="3" fontId="50" fillId="0" borderId="0" xfId="2" applyNumberFormat="1" applyFont="1" applyAlignment="1" applyProtection="1">
      <alignment vertical="center"/>
      <protection locked="0"/>
    </xf>
    <xf numFmtId="3" fontId="49" fillId="0" borderId="0" xfId="0" applyNumberFormat="1" applyFont="1" applyAlignment="1">
      <alignment horizontal="right" vertical="center"/>
    </xf>
    <xf numFmtId="3" fontId="47" fillId="0" borderId="2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7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4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2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13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14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14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5" xfId="2" applyNumberFormat="1" applyFont="1" applyBorder="1" applyAlignment="1" applyProtection="1">
      <alignment horizontal="center" vertical="center" wrapText="1"/>
      <protection locked="0"/>
    </xf>
    <xf numFmtId="3" fontId="47" fillId="0" borderId="4" xfId="2" applyNumberFormat="1" applyFont="1" applyBorder="1" applyAlignment="1" applyProtection="1">
      <alignment horizontal="center" vertical="center" wrapText="1"/>
      <protection locked="0"/>
    </xf>
    <xf numFmtId="3" fontId="47" fillId="0" borderId="8" xfId="2" applyNumberFormat="1" applyFont="1" applyBorder="1" applyAlignment="1" applyProtection="1">
      <alignment horizontal="center" vertical="center" wrapText="1"/>
      <protection locked="0"/>
    </xf>
    <xf numFmtId="3" fontId="48" fillId="0" borderId="9" xfId="2" applyNumberFormat="1" applyFont="1" applyBorder="1" applyAlignment="1" applyProtection="1">
      <alignment horizontal="center" vertical="center" wrapText="1"/>
      <protection locked="0"/>
    </xf>
    <xf numFmtId="3" fontId="0" fillId="0" borderId="0" xfId="0" applyNumberFormat="1" applyFill="1" applyAlignment="1">
      <alignment vertical="center"/>
    </xf>
    <xf numFmtId="3" fontId="49" fillId="0" borderId="0" xfId="2" applyNumberFormat="1" applyFont="1" applyAlignment="1" applyProtection="1">
      <alignment horizontal="left" vertical="center"/>
      <protection locked="0"/>
    </xf>
    <xf numFmtId="3" fontId="49" fillId="0" borderId="0" xfId="2" applyNumberFormat="1" applyFont="1" applyAlignment="1" applyProtection="1">
      <alignment horizontal="right" vertical="center"/>
      <protection locked="0"/>
    </xf>
    <xf numFmtId="3" fontId="47" fillId="0" borderId="10" xfId="2" applyNumberFormat="1" applyFont="1" applyFill="1" applyBorder="1" applyAlignment="1" applyProtection="1">
      <alignment vertical="center" wrapText="1"/>
      <protection locked="0"/>
    </xf>
    <xf numFmtId="3" fontId="47" fillId="0" borderId="6" xfId="2" applyNumberFormat="1" applyFont="1" applyFill="1" applyBorder="1" applyAlignment="1" applyProtection="1">
      <alignment vertical="center" wrapText="1"/>
      <protection locked="0"/>
    </xf>
    <xf numFmtId="3" fontId="47" fillId="0" borderId="12" xfId="2" applyNumberFormat="1" applyFont="1" applyFill="1" applyBorder="1" applyAlignment="1" applyProtection="1">
      <alignment vertical="center" wrapText="1"/>
      <protection locked="0"/>
    </xf>
    <xf numFmtId="3" fontId="47" fillId="0" borderId="11" xfId="2" applyNumberFormat="1" applyFont="1" applyFill="1" applyBorder="1" applyAlignment="1" applyProtection="1">
      <alignment vertical="center" wrapText="1"/>
      <protection locked="0"/>
    </xf>
    <xf numFmtId="3" fontId="47" fillId="0" borderId="0" xfId="2" applyNumberFormat="1" applyFont="1" applyBorder="1" applyAlignment="1">
      <alignment vertical="center"/>
    </xf>
    <xf numFmtId="3" fontId="47" fillId="0" borderId="13" xfId="2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7" fillId="0" borderId="7" xfId="2" applyNumberFormat="1" applyFont="1" applyBorder="1" applyAlignment="1" applyProtection="1">
      <alignment horizontal="center" vertical="center" wrapText="1"/>
      <protection locked="0"/>
    </xf>
    <xf numFmtId="3" fontId="47" fillId="0" borderId="5" xfId="2" applyNumberFormat="1" applyFont="1" applyFill="1" applyBorder="1" applyAlignment="1" applyProtection="1">
      <alignment vertical="center"/>
      <protection locked="0"/>
    </xf>
    <xf numFmtId="3" fontId="47" fillId="0" borderId="3" xfId="2" applyNumberFormat="1" applyFont="1" applyBorder="1" applyAlignment="1" applyProtection="1">
      <alignment horizontal="center" vertical="center" wrapText="1"/>
      <protection locked="0"/>
    </xf>
    <xf numFmtId="3" fontId="47" fillId="0" borderId="4" xfId="2" applyNumberFormat="1" applyFont="1" applyFill="1" applyBorder="1" applyAlignment="1" applyProtection="1">
      <alignment horizontal="left" vertical="center"/>
      <protection locked="0"/>
    </xf>
    <xf numFmtId="3" fontId="47" fillId="0" borderId="16" xfId="2" applyNumberFormat="1" applyFont="1" applyBorder="1" applyAlignment="1" applyProtection="1">
      <alignment horizontal="center" vertical="center" wrapText="1"/>
      <protection locked="0"/>
    </xf>
    <xf numFmtId="3" fontId="48" fillId="0" borderId="15" xfId="2" applyNumberFormat="1" applyFont="1" applyBorder="1" applyAlignment="1" applyProtection="1">
      <alignment horizontal="center" vertical="center" wrapText="1"/>
      <protection locked="0"/>
    </xf>
    <xf numFmtId="3" fontId="45" fillId="0" borderId="0" xfId="0" applyNumberFormat="1" applyFont="1" applyAlignment="1">
      <alignment vertical="center"/>
    </xf>
    <xf numFmtId="165" fontId="47" fillId="0" borderId="18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19" xfId="2" applyNumberFormat="1" applyFont="1" applyFill="1" applyBorder="1" applyAlignment="1" applyProtection="1">
      <alignment horizontal="right" vertical="center" wrapText="1"/>
      <protection locked="0"/>
    </xf>
    <xf numFmtId="165" fontId="47" fillId="5" borderId="26" xfId="2" applyNumberFormat="1" applyFont="1" applyFill="1" applyBorder="1" applyAlignment="1" applyProtection="1">
      <alignment horizontal="right" vertical="center"/>
      <protection locked="0"/>
    </xf>
    <xf numFmtId="165" fontId="47" fillId="0" borderId="10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6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11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12" xfId="2" applyNumberFormat="1" applyFont="1" applyFill="1" applyBorder="1" applyAlignment="1" applyProtection="1">
      <alignment horizontal="right" vertical="center" wrapText="1"/>
      <protection locked="0"/>
    </xf>
    <xf numFmtId="165" fontId="49" fillId="0" borderId="27" xfId="0" applyNumberFormat="1" applyFont="1" applyBorder="1" applyAlignment="1">
      <alignment horizontal="right" vertical="center"/>
    </xf>
    <xf numFmtId="165" fontId="49" fillId="0" borderId="12" xfId="0" applyNumberFormat="1" applyFont="1" applyBorder="1" applyAlignment="1">
      <alignment horizontal="right" vertical="center"/>
    </xf>
    <xf numFmtId="165" fontId="47" fillId="5" borderId="20" xfId="2" applyNumberFormat="1" applyFont="1" applyFill="1" applyBorder="1" applyAlignment="1" applyProtection="1">
      <alignment horizontal="right" vertical="center"/>
      <protection locked="0"/>
    </xf>
    <xf numFmtId="165" fontId="47" fillId="0" borderId="28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29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30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31" xfId="2" applyNumberFormat="1" applyFont="1" applyFill="1" applyBorder="1" applyAlignment="1" applyProtection="1">
      <alignment horizontal="right" vertical="center" wrapText="1"/>
      <protection locked="0"/>
    </xf>
    <xf numFmtId="165" fontId="49" fillId="0" borderId="28" xfId="0" applyNumberFormat="1" applyFont="1" applyBorder="1" applyAlignment="1">
      <alignment horizontal="right" vertical="center"/>
    </xf>
    <xf numFmtId="165" fontId="49" fillId="0" borderId="31" xfId="0" applyNumberFormat="1" applyFont="1" applyBorder="1" applyAlignment="1">
      <alignment horizontal="right" vertical="center"/>
    </xf>
    <xf numFmtId="165" fontId="49" fillId="0" borderId="32" xfId="0" applyNumberFormat="1" applyFont="1" applyBorder="1" applyAlignment="1">
      <alignment horizontal="right" vertical="center"/>
    </xf>
    <xf numFmtId="165" fontId="47" fillId="5" borderId="46" xfId="2" applyNumberFormat="1" applyFont="1" applyFill="1" applyBorder="1" applyAlignment="1" applyProtection="1">
      <alignment horizontal="right" vertical="center"/>
      <protection locked="0"/>
    </xf>
    <xf numFmtId="165" fontId="47" fillId="5" borderId="43" xfId="2" applyNumberFormat="1" applyFont="1" applyFill="1" applyBorder="1" applyAlignment="1" applyProtection="1">
      <alignment horizontal="right" vertical="center"/>
      <protection locked="0"/>
    </xf>
    <xf numFmtId="165" fontId="48" fillId="0" borderId="33" xfId="2" applyNumberFormat="1" applyFont="1" applyFill="1" applyBorder="1" applyAlignment="1" applyProtection="1">
      <alignment horizontal="right" vertical="center" wrapText="1"/>
      <protection locked="0"/>
    </xf>
    <xf numFmtId="165" fontId="48" fillId="0" borderId="34" xfId="2" applyNumberFormat="1" applyFont="1" applyFill="1" applyBorder="1" applyAlignment="1" applyProtection="1">
      <alignment horizontal="right" vertical="center" wrapText="1"/>
      <protection locked="0"/>
    </xf>
    <xf numFmtId="165" fontId="48" fillId="0" borderId="35" xfId="2" applyNumberFormat="1" applyFont="1" applyFill="1" applyBorder="1" applyAlignment="1" applyProtection="1">
      <alignment horizontal="right" vertical="center" wrapText="1"/>
      <protection locked="0"/>
    </xf>
    <xf numFmtId="165" fontId="48" fillId="0" borderId="36" xfId="2" applyNumberFormat="1" applyFont="1" applyFill="1" applyBorder="1" applyAlignment="1" applyProtection="1">
      <alignment horizontal="right" vertical="center" wrapText="1"/>
      <protection locked="0"/>
    </xf>
    <xf numFmtId="165" fontId="52" fillId="0" borderId="33" xfId="0" applyNumberFormat="1" applyFont="1" applyBorder="1" applyAlignment="1">
      <alignment horizontal="right" vertical="center"/>
    </xf>
    <xf numFmtId="165" fontId="52" fillId="0" borderId="36" xfId="0" applyNumberFormat="1" applyFont="1" applyBorder="1" applyAlignment="1">
      <alignment horizontal="right" vertical="center"/>
    </xf>
    <xf numFmtId="165" fontId="52" fillId="0" borderId="9" xfId="0" applyNumberFormat="1" applyFont="1" applyBorder="1" applyAlignment="1">
      <alignment horizontal="right" vertical="center"/>
    </xf>
    <xf numFmtId="165" fontId="48" fillId="5" borderId="9" xfId="2" applyNumberFormat="1" applyFont="1" applyFill="1" applyBorder="1" applyAlignment="1" applyProtection="1">
      <alignment horizontal="right" vertical="center"/>
      <protection locked="0"/>
    </xf>
    <xf numFmtId="165" fontId="48" fillId="5" borderId="36" xfId="2" applyNumberFormat="1" applyFont="1" applyFill="1" applyBorder="1" applyAlignment="1" applyProtection="1">
      <alignment horizontal="right" vertical="center"/>
      <protection locked="0"/>
    </xf>
    <xf numFmtId="165" fontId="4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20" xfId="2" quotePrefix="1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2" xfId="2" quotePrefix="1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43" xfId="2" quotePrefix="1" applyNumberFormat="1" applyFont="1" applyFill="1" applyBorder="1" applyAlignment="1" applyProtection="1">
      <alignment horizontal="right" vertical="center" wrapText="1" indent="1"/>
      <protection locked="0"/>
    </xf>
    <xf numFmtId="165" fontId="47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4" xfId="2" quotePrefix="1" applyNumberFormat="1" applyFont="1" applyFill="1" applyBorder="1" applyAlignment="1" applyProtection="1">
      <alignment horizontal="right" vertical="center" wrapText="1" indent="1"/>
      <protection locked="0"/>
    </xf>
    <xf numFmtId="165" fontId="4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48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5" fontId="48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47" fillId="0" borderId="47" xfId="2" applyFont="1" applyBorder="1" applyAlignment="1" applyProtection="1">
      <alignment horizontal="center" vertical="center" wrapText="1"/>
      <protection locked="0"/>
    </xf>
    <xf numFmtId="3" fontId="57" fillId="0" borderId="26" xfId="0" applyNumberFormat="1" applyFont="1" applyBorder="1" applyAlignment="1">
      <alignment horizontal="right" vertical="center" indent="1"/>
    </xf>
    <xf numFmtId="3" fontId="57" fillId="0" borderId="20" xfId="0" applyNumberFormat="1" applyFont="1" applyBorder="1" applyAlignment="1">
      <alignment horizontal="right" vertical="center" indent="1"/>
    </xf>
    <xf numFmtId="3" fontId="47" fillId="5" borderId="18" xfId="2" applyNumberFormat="1" applyFont="1" applyFill="1" applyBorder="1" applyAlignment="1" applyProtection="1">
      <alignment horizontal="right" vertical="center" indent="1"/>
      <protection locked="0"/>
    </xf>
    <xf numFmtId="3" fontId="57" fillId="5" borderId="20" xfId="0" applyNumberFormat="1" applyFont="1" applyFill="1" applyBorder="1" applyAlignment="1">
      <alignment horizontal="right" vertical="center" indent="1"/>
    </xf>
    <xf numFmtId="3" fontId="57" fillId="0" borderId="27" xfId="0" applyNumberFormat="1" applyFont="1" applyBorder="1" applyAlignment="1">
      <alignment horizontal="right" vertical="center" indent="1"/>
    </xf>
    <xf numFmtId="3" fontId="57" fillId="0" borderId="12" xfId="0" applyNumberFormat="1" applyFont="1" applyBorder="1" applyAlignment="1">
      <alignment horizontal="right" vertical="center" indent="1"/>
    </xf>
    <xf numFmtId="3" fontId="47" fillId="5" borderId="10" xfId="2" applyNumberFormat="1" applyFont="1" applyFill="1" applyBorder="1" applyAlignment="1" applyProtection="1">
      <alignment horizontal="right" vertical="center" indent="1"/>
      <protection locked="0"/>
    </xf>
    <xf numFmtId="3" fontId="57" fillId="5" borderId="12" xfId="0" applyNumberFormat="1" applyFont="1" applyFill="1" applyBorder="1" applyAlignment="1">
      <alignment horizontal="right" vertical="center" indent="1"/>
    </xf>
    <xf numFmtId="3" fontId="57" fillId="0" borderId="28" xfId="0" applyNumberFormat="1" applyFont="1" applyBorder="1" applyAlignment="1">
      <alignment horizontal="right" vertical="center" indent="1"/>
    </xf>
    <xf numFmtId="3" fontId="57" fillId="0" borderId="31" xfId="0" applyNumberFormat="1" applyFont="1" applyBorder="1" applyAlignment="1">
      <alignment horizontal="right" vertical="center" indent="1"/>
    </xf>
    <xf numFmtId="3" fontId="57" fillId="0" borderId="32" xfId="0" applyNumberFormat="1" applyFont="1" applyBorder="1" applyAlignment="1">
      <alignment horizontal="right" vertical="center" indent="1"/>
    </xf>
    <xf numFmtId="3" fontId="47" fillId="5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57" fillId="5" borderId="31" xfId="0" applyNumberFormat="1" applyFont="1" applyFill="1" applyBorder="1" applyAlignment="1">
      <alignment horizontal="right" vertical="center" indent="1"/>
    </xf>
    <xf numFmtId="3" fontId="50" fillId="0" borderId="33" xfId="0" applyNumberFormat="1" applyFont="1" applyBorder="1" applyAlignment="1">
      <alignment horizontal="right" vertical="center" indent="1"/>
    </xf>
    <xf numFmtId="3" fontId="50" fillId="0" borderId="36" xfId="0" applyNumberFormat="1" applyFont="1" applyBorder="1" applyAlignment="1">
      <alignment horizontal="right" vertical="center" indent="1"/>
    </xf>
    <xf numFmtId="3" fontId="50" fillId="0" borderId="9" xfId="0" applyNumberFormat="1" applyFont="1" applyBorder="1" applyAlignment="1">
      <alignment horizontal="right" vertical="center" indent="1"/>
    </xf>
    <xf numFmtId="3" fontId="48" fillId="5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50" fillId="5" borderId="36" xfId="0" applyNumberFormat="1" applyFont="1" applyFill="1" applyBorder="1" applyAlignment="1">
      <alignment horizontal="right" vertical="center" indent="1"/>
    </xf>
    <xf numFmtId="0" fontId="48" fillId="0" borderId="0" xfId="2" applyFont="1" applyBorder="1" applyAlignment="1" applyProtection="1">
      <alignment horizontal="center" vertical="center" wrapText="1"/>
      <protection locked="0"/>
    </xf>
    <xf numFmtId="0" fontId="48" fillId="0" borderId="0" xfId="2" applyFont="1" applyBorder="1" applyAlignment="1" applyProtection="1">
      <alignment horizontal="center" vertical="center"/>
      <protection locked="0"/>
    </xf>
    <xf numFmtId="0" fontId="48" fillId="0" borderId="0" xfId="2" applyFont="1" applyFill="1" applyBorder="1" applyAlignment="1" applyProtection="1">
      <alignment horizontal="right" vertical="center" wrapText="1" indent="1"/>
      <protection locked="0"/>
    </xf>
    <xf numFmtId="3" fontId="48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Border="1" applyAlignment="1">
      <alignment horizontal="right" vertical="center" indent="1"/>
    </xf>
    <xf numFmtId="0" fontId="50" fillId="0" borderId="0" xfId="0" applyFont="1" applyBorder="1" applyAlignment="1">
      <alignment horizontal="right" vertical="center" indent="1"/>
    </xf>
    <xf numFmtId="0" fontId="57" fillId="0" borderId="0" xfId="0" applyFont="1" applyFill="1" applyBorder="1" applyAlignment="1">
      <alignment horizontal="right" vertical="center" indent="1"/>
    </xf>
    <xf numFmtId="0" fontId="47" fillId="0" borderId="10" xfId="2" applyFont="1" applyFill="1" applyBorder="1" applyAlignment="1" applyProtection="1">
      <alignment horizontal="center" vertical="center" wrapText="1"/>
      <protection locked="0"/>
    </xf>
    <xf numFmtId="0" fontId="47" fillId="0" borderId="6" xfId="2" applyFont="1" applyFill="1" applyBorder="1" applyAlignment="1" applyProtection="1">
      <alignment horizontal="center" vertical="center" wrapText="1"/>
      <protection locked="0"/>
    </xf>
    <xf numFmtId="0" fontId="47" fillId="0" borderId="12" xfId="2" applyFont="1" applyFill="1" applyBorder="1" applyAlignment="1" applyProtection="1">
      <alignment horizontal="center" vertical="center" wrapText="1"/>
      <protection locked="0"/>
    </xf>
    <xf numFmtId="0" fontId="47" fillId="0" borderId="0" xfId="2" applyFont="1" applyBorder="1" applyAlignment="1">
      <alignment horizontal="center" vertical="center"/>
    </xf>
    <xf numFmtId="0" fontId="58" fillId="0" borderId="14" xfId="2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42" fillId="0" borderId="0" xfId="2" applyFont="1" applyFill="1" applyAlignment="1" applyProtection="1">
      <alignment vertical="center"/>
      <protection locked="0"/>
    </xf>
    <xf numFmtId="0" fontId="43" fillId="0" borderId="0" xfId="2" applyFont="1" applyFill="1" applyAlignment="1" applyProtection="1">
      <alignment horizontal="left" vertical="center"/>
      <protection locked="0"/>
    </xf>
    <xf numFmtId="0" fontId="43" fillId="0" borderId="0" xfId="2" applyFont="1" applyFill="1" applyAlignment="1" applyProtection="1">
      <alignment vertical="center"/>
      <protection locked="0"/>
    </xf>
    <xf numFmtId="0" fontId="43" fillId="0" borderId="0" xfId="2" applyFont="1" applyBorder="1" applyAlignment="1" applyProtection="1">
      <alignment vertical="center"/>
      <protection locked="0"/>
    </xf>
    <xf numFmtId="0" fontId="43" fillId="0" borderId="0" xfId="2" applyFont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0" fontId="62" fillId="0" borderId="0" xfId="0" applyFont="1" applyAlignment="1">
      <alignment vertical="center"/>
    </xf>
    <xf numFmtId="0" fontId="42" fillId="0" borderId="0" xfId="2" applyFont="1" applyAlignment="1" applyProtection="1">
      <alignment vertical="center"/>
      <protection locked="0"/>
    </xf>
    <xf numFmtId="0" fontId="62" fillId="0" borderId="0" xfId="0" applyFont="1" applyAlignment="1">
      <alignment horizontal="right" vertical="center"/>
    </xf>
    <xf numFmtId="0" fontId="43" fillId="0" borderId="2" xfId="2" applyFont="1" applyFill="1" applyBorder="1" applyAlignment="1" applyProtection="1">
      <alignment horizontal="center" vertical="center" wrapText="1"/>
      <protection locked="0"/>
    </xf>
    <xf numFmtId="0" fontId="43" fillId="0" borderId="17" xfId="2" applyFont="1" applyFill="1" applyBorder="1" applyAlignment="1" applyProtection="1">
      <alignment horizontal="center" vertical="center" wrapText="1"/>
      <protection locked="0"/>
    </xf>
    <xf numFmtId="0" fontId="43" fillId="0" borderId="13" xfId="2" applyFont="1" applyFill="1" applyBorder="1" applyAlignment="1" applyProtection="1">
      <alignment horizontal="center" vertical="center" wrapText="1"/>
      <protection locked="0"/>
    </xf>
    <xf numFmtId="0" fontId="43" fillId="0" borderId="14" xfId="2" applyFont="1" applyFill="1" applyBorder="1" applyAlignment="1" applyProtection="1">
      <alignment horizontal="center" vertical="center" wrapText="1"/>
      <protection locked="0"/>
    </xf>
    <xf numFmtId="0" fontId="43" fillId="5" borderId="2" xfId="2" applyFont="1" applyFill="1" applyBorder="1" applyAlignment="1" applyProtection="1">
      <alignment horizontal="center" vertical="center" wrapText="1"/>
      <protection locked="0"/>
    </xf>
    <xf numFmtId="0" fontId="43" fillId="5" borderId="14" xfId="2" applyFont="1" applyFill="1" applyBorder="1" applyAlignment="1" applyProtection="1">
      <alignment horizontal="center" vertical="center" wrapText="1"/>
      <protection locked="0"/>
    </xf>
    <xf numFmtId="0" fontId="43" fillId="0" borderId="5" xfId="2" applyFont="1" applyBorder="1" applyAlignment="1" applyProtection="1">
      <alignment horizontal="center" vertical="center" wrapText="1"/>
      <protection locked="0"/>
    </xf>
    <xf numFmtId="3" fontId="43" fillId="0" borderId="18" xfId="2" applyNumberFormat="1" applyFont="1" applyFill="1" applyBorder="1" applyAlignment="1" applyProtection="1">
      <alignment vertical="center" wrapText="1"/>
      <protection locked="0"/>
    </xf>
    <xf numFmtId="3" fontId="43" fillId="0" borderId="21" xfId="2" applyNumberFormat="1" applyFont="1" applyFill="1" applyBorder="1" applyAlignment="1" applyProtection="1">
      <alignment vertical="center" wrapText="1"/>
      <protection locked="0"/>
    </xf>
    <xf numFmtId="3" fontId="43" fillId="0" borderId="19" xfId="2" applyNumberFormat="1" applyFont="1" applyFill="1" applyBorder="1" applyAlignment="1" applyProtection="1">
      <alignment vertical="center" wrapText="1"/>
      <protection locked="0"/>
    </xf>
    <xf numFmtId="3" fontId="43" fillId="0" borderId="20" xfId="2" applyNumberFormat="1" applyFont="1" applyFill="1" applyBorder="1" applyAlignment="1" applyProtection="1">
      <alignment vertical="center" wrapText="1"/>
      <protection locked="0"/>
    </xf>
    <xf numFmtId="3" fontId="62" fillId="0" borderId="26" xfId="0" applyNumberFormat="1" applyFont="1" applyFill="1" applyBorder="1" applyAlignment="1">
      <alignment vertical="center"/>
    </xf>
    <xf numFmtId="3" fontId="62" fillId="0" borderId="20" xfId="0" applyNumberFormat="1" applyFont="1" applyFill="1" applyBorder="1" applyAlignment="1">
      <alignment vertical="center"/>
    </xf>
    <xf numFmtId="3" fontId="42" fillId="7" borderId="41" xfId="2" applyNumberFormat="1" applyFont="1" applyFill="1" applyBorder="1" applyAlignment="1" applyProtection="1">
      <alignment vertical="center"/>
      <protection locked="0"/>
    </xf>
    <xf numFmtId="3" fontId="42" fillId="7" borderId="47" xfId="2" applyNumberFormat="1" applyFont="1" applyFill="1" applyBorder="1" applyAlignment="1" applyProtection="1">
      <alignment vertical="center"/>
      <protection locked="0"/>
    </xf>
    <xf numFmtId="3" fontId="43" fillId="0" borderId="10" xfId="2" applyNumberFormat="1" applyFont="1" applyFill="1" applyBorder="1" applyAlignment="1" applyProtection="1">
      <alignment vertical="center" wrapText="1"/>
      <protection locked="0"/>
    </xf>
    <xf numFmtId="3" fontId="43" fillId="0" borderId="11" xfId="2" applyNumberFormat="1" applyFont="1" applyFill="1" applyBorder="1" applyAlignment="1" applyProtection="1">
      <alignment vertical="center" wrapText="1"/>
      <protection locked="0"/>
    </xf>
    <xf numFmtId="3" fontId="43" fillId="0" borderId="6" xfId="2" applyNumberFormat="1" applyFont="1" applyFill="1" applyBorder="1" applyAlignment="1" applyProtection="1">
      <alignment vertical="center" wrapText="1"/>
      <protection locked="0"/>
    </xf>
    <xf numFmtId="3" fontId="43" fillId="0" borderId="12" xfId="2" applyNumberFormat="1" applyFont="1" applyFill="1" applyBorder="1" applyAlignment="1" applyProtection="1">
      <alignment vertical="center" wrapText="1"/>
      <protection locked="0"/>
    </xf>
    <xf numFmtId="3" fontId="62" fillId="0" borderId="27" xfId="0" applyNumberFormat="1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/>
    </xf>
    <xf numFmtId="3" fontId="42" fillId="7" borderId="18" xfId="2" applyNumberFormat="1" applyFont="1" applyFill="1" applyBorder="1" applyAlignment="1" applyProtection="1">
      <alignment vertical="center"/>
      <protection locked="0"/>
    </xf>
    <xf numFmtId="3" fontId="42" fillId="7" borderId="7" xfId="2" applyNumberFormat="1" applyFont="1" applyFill="1" applyBorder="1" applyAlignment="1" applyProtection="1">
      <alignment vertical="center"/>
      <protection locked="0"/>
    </xf>
    <xf numFmtId="0" fontId="43" fillId="0" borderId="4" xfId="2" applyFont="1" applyBorder="1" applyAlignment="1" applyProtection="1">
      <alignment horizontal="center" vertical="center" wrapText="1"/>
      <protection locked="0"/>
    </xf>
    <xf numFmtId="3" fontId="62" fillId="0" borderId="27" xfId="0" applyNumberFormat="1" applyFont="1" applyBorder="1" applyAlignment="1">
      <alignment vertical="center"/>
    </xf>
    <xf numFmtId="3" fontId="62" fillId="0" borderId="12" xfId="0" applyNumberFormat="1" applyFont="1" applyBorder="1" applyAlignment="1">
      <alignment vertical="center"/>
    </xf>
    <xf numFmtId="3" fontId="42" fillId="5" borderId="18" xfId="2" applyNumberFormat="1" applyFont="1" applyFill="1" applyBorder="1" applyAlignment="1" applyProtection="1">
      <alignment vertical="center"/>
      <protection locked="0"/>
    </xf>
    <xf numFmtId="3" fontId="42" fillId="5" borderId="7" xfId="2" applyNumberFormat="1" applyFont="1" applyFill="1" applyBorder="1" applyAlignment="1" applyProtection="1">
      <alignment vertical="center"/>
      <protection locked="0"/>
    </xf>
    <xf numFmtId="0" fontId="43" fillId="0" borderId="8" xfId="2" applyFont="1" applyBorder="1" applyAlignment="1" applyProtection="1">
      <alignment horizontal="center" vertical="center" wrapText="1"/>
      <protection locked="0"/>
    </xf>
    <xf numFmtId="3" fontId="43" fillId="0" borderId="28" xfId="2" applyNumberFormat="1" applyFont="1" applyFill="1" applyBorder="1" applyAlignment="1" applyProtection="1">
      <alignment vertical="center" wrapText="1"/>
      <protection locked="0"/>
    </xf>
    <xf numFmtId="3" fontId="43" fillId="0" borderId="29" xfId="2" applyNumberFormat="1" applyFont="1" applyFill="1" applyBorder="1" applyAlignment="1" applyProtection="1">
      <alignment vertical="center" wrapText="1"/>
      <protection locked="0"/>
    </xf>
    <xf numFmtId="3" fontId="43" fillId="0" borderId="30" xfId="2" applyNumberFormat="1" applyFont="1" applyFill="1" applyBorder="1" applyAlignment="1" applyProtection="1">
      <alignment vertical="center" wrapText="1"/>
      <protection locked="0"/>
    </xf>
    <xf numFmtId="3" fontId="43" fillId="0" borderId="31" xfId="2" applyNumberFormat="1" applyFont="1" applyFill="1" applyBorder="1" applyAlignment="1" applyProtection="1">
      <alignment vertical="center" wrapText="1"/>
      <protection locked="0"/>
    </xf>
    <xf numFmtId="3" fontId="62" fillId="0" borderId="28" xfId="0" applyNumberFormat="1" applyFont="1" applyBorder="1" applyAlignment="1">
      <alignment vertical="center"/>
    </xf>
    <xf numFmtId="3" fontId="62" fillId="0" borderId="31" xfId="0" applyNumberFormat="1" applyFont="1" applyBorder="1" applyAlignment="1">
      <alignment vertical="center"/>
    </xf>
    <xf numFmtId="3" fontId="62" fillId="0" borderId="32" xfId="0" applyNumberFormat="1" applyFont="1" applyBorder="1" applyAlignment="1">
      <alignment vertical="center"/>
    </xf>
    <xf numFmtId="3" fontId="42" fillId="5" borderId="24" xfId="2" applyNumberFormat="1" applyFont="1" applyFill="1" applyBorder="1" applyAlignment="1" applyProtection="1">
      <alignment vertical="center"/>
      <protection locked="0"/>
    </xf>
    <xf numFmtId="3" fontId="42" fillId="5" borderId="15" xfId="2" applyNumberFormat="1" applyFont="1" applyFill="1" applyBorder="1" applyAlignment="1" applyProtection="1">
      <alignment vertical="center"/>
      <protection locked="0"/>
    </xf>
    <xf numFmtId="0" fontId="42" fillId="0" borderId="9" xfId="2" applyFont="1" applyBorder="1" applyAlignment="1" applyProtection="1">
      <alignment horizontal="center" vertical="center" wrapText="1"/>
      <protection locked="0"/>
    </xf>
    <xf numFmtId="3" fontId="42" fillId="0" borderId="33" xfId="2" applyNumberFormat="1" applyFont="1" applyFill="1" applyBorder="1" applyAlignment="1" applyProtection="1">
      <alignment vertical="center" wrapText="1"/>
      <protection locked="0"/>
    </xf>
    <xf numFmtId="3" fontId="42" fillId="0" borderId="34" xfId="2" applyNumberFormat="1" applyFont="1" applyFill="1" applyBorder="1" applyAlignment="1" applyProtection="1">
      <alignment vertical="center" wrapText="1"/>
      <protection locked="0"/>
    </xf>
    <xf numFmtId="3" fontId="42" fillId="0" borderId="35" xfId="2" applyNumberFormat="1" applyFont="1" applyFill="1" applyBorder="1" applyAlignment="1" applyProtection="1">
      <alignment vertical="center" wrapText="1"/>
      <protection locked="0"/>
    </xf>
    <xf numFmtId="3" fontId="42" fillId="0" borderId="36" xfId="2" applyNumberFormat="1" applyFont="1" applyFill="1" applyBorder="1" applyAlignment="1" applyProtection="1">
      <alignment vertical="center" wrapText="1"/>
      <protection locked="0"/>
    </xf>
    <xf numFmtId="3" fontId="63" fillId="0" borderId="33" xfId="0" applyNumberFormat="1" applyFont="1" applyBorder="1" applyAlignment="1">
      <alignment vertical="center"/>
    </xf>
    <xf numFmtId="3" fontId="63" fillId="0" borderId="36" xfId="0" applyNumberFormat="1" applyFont="1" applyBorder="1" applyAlignment="1">
      <alignment vertical="center"/>
    </xf>
    <xf numFmtId="3" fontId="63" fillId="0" borderId="9" xfId="0" applyNumberFormat="1" applyFont="1" applyBorder="1" applyAlignment="1">
      <alignment vertical="center"/>
    </xf>
    <xf numFmtId="3" fontId="42" fillId="5" borderId="33" xfId="2" applyNumberFormat="1" applyFont="1" applyFill="1" applyBorder="1" applyAlignment="1" applyProtection="1">
      <alignment vertical="center" wrapText="1"/>
      <protection locked="0"/>
    </xf>
    <xf numFmtId="3" fontId="63" fillId="5" borderId="36" xfId="0" applyNumberFormat="1" applyFont="1" applyFill="1" applyBorder="1" applyAlignment="1">
      <alignment vertical="center"/>
    </xf>
    <xf numFmtId="0" fontId="62" fillId="0" borderId="0" xfId="2" applyFont="1" applyAlignment="1" applyProtection="1">
      <alignment horizontal="left" vertical="center"/>
      <protection locked="0"/>
    </xf>
    <xf numFmtId="3" fontId="62" fillId="0" borderId="0" xfId="2" applyNumberFormat="1" applyFont="1" applyAlignment="1" applyProtection="1">
      <alignment horizontal="left" vertical="center"/>
      <protection locked="0"/>
    </xf>
    <xf numFmtId="0" fontId="43" fillId="0" borderId="10" xfId="2" applyFont="1" applyFill="1" applyBorder="1" applyAlignment="1" applyProtection="1">
      <alignment vertical="center" wrapText="1"/>
      <protection locked="0"/>
    </xf>
    <xf numFmtId="0" fontId="43" fillId="0" borderId="6" xfId="2" applyFont="1" applyFill="1" applyBorder="1" applyAlignment="1" applyProtection="1">
      <alignment vertical="center" wrapText="1"/>
      <protection locked="0"/>
    </xf>
    <xf numFmtId="0" fontId="43" fillId="0" borderId="12" xfId="2" applyFont="1" applyFill="1" applyBorder="1" applyAlignment="1" applyProtection="1">
      <alignment vertical="center" wrapText="1"/>
      <protection locked="0"/>
    </xf>
    <xf numFmtId="0" fontId="43" fillId="0" borderId="11" xfId="2" applyFont="1" applyFill="1" applyBorder="1" applyAlignment="1" applyProtection="1">
      <alignment vertical="center" wrapText="1"/>
      <protection locked="0"/>
    </xf>
    <xf numFmtId="0" fontId="43" fillId="0" borderId="0" xfId="2" applyFont="1" applyBorder="1" applyAlignment="1">
      <alignment vertical="center"/>
    </xf>
    <xf numFmtId="0" fontId="43" fillId="0" borderId="13" xfId="2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43" fillId="0" borderId="7" xfId="2" applyFont="1" applyBorder="1" applyAlignment="1" applyProtection="1">
      <alignment horizontal="center" vertical="center" wrapText="1"/>
      <protection locked="0"/>
    </xf>
    <xf numFmtId="0" fontId="43" fillId="0" borderId="5" xfId="2" applyFont="1" applyFill="1" applyBorder="1" applyAlignment="1" applyProtection="1">
      <alignment vertical="center"/>
      <protection locked="0"/>
    </xf>
    <xf numFmtId="1" fontId="43" fillId="0" borderId="18" xfId="2" applyNumberFormat="1" applyFont="1" applyFill="1" applyBorder="1" applyAlignment="1" applyProtection="1">
      <alignment vertical="center" wrapText="1"/>
      <protection locked="0"/>
    </xf>
    <xf numFmtId="3" fontId="43" fillId="0" borderId="41" xfId="2" applyNumberFormat="1" applyFont="1" applyFill="1" applyBorder="1" applyAlignment="1" applyProtection="1">
      <alignment vertical="center" wrapText="1"/>
      <protection locked="0"/>
    </xf>
    <xf numFmtId="3" fontId="43" fillId="0" borderId="48" xfId="2" applyNumberFormat="1" applyFont="1" applyFill="1" applyBorder="1" applyAlignment="1" applyProtection="1">
      <alignment vertical="center" wrapText="1"/>
      <protection locked="0"/>
    </xf>
    <xf numFmtId="3" fontId="43" fillId="0" borderId="49" xfId="2" applyNumberFormat="1" applyFont="1" applyFill="1" applyBorder="1" applyAlignment="1" applyProtection="1">
      <alignment vertical="center" wrapText="1"/>
      <protection locked="0"/>
    </xf>
    <xf numFmtId="165" fontId="43" fillId="0" borderId="20" xfId="2" applyNumberFormat="1" applyFont="1" applyFill="1" applyBorder="1" applyAlignment="1" applyProtection="1">
      <alignment vertical="center" wrapText="1"/>
      <protection locked="0"/>
    </xf>
    <xf numFmtId="10" fontId="62" fillId="0" borderId="0" xfId="0" applyNumberFormat="1" applyFont="1" applyAlignment="1">
      <alignment vertical="center"/>
    </xf>
    <xf numFmtId="0" fontId="43" fillId="0" borderId="3" xfId="2" applyFont="1" applyBorder="1" applyAlignment="1" applyProtection="1">
      <alignment horizontal="center" vertical="center" wrapText="1"/>
      <protection locked="0"/>
    </xf>
    <xf numFmtId="0" fontId="43" fillId="0" borderId="4" xfId="2" applyFont="1" applyFill="1" applyBorder="1" applyAlignment="1" applyProtection="1">
      <alignment horizontal="left" vertical="center"/>
      <protection locked="0"/>
    </xf>
    <xf numFmtId="1" fontId="43" fillId="0" borderId="10" xfId="2" applyNumberFormat="1" applyFont="1" applyFill="1" applyBorder="1" applyAlignment="1" applyProtection="1">
      <alignment vertical="center" wrapText="1"/>
      <protection locked="0"/>
    </xf>
    <xf numFmtId="0" fontId="43" fillId="0" borderId="16" xfId="2" applyFont="1" applyBorder="1" applyAlignment="1" applyProtection="1">
      <alignment horizontal="center" vertical="center" wrapText="1"/>
      <protection locked="0"/>
    </xf>
    <xf numFmtId="1" fontId="43" fillId="0" borderId="28" xfId="2" applyNumberFormat="1" applyFont="1" applyFill="1" applyBorder="1" applyAlignment="1" applyProtection="1">
      <alignment vertical="center" wrapText="1"/>
      <protection locked="0"/>
    </xf>
    <xf numFmtId="3" fontId="43" fillId="0" borderId="43" xfId="2" applyNumberFormat="1" applyFont="1" applyFill="1" applyBorder="1" applyAlignment="1" applyProtection="1">
      <alignment vertical="center" wrapText="1"/>
      <protection locked="0"/>
    </xf>
    <xf numFmtId="3" fontId="43" fillId="0" borderId="24" xfId="2" applyNumberFormat="1" applyFont="1" applyFill="1" applyBorder="1" applyAlignment="1" applyProtection="1">
      <alignment vertical="center" wrapText="1"/>
      <protection locked="0"/>
    </xf>
    <xf numFmtId="3" fontId="43" fillId="0" borderId="22" xfId="2" applyNumberFormat="1" applyFont="1" applyFill="1" applyBorder="1" applyAlignment="1" applyProtection="1">
      <alignment vertical="center" wrapText="1"/>
      <protection locked="0"/>
    </xf>
    <xf numFmtId="3" fontId="43" fillId="0" borderId="23" xfId="2" applyNumberFormat="1" applyFont="1" applyFill="1" applyBorder="1" applyAlignment="1" applyProtection="1">
      <alignment vertical="center" wrapText="1"/>
      <protection locked="0"/>
    </xf>
    <xf numFmtId="165" fontId="43" fillId="0" borderId="43" xfId="2" applyNumberFormat="1" applyFont="1" applyFill="1" applyBorder="1" applyAlignment="1" applyProtection="1">
      <alignment vertical="center" wrapText="1"/>
      <protection locked="0"/>
    </xf>
    <xf numFmtId="0" fontId="42" fillId="0" borderId="15" xfId="2" applyFont="1" applyBorder="1" applyAlignment="1" applyProtection="1">
      <alignment horizontal="center" vertical="center" wrapText="1"/>
      <protection locked="0"/>
    </xf>
    <xf numFmtId="3" fontId="43" fillId="0" borderId="36" xfId="2" applyNumberFormat="1" applyFont="1" applyFill="1" applyBorder="1" applyAlignment="1" applyProtection="1">
      <alignment vertical="center" wrapText="1"/>
      <protection locked="0"/>
    </xf>
    <xf numFmtId="3" fontId="42" fillId="0" borderId="24" xfId="2" applyNumberFormat="1" applyFont="1" applyFill="1" applyBorder="1" applyAlignment="1" applyProtection="1">
      <alignment vertical="center" wrapText="1"/>
      <protection locked="0"/>
    </xf>
    <xf numFmtId="3" fontId="42" fillId="0" borderId="22" xfId="2" applyNumberFormat="1" applyFont="1" applyFill="1" applyBorder="1" applyAlignment="1" applyProtection="1">
      <alignment vertical="center" wrapText="1"/>
      <protection locked="0"/>
    </xf>
    <xf numFmtId="3" fontId="42" fillId="0" borderId="23" xfId="2" applyNumberFormat="1" applyFont="1" applyFill="1" applyBorder="1" applyAlignment="1" applyProtection="1">
      <alignment vertical="center" wrapText="1"/>
      <protection locked="0"/>
    </xf>
    <xf numFmtId="165" fontId="42" fillId="0" borderId="36" xfId="2" applyNumberFormat="1" applyFont="1" applyFill="1" applyBorder="1" applyAlignment="1" applyProtection="1">
      <alignment vertical="center" wrapText="1"/>
      <protection locked="0"/>
    </xf>
    <xf numFmtId="0" fontId="63" fillId="0" borderId="0" xfId="0" applyFont="1" applyAlignment="1">
      <alignment vertical="center"/>
    </xf>
    <xf numFmtId="0" fontId="47" fillId="0" borderId="26" xfId="2" applyFont="1" applyBorder="1" applyAlignment="1" applyProtection="1">
      <alignment horizontal="center" vertical="center" wrapText="1"/>
      <protection locked="0"/>
    </xf>
    <xf numFmtId="3" fontId="47" fillId="0" borderId="27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50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49" xfId="2" applyNumberFormat="1" applyFont="1" applyFill="1" applyBorder="1" applyAlignment="1" applyProtection="1">
      <alignment horizontal="right" vertical="center" wrapText="1"/>
      <protection locked="0"/>
    </xf>
    <xf numFmtId="3" fontId="47" fillId="5" borderId="20" xfId="0" applyNumberFormat="1" applyFont="1" applyFill="1" applyBorder="1" applyAlignment="1">
      <alignment horizontal="right" vertical="center"/>
    </xf>
    <xf numFmtId="3" fontId="47" fillId="0" borderId="4" xfId="2" applyNumberFormat="1" applyFont="1" applyFill="1" applyBorder="1" applyAlignment="1" applyProtection="1">
      <alignment horizontal="right" vertical="center" wrapText="1"/>
      <protection locked="0"/>
    </xf>
    <xf numFmtId="3" fontId="47" fillId="5" borderId="12" xfId="0" applyNumberFormat="1" applyFont="1" applyFill="1" applyBorder="1" applyAlignment="1">
      <alignment horizontal="right" vertical="center"/>
    </xf>
    <xf numFmtId="0" fontId="47" fillId="0" borderId="32" xfId="2" applyFont="1" applyBorder="1" applyAlignment="1" applyProtection="1">
      <alignment horizontal="center" vertical="center" wrapText="1"/>
      <protection locked="0"/>
    </xf>
    <xf numFmtId="3" fontId="47" fillId="0" borderId="51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14" xfId="2" applyNumberFormat="1" applyFont="1" applyFill="1" applyBorder="1" applyAlignment="1" applyProtection="1">
      <alignment horizontal="right" vertical="center" wrapText="1"/>
      <protection locked="0"/>
    </xf>
    <xf numFmtId="3" fontId="47" fillId="5" borderId="31" xfId="0" applyNumberFormat="1" applyFont="1" applyFill="1" applyBorder="1" applyAlignment="1">
      <alignment horizontal="right" vertical="center"/>
    </xf>
    <xf numFmtId="3" fontId="48" fillId="0" borderId="9" xfId="2" applyNumberFormat="1" applyFont="1" applyFill="1" applyBorder="1" applyAlignment="1" applyProtection="1">
      <alignment horizontal="right" vertical="center" wrapText="1"/>
      <protection locked="0"/>
    </xf>
    <xf numFmtId="3" fontId="48" fillId="5" borderId="36" xfId="0" applyNumberFormat="1" applyFont="1" applyFill="1" applyBorder="1" applyAlignment="1">
      <alignment horizontal="right" vertical="center"/>
    </xf>
    <xf numFmtId="165" fontId="47" fillId="0" borderId="20" xfId="2" applyNumberFormat="1" applyFont="1" applyFill="1" applyBorder="1" applyAlignment="1" applyProtection="1">
      <alignment horizontal="right" vertical="center" wrapText="1" indent="1"/>
    </xf>
    <xf numFmtId="3" fontId="47" fillId="7" borderId="20" xfId="2" applyNumberFormat="1" applyFont="1" applyFill="1" applyBorder="1" applyAlignment="1" applyProtection="1">
      <alignment horizontal="right" vertical="center" wrapText="1" indent="1"/>
    </xf>
    <xf numFmtId="3" fontId="47" fillId="0" borderId="21" xfId="2" applyNumberFormat="1" applyFont="1" applyFill="1" applyBorder="1" applyAlignment="1" applyProtection="1">
      <alignment horizontal="right" vertical="center" wrapText="1" indent="1"/>
    </xf>
    <xf numFmtId="3" fontId="47" fillId="0" borderId="19" xfId="2" applyNumberFormat="1" applyFont="1" applyFill="1" applyBorder="1" applyAlignment="1" applyProtection="1">
      <alignment horizontal="right" vertical="center" wrapText="1" indent="1"/>
    </xf>
    <xf numFmtId="3" fontId="47" fillId="0" borderId="11" xfId="2" applyNumberFormat="1" applyFont="1" applyFill="1" applyBorder="1" applyAlignment="1" applyProtection="1">
      <alignment horizontal="right" vertical="center" wrapText="1" indent="1"/>
    </xf>
    <xf numFmtId="3" fontId="47" fillId="0" borderId="6" xfId="2" applyNumberFormat="1" applyFont="1" applyFill="1" applyBorder="1" applyAlignment="1" applyProtection="1">
      <alignment horizontal="right" vertical="center" wrapText="1" indent="1"/>
    </xf>
    <xf numFmtId="3" fontId="47" fillId="0" borderId="10" xfId="2" applyNumberFormat="1" applyFont="1" applyFill="1" applyBorder="1" applyAlignment="1" applyProtection="1">
      <alignment horizontal="right" vertical="center" wrapText="1" indent="1"/>
    </xf>
    <xf numFmtId="165" fontId="47" fillId="0" borderId="14" xfId="2" applyNumberFormat="1" applyFont="1" applyFill="1" applyBorder="1" applyAlignment="1" applyProtection="1">
      <alignment horizontal="right" vertical="center" wrapText="1" indent="1"/>
    </xf>
    <xf numFmtId="3" fontId="47" fillId="7" borderId="14" xfId="2" applyNumberFormat="1" applyFont="1" applyFill="1" applyBorder="1" applyAlignment="1" applyProtection="1">
      <alignment horizontal="right" vertical="center" wrapText="1" indent="1"/>
    </xf>
    <xf numFmtId="3" fontId="47" fillId="0" borderId="17" xfId="2" applyNumberFormat="1" applyFont="1" applyFill="1" applyBorder="1" applyAlignment="1" applyProtection="1">
      <alignment horizontal="right" vertical="center" wrapText="1" indent="1"/>
    </xf>
    <xf numFmtId="3" fontId="47" fillId="0" borderId="13" xfId="2" applyNumberFormat="1" applyFont="1" applyFill="1" applyBorder="1" applyAlignment="1" applyProtection="1">
      <alignment horizontal="right" vertical="center" wrapText="1" indent="1"/>
    </xf>
    <xf numFmtId="3" fontId="48" fillId="0" borderId="33" xfId="2" applyNumberFormat="1" applyFont="1" applyFill="1" applyBorder="1" applyAlignment="1" applyProtection="1">
      <alignment horizontal="right" vertical="center" wrapText="1" indent="1"/>
    </xf>
    <xf numFmtId="3" fontId="48" fillId="0" borderId="22" xfId="2" applyNumberFormat="1" applyFont="1" applyFill="1" applyBorder="1" applyAlignment="1" applyProtection="1">
      <alignment horizontal="right" vertical="center" wrapText="1" indent="1"/>
    </xf>
    <xf numFmtId="165" fontId="48" fillId="0" borderId="22" xfId="2" applyNumberFormat="1" applyFont="1" applyFill="1" applyBorder="1" applyAlignment="1" applyProtection="1">
      <alignment horizontal="right" vertical="center" wrapText="1" indent="1"/>
    </xf>
    <xf numFmtId="3" fontId="48" fillId="7" borderId="22" xfId="2" applyNumberFormat="1" applyFont="1" applyFill="1" applyBorder="1" applyAlignment="1" applyProtection="1">
      <alignment horizontal="right" vertical="center" wrapText="1" indent="1"/>
    </xf>
    <xf numFmtId="165" fontId="48" fillId="0" borderId="23" xfId="2" applyNumberFormat="1" applyFont="1" applyFill="1" applyBorder="1" applyAlignment="1" applyProtection="1">
      <alignment horizontal="right" vertical="center" wrapText="1" indent="1"/>
    </xf>
    <xf numFmtId="0" fontId="47" fillId="4" borderId="0" xfId="2" applyFont="1" applyFill="1" applyAlignment="1" applyProtection="1">
      <alignment horizontal="left" vertical="center"/>
      <protection locked="0"/>
    </xf>
    <xf numFmtId="0" fontId="47" fillId="4" borderId="0" xfId="2" applyFont="1" applyFill="1" applyAlignment="1" applyProtection="1">
      <alignment vertical="center"/>
      <protection locked="0"/>
    </xf>
    <xf numFmtId="0" fontId="47" fillId="4" borderId="0" xfId="2" applyFont="1" applyFill="1" applyBorder="1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0" fontId="50" fillId="4" borderId="0" xfId="2" applyFont="1" applyFill="1" applyAlignment="1" applyProtection="1">
      <alignment vertical="center"/>
      <protection locked="0"/>
    </xf>
    <xf numFmtId="0" fontId="49" fillId="4" borderId="0" xfId="0" applyFont="1" applyFill="1" applyAlignment="1">
      <alignment horizontal="right" vertical="center"/>
    </xf>
    <xf numFmtId="3" fontId="49" fillId="0" borderId="26" xfId="0" applyNumberFormat="1" applyFont="1" applyBorder="1" applyAlignment="1">
      <alignment horizontal="right" vertical="center" indent="1"/>
    </xf>
    <xf numFmtId="3" fontId="49" fillId="0" borderId="20" xfId="0" applyNumberFormat="1" applyFont="1" applyBorder="1" applyAlignment="1">
      <alignment horizontal="right" vertical="center" indent="1"/>
    </xf>
    <xf numFmtId="3" fontId="47" fillId="7" borderId="18" xfId="2" applyNumberFormat="1" applyFont="1" applyFill="1" applyBorder="1" applyAlignment="1" applyProtection="1">
      <alignment horizontal="right" vertical="center" indent="1"/>
      <protection locked="0"/>
    </xf>
    <xf numFmtId="3" fontId="49" fillId="5" borderId="20" xfId="0" applyNumberFormat="1" applyFont="1" applyFill="1" applyBorder="1" applyAlignment="1">
      <alignment horizontal="right" vertical="center" indent="1"/>
    </xf>
    <xf numFmtId="3" fontId="49" fillId="0" borderId="27" xfId="0" applyNumberFormat="1" applyFont="1" applyBorder="1" applyAlignment="1">
      <alignment horizontal="right" vertical="center" indent="1"/>
    </xf>
    <xf numFmtId="3" fontId="49" fillId="0" borderId="12" xfId="0" applyNumberFormat="1" applyFont="1" applyBorder="1" applyAlignment="1">
      <alignment horizontal="right" vertical="center" indent="1"/>
    </xf>
    <xf numFmtId="3" fontId="47" fillId="7" borderId="10" xfId="2" applyNumberFormat="1" applyFont="1" applyFill="1" applyBorder="1" applyAlignment="1" applyProtection="1">
      <alignment horizontal="right" vertical="center" indent="1"/>
      <protection locked="0"/>
    </xf>
    <xf numFmtId="3" fontId="49" fillId="5" borderId="12" xfId="0" applyNumberFormat="1" applyFont="1" applyFill="1" applyBorder="1" applyAlignment="1">
      <alignment horizontal="right" vertical="center" indent="1"/>
    </xf>
    <xf numFmtId="3" fontId="49" fillId="0" borderId="31" xfId="0" applyNumberFormat="1" applyFont="1" applyBorder="1" applyAlignment="1">
      <alignment horizontal="right" vertical="center" indent="1"/>
    </xf>
    <xf numFmtId="3" fontId="49" fillId="0" borderId="32" xfId="0" applyNumberFormat="1" applyFont="1" applyBorder="1" applyAlignment="1">
      <alignment horizontal="right" vertical="center" indent="1"/>
    </xf>
    <xf numFmtId="3" fontId="47" fillId="7" borderId="28" xfId="2" applyNumberFormat="1" applyFont="1" applyFill="1" applyBorder="1" applyAlignment="1" applyProtection="1">
      <alignment horizontal="right" vertical="center" wrapText="1" indent="1"/>
      <protection locked="0"/>
    </xf>
    <xf numFmtId="3" fontId="49" fillId="5" borderId="31" xfId="0" applyNumberFormat="1" applyFont="1" applyFill="1" applyBorder="1" applyAlignment="1">
      <alignment horizontal="right" vertical="center" indent="1"/>
    </xf>
    <xf numFmtId="3" fontId="52" fillId="0" borderId="33" xfId="0" applyNumberFormat="1" applyFont="1" applyBorder="1" applyAlignment="1">
      <alignment horizontal="right" vertical="center" indent="1"/>
    </xf>
    <xf numFmtId="3" fontId="52" fillId="0" borderId="36" xfId="0" applyNumberFormat="1" applyFont="1" applyBorder="1" applyAlignment="1">
      <alignment horizontal="right" vertical="center" indent="1"/>
    </xf>
    <xf numFmtId="3" fontId="52" fillId="0" borderId="9" xfId="0" applyNumberFormat="1" applyFont="1" applyBorder="1" applyAlignment="1">
      <alignment horizontal="right" vertical="center" indent="1"/>
    </xf>
    <xf numFmtId="3" fontId="52" fillId="5" borderId="36" xfId="0" applyNumberFormat="1" applyFont="1" applyFill="1" applyBorder="1" applyAlignment="1">
      <alignment horizontal="right" vertical="center" indent="1"/>
    </xf>
    <xf numFmtId="0" fontId="49" fillId="4" borderId="0" xfId="2" applyFont="1" applyFill="1" applyAlignment="1" applyProtection="1">
      <alignment horizontal="left" vertical="center"/>
      <protection locked="0"/>
    </xf>
    <xf numFmtId="0" fontId="49" fillId="4" borderId="0" xfId="2" applyFont="1" applyFill="1" applyAlignment="1" applyProtection="1">
      <alignment horizontal="right" vertical="center"/>
      <protection locked="0"/>
    </xf>
    <xf numFmtId="0" fontId="47" fillId="4" borderId="10" xfId="2" applyFont="1" applyFill="1" applyBorder="1" applyAlignment="1" applyProtection="1">
      <alignment horizontal="center" vertical="center" wrapText="1"/>
      <protection locked="0"/>
    </xf>
    <xf numFmtId="0" fontId="47" fillId="4" borderId="6" xfId="2" applyFont="1" applyFill="1" applyBorder="1" applyAlignment="1" applyProtection="1">
      <alignment horizontal="center" vertical="center" wrapText="1"/>
      <protection locked="0"/>
    </xf>
    <xf numFmtId="0" fontId="47" fillId="4" borderId="12" xfId="2" applyFont="1" applyFill="1" applyBorder="1" applyAlignment="1" applyProtection="1">
      <alignment horizontal="center" vertical="center" wrapText="1"/>
      <protection locked="0"/>
    </xf>
    <xf numFmtId="0" fontId="47" fillId="4" borderId="11" xfId="2" applyFont="1" applyFill="1" applyBorder="1" applyAlignment="1" applyProtection="1">
      <alignment horizontal="center" vertical="center" wrapText="1"/>
      <protection locked="0"/>
    </xf>
    <xf numFmtId="0" fontId="47" fillId="4" borderId="17" xfId="2" applyFont="1" applyFill="1" applyBorder="1" applyAlignment="1" applyProtection="1">
      <alignment horizontal="center" vertical="center" wrapText="1"/>
      <protection locked="0"/>
    </xf>
    <xf numFmtId="0" fontId="47" fillId="4" borderId="13" xfId="2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7" fillId="4" borderId="7" xfId="2" applyFont="1" applyFill="1" applyBorder="1" applyAlignment="1" applyProtection="1">
      <alignment horizontal="center" vertical="center" wrapText="1"/>
      <protection locked="0"/>
    </xf>
    <xf numFmtId="0" fontId="47" fillId="4" borderId="5" xfId="2" applyFont="1" applyFill="1" applyBorder="1" applyAlignment="1" applyProtection="1">
      <alignment vertical="center"/>
      <protection locked="0"/>
    </xf>
    <xf numFmtId="3" fontId="47" fillId="4" borderId="18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4" borderId="18" xfId="2" applyNumberFormat="1" applyFont="1" applyFill="1" applyBorder="1" applyAlignment="1" applyProtection="1">
      <alignment horizontal="right" vertical="center" wrapText="1" indent="1"/>
      <protection locked="0"/>
    </xf>
    <xf numFmtId="1" fontId="47" fillId="4" borderId="19" xfId="2" applyNumberFormat="1" applyFont="1" applyFill="1" applyBorder="1" applyAlignment="1" applyProtection="1">
      <alignment horizontal="right" vertical="center" wrapText="1" indent="1"/>
      <protection locked="0"/>
    </xf>
    <xf numFmtId="1" fontId="47" fillId="4" borderId="20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4" fillId="4" borderId="0" xfId="2" applyFont="1" applyFill="1" applyAlignment="1">
      <alignment horizontal="right" vertical="center"/>
    </xf>
    <xf numFmtId="0" fontId="64" fillId="4" borderId="0" xfId="0" applyFont="1" applyFill="1" applyAlignment="1">
      <alignment vertical="center"/>
    </xf>
    <xf numFmtId="0" fontId="47" fillId="4" borderId="3" xfId="2" applyFont="1" applyFill="1" applyBorder="1" applyAlignment="1" applyProtection="1">
      <alignment horizontal="center" vertical="center" wrapText="1"/>
      <protection locked="0"/>
    </xf>
    <xf numFmtId="0" fontId="47" fillId="4" borderId="4" xfId="2" applyFont="1" applyFill="1" applyBorder="1" applyAlignment="1" applyProtection="1">
      <alignment horizontal="left" vertical="center"/>
      <protection locked="0"/>
    </xf>
    <xf numFmtId="3" fontId="47" fillId="4" borderId="10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6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4" borderId="10" xfId="2" applyNumberFormat="1" applyFont="1" applyFill="1" applyBorder="1" applyAlignment="1" applyProtection="1">
      <alignment horizontal="right" vertical="center" wrapText="1" indent="1"/>
      <protection locked="0"/>
    </xf>
    <xf numFmtId="1" fontId="47" fillId="4" borderId="6" xfId="2" applyNumberFormat="1" applyFont="1" applyFill="1" applyBorder="1" applyAlignment="1" applyProtection="1">
      <alignment horizontal="right" vertical="center" wrapText="1" indent="1"/>
      <protection locked="0"/>
    </xf>
    <xf numFmtId="1" fontId="47" fillId="4" borderId="12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65" fillId="4" borderId="0" xfId="0" applyFont="1" applyFill="1" applyAlignment="1">
      <alignment vertical="center"/>
    </xf>
    <xf numFmtId="0" fontId="47" fillId="4" borderId="16" xfId="2" applyFont="1" applyFill="1" applyBorder="1" applyAlignment="1" applyProtection="1">
      <alignment horizontal="center" vertical="center" wrapText="1"/>
      <protection locked="0"/>
    </xf>
    <xf numFmtId="0" fontId="47" fillId="4" borderId="2" xfId="2" applyFont="1" applyFill="1" applyBorder="1" applyAlignment="1" applyProtection="1">
      <alignment horizontal="right" vertical="center" wrapText="1" indent="1"/>
      <protection locked="0"/>
    </xf>
    <xf numFmtId="3" fontId="47" fillId="4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2" xfId="2" applyNumberFormat="1" applyFont="1" applyFill="1" applyBorder="1" applyAlignment="1" applyProtection="1">
      <alignment horizontal="right" vertical="center" wrapText="1" indent="1"/>
      <protection locked="0"/>
    </xf>
    <xf numFmtId="3" fontId="47" fillId="4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48" fillId="4" borderId="15" xfId="2" applyFont="1" applyFill="1" applyBorder="1" applyAlignment="1" applyProtection="1">
      <alignment horizontal="center" vertical="center" wrapText="1"/>
      <protection locked="0"/>
    </xf>
    <xf numFmtId="0" fontId="48" fillId="4" borderId="24" xfId="2" applyFont="1" applyFill="1" applyBorder="1" applyAlignment="1" applyProtection="1">
      <alignment horizontal="right" vertical="center" wrapText="1" indent="1"/>
      <protection locked="0"/>
    </xf>
    <xf numFmtId="3" fontId="48" fillId="4" borderId="22" xfId="2" applyNumberFormat="1" applyFont="1" applyFill="1" applyBorder="1" applyAlignment="1" applyProtection="1">
      <alignment horizontal="right" vertical="center" wrapText="1" indent="1"/>
      <protection locked="0"/>
    </xf>
    <xf numFmtId="3" fontId="48" fillId="4" borderId="23" xfId="2" applyNumberFormat="1" applyFont="1" applyFill="1" applyBorder="1" applyAlignment="1" applyProtection="1">
      <alignment horizontal="right" vertical="center" wrapText="1" indent="1"/>
      <protection locked="0"/>
    </xf>
    <xf numFmtId="3" fontId="48" fillId="4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48" fillId="4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45" fillId="4" borderId="0" xfId="0" applyFont="1" applyFill="1" applyAlignment="1">
      <alignment vertic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3" fontId="5" fillId="4" borderId="18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21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20" xfId="2" applyNumberFormat="1" applyFont="1" applyFill="1" applyBorder="1" applyAlignment="1" applyProtection="1">
      <alignment horizontal="right" vertical="center" wrapText="1"/>
      <protection locked="0"/>
    </xf>
    <xf numFmtId="3" fontId="66" fillId="4" borderId="26" xfId="0" applyNumberFormat="1" applyFont="1" applyFill="1" applyBorder="1" applyAlignment="1">
      <alignment horizontal="right" vertical="center"/>
    </xf>
    <xf numFmtId="3" fontId="66" fillId="4" borderId="20" xfId="0" applyNumberFormat="1" applyFont="1" applyFill="1" applyBorder="1" applyAlignment="1">
      <alignment horizontal="right" vertical="center"/>
    </xf>
    <xf numFmtId="3" fontId="5" fillId="4" borderId="18" xfId="2" applyNumberFormat="1" applyFont="1" applyFill="1" applyBorder="1" applyAlignment="1" applyProtection="1">
      <alignment horizontal="right" vertical="center"/>
      <protection locked="0"/>
    </xf>
    <xf numFmtId="3" fontId="5" fillId="4" borderId="10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11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12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6" xfId="2" applyNumberFormat="1" applyFont="1" applyFill="1" applyBorder="1" applyAlignment="1" applyProtection="1">
      <alignment horizontal="right" vertical="center" wrapText="1"/>
      <protection locked="0"/>
    </xf>
    <xf numFmtId="3" fontId="66" fillId="4" borderId="27" xfId="0" applyNumberFormat="1" applyFont="1" applyFill="1" applyBorder="1" applyAlignment="1">
      <alignment horizontal="right" vertical="center"/>
    </xf>
    <xf numFmtId="3" fontId="66" fillId="4" borderId="12" xfId="0" applyNumberFormat="1" applyFont="1" applyFill="1" applyBorder="1" applyAlignment="1">
      <alignment horizontal="right" vertical="center"/>
    </xf>
    <xf numFmtId="3" fontId="5" fillId="4" borderId="10" xfId="2" applyNumberFormat="1" applyFont="1" applyFill="1" applyBorder="1" applyAlignment="1" applyProtection="1">
      <alignment horizontal="right" vertical="center"/>
      <protection locked="0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5" fillId="4" borderId="8" xfId="2" applyFont="1" applyFill="1" applyBorder="1" applyAlignment="1" applyProtection="1">
      <alignment horizontal="center" vertical="center" wrapText="1"/>
      <protection locked="0"/>
    </xf>
    <xf numFmtId="3" fontId="5" fillId="4" borderId="29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30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31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28" xfId="2" applyNumberFormat="1" applyFont="1" applyFill="1" applyBorder="1" applyAlignment="1" applyProtection="1">
      <alignment horizontal="right" vertical="center" wrapText="1"/>
      <protection locked="0"/>
    </xf>
    <xf numFmtId="3" fontId="66" fillId="4" borderId="28" xfId="0" applyNumberFormat="1" applyFont="1" applyFill="1" applyBorder="1" applyAlignment="1">
      <alignment horizontal="right" vertical="center"/>
    </xf>
    <xf numFmtId="3" fontId="66" fillId="4" borderId="31" xfId="0" applyNumberFormat="1" applyFont="1" applyFill="1" applyBorder="1" applyAlignment="1">
      <alignment horizontal="right" vertical="center"/>
    </xf>
    <xf numFmtId="3" fontId="66" fillId="4" borderId="32" xfId="0" applyNumberFormat="1" applyFont="1" applyFill="1" applyBorder="1" applyAlignment="1">
      <alignment horizontal="right" vertical="center"/>
    </xf>
    <xf numFmtId="0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4" borderId="33" xfId="2" applyNumberFormat="1" applyFont="1" applyFill="1" applyBorder="1" applyAlignment="1" applyProtection="1">
      <alignment horizontal="right" vertical="center" wrapText="1"/>
      <protection locked="0"/>
    </xf>
    <xf numFmtId="3" fontId="7" fillId="4" borderId="34" xfId="2" applyNumberFormat="1" applyFont="1" applyFill="1" applyBorder="1" applyAlignment="1" applyProtection="1">
      <alignment horizontal="right" vertical="center" wrapText="1"/>
      <protection locked="0"/>
    </xf>
    <xf numFmtId="3" fontId="7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7" fillId="4" borderId="36" xfId="2" applyNumberFormat="1" applyFont="1" applyFill="1" applyBorder="1" applyAlignment="1" applyProtection="1">
      <alignment horizontal="right" vertical="center" wrapText="1"/>
      <protection locked="0"/>
    </xf>
    <xf numFmtId="3" fontId="67" fillId="4" borderId="33" xfId="0" applyNumberFormat="1" applyFont="1" applyFill="1" applyBorder="1" applyAlignment="1">
      <alignment horizontal="right" vertical="center"/>
    </xf>
    <xf numFmtId="3" fontId="67" fillId="4" borderId="36" xfId="0" applyNumberFormat="1" applyFont="1" applyFill="1" applyBorder="1" applyAlignment="1">
      <alignment horizontal="right" vertical="center"/>
    </xf>
    <xf numFmtId="3" fontId="67" fillId="4" borderId="9" xfId="0" applyNumberFormat="1" applyFont="1" applyFill="1" applyBorder="1" applyAlignment="1">
      <alignment horizontal="right" vertical="center"/>
    </xf>
    <xf numFmtId="3" fontId="0" fillId="4" borderId="0" xfId="0" applyNumberFormat="1" applyFill="1" applyAlignment="1">
      <alignment vertical="center"/>
    </xf>
    <xf numFmtId="3" fontId="47" fillId="4" borderId="0" xfId="2" applyNumberFormat="1" applyFont="1" applyFill="1" applyAlignment="1" applyProtection="1">
      <alignment vertical="center"/>
      <protection locked="0"/>
    </xf>
    <xf numFmtId="3" fontId="47" fillId="4" borderId="0" xfId="2" applyNumberFormat="1" applyFont="1" applyFill="1" applyAlignment="1">
      <alignment vertical="center"/>
    </xf>
    <xf numFmtId="4" fontId="47" fillId="4" borderId="18" xfId="2" applyNumberFormat="1" applyFont="1" applyFill="1" applyBorder="1" applyAlignment="1" applyProtection="1">
      <alignment horizontal="right" vertical="center" wrapText="1"/>
      <protection locked="0"/>
    </xf>
    <xf numFmtId="3" fontId="49" fillId="4" borderId="76" xfId="0" applyNumberFormat="1" applyFont="1" applyFill="1" applyBorder="1" applyAlignment="1">
      <alignment horizontal="right" vertical="center" wrapText="1"/>
    </xf>
    <xf numFmtId="3" fontId="47" fillId="4" borderId="20" xfId="2" applyNumberFormat="1" applyFont="1" applyFill="1" applyBorder="1" applyAlignment="1" applyProtection="1">
      <alignment horizontal="right" vertical="center" wrapText="1"/>
      <protection locked="0"/>
    </xf>
    <xf numFmtId="3" fontId="47" fillId="4" borderId="19" xfId="2" applyNumberFormat="1" applyFont="1" applyFill="1" applyBorder="1" applyAlignment="1" applyProtection="1">
      <alignment horizontal="right" vertical="center" wrapText="1"/>
      <protection locked="0"/>
    </xf>
    <xf numFmtId="4" fontId="47" fillId="4" borderId="21" xfId="2" applyNumberFormat="1" applyFont="1" applyFill="1" applyBorder="1" applyAlignment="1" applyProtection="1">
      <alignment horizontal="right" vertical="center" wrapText="1"/>
      <protection locked="0"/>
    </xf>
    <xf numFmtId="4" fontId="47" fillId="4" borderId="10" xfId="2" applyNumberFormat="1" applyFont="1" applyFill="1" applyBorder="1" applyAlignment="1" applyProtection="1">
      <alignment horizontal="right" vertical="center" wrapText="1"/>
      <protection locked="0"/>
    </xf>
    <xf numFmtId="3" fontId="47" fillId="4" borderId="6" xfId="2" applyNumberFormat="1" applyFont="1" applyFill="1" applyBorder="1" applyAlignment="1" applyProtection="1">
      <alignment horizontal="right" vertical="center" wrapText="1"/>
      <protection locked="0"/>
    </xf>
    <xf numFmtId="4" fontId="47" fillId="4" borderId="11" xfId="2" applyNumberFormat="1" applyFont="1" applyFill="1" applyBorder="1" applyAlignment="1" applyProtection="1">
      <alignment horizontal="right" vertical="center" wrapText="1"/>
      <protection locked="0"/>
    </xf>
    <xf numFmtId="4" fontId="48" fillId="4" borderId="6" xfId="2" applyNumberFormat="1" applyFont="1" applyFill="1" applyBorder="1" applyAlignment="1" applyProtection="1">
      <alignment horizontal="right" vertical="center" wrapText="1"/>
      <protection locked="0"/>
    </xf>
    <xf numFmtId="3" fontId="48" fillId="4" borderId="6" xfId="2" applyNumberFormat="1" applyFont="1" applyFill="1" applyBorder="1" applyAlignment="1" applyProtection="1">
      <alignment horizontal="right" vertical="center" wrapText="1"/>
      <protection locked="0"/>
    </xf>
    <xf numFmtId="3" fontId="7" fillId="4" borderId="12" xfId="2" applyNumberFormat="1" applyFont="1" applyFill="1" applyBorder="1" applyAlignment="1" applyProtection="1">
      <alignment horizontal="right" vertical="center" wrapText="1"/>
      <protection locked="0"/>
    </xf>
    <xf numFmtId="4" fontId="48" fillId="4" borderId="10" xfId="2" applyNumberFormat="1" applyFont="1" applyFill="1" applyBorder="1" applyAlignment="1" applyProtection="1">
      <alignment horizontal="right" vertical="center" wrapText="1"/>
      <protection locked="0"/>
    </xf>
    <xf numFmtId="4" fontId="48" fillId="4" borderId="11" xfId="2" applyNumberFormat="1" applyFont="1" applyFill="1" applyBorder="1" applyAlignment="1" applyProtection="1">
      <alignment horizontal="right" vertical="center" wrapText="1"/>
      <protection locked="0"/>
    </xf>
    <xf numFmtId="0" fontId="47" fillId="4" borderId="10" xfId="2" applyFont="1" applyFill="1" applyBorder="1" applyAlignment="1" applyProtection="1">
      <alignment horizontal="right" vertical="center" wrapText="1"/>
      <protection locked="0"/>
    </xf>
    <xf numFmtId="4" fontId="47" fillId="4" borderId="2" xfId="2" applyNumberFormat="1" applyFont="1" applyFill="1" applyBorder="1" applyAlignment="1" applyProtection="1">
      <alignment horizontal="right" vertical="center" wrapText="1"/>
      <protection locked="0"/>
    </xf>
    <xf numFmtId="3" fontId="47" fillId="4" borderId="13" xfId="2" applyNumberFormat="1" applyFont="1" applyFill="1" applyBorder="1" applyAlignment="1" applyProtection="1">
      <alignment horizontal="right" vertical="center" wrapText="1"/>
      <protection locked="0"/>
    </xf>
    <xf numFmtId="3" fontId="47" fillId="4" borderId="14" xfId="2" applyNumberFormat="1" applyFont="1" applyFill="1" applyBorder="1" applyAlignment="1" applyProtection="1">
      <alignment horizontal="right" vertical="center" wrapText="1"/>
      <protection locked="0"/>
    </xf>
    <xf numFmtId="4" fontId="47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48" fillId="4" borderId="24" xfId="2" applyNumberFormat="1" applyFont="1" applyFill="1" applyBorder="1" applyAlignment="1" applyProtection="1">
      <alignment horizontal="right" vertical="center" wrapText="1"/>
      <protection locked="0"/>
    </xf>
    <xf numFmtId="3" fontId="48" fillId="4" borderId="22" xfId="2" applyNumberFormat="1" applyFont="1" applyFill="1" applyBorder="1" applyAlignment="1" applyProtection="1">
      <alignment horizontal="right" vertical="center" wrapText="1"/>
      <protection locked="0"/>
    </xf>
    <xf numFmtId="3" fontId="48" fillId="4" borderId="23" xfId="2" applyNumberFormat="1" applyFont="1" applyFill="1" applyBorder="1" applyAlignment="1" applyProtection="1">
      <alignment horizontal="right" vertical="center" wrapText="1"/>
      <protection locked="0"/>
    </xf>
    <xf numFmtId="4" fontId="48" fillId="4" borderId="25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20" xfId="2" applyNumberFormat="1" applyFont="1" applyFill="1" applyBorder="1" applyAlignment="1" applyProtection="1">
      <alignment horizontal="center" vertical="center" wrapText="1"/>
      <protection locked="0"/>
    </xf>
    <xf numFmtId="177" fontId="47" fillId="0" borderId="18" xfId="2" applyNumberFormat="1" applyFont="1" applyFill="1" applyBorder="1" applyAlignment="1" applyProtection="1">
      <alignment horizontal="center" vertical="center" wrapText="1"/>
      <protection locked="0"/>
    </xf>
    <xf numFmtId="177" fontId="47" fillId="0" borderId="21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21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0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2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48" fillId="0" borderId="24" xfId="2" applyFont="1" applyFill="1" applyBorder="1" applyAlignment="1" applyProtection="1">
      <alignment horizontal="center" vertical="center" wrapText="1"/>
      <protection locked="0"/>
    </xf>
    <xf numFmtId="3" fontId="48" fillId="0" borderId="22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23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24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8" xfId="2" applyNumberFormat="1" applyFont="1" applyFill="1" applyBorder="1" applyAlignment="1" applyProtection="1">
      <alignment vertical="center" wrapText="1"/>
      <protection locked="0"/>
    </xf>
    <xf numFmtId="3" fontId="47" fillId="0" borderId="21" xfId="2" applyNumberFormat="1" applyFont="1" applyFill="1" applyBorder="1" applyAlignment="1" applyProtection="1">
      <alignment vertical="center" wrapText="1"/>
      <protection locked="0"/>
    </xf>
    <xf numFmtId="3" fontId="47" fillId="0" borderId="19" xfId="2" applyNumberFormat="1" applyFont="1" applyFill="1" applyBorder="1" applyAlignment="1" applyProtection="1">
      <alignment vertical="center" wrapText="1"/>
      <protection locked="0"/>
    </xf>
    <xf numFmtId="3" fontId="47" fillId="0" borderId="20" xfId="2" applyNumberFormat="1" applyFont="1" applyFill="1" applyBorder="1" applyAlignment="1" applyProtection="1">
      <alignment vertical="center" wrapText="1"/>
      <protection locked="0"/>
    </xf>
    <xf numFmtId="3" fontId="49" fillId="0" borderId="26" xfId="0" applyNumberFormat="1" applyFont="1" applyBorder="1" applyAlignment="1">
      <alignment vertical="center"/>
    </xf>
    <xf numFmtId="3" fontId="49" fillId="0" borderId="20" xfId="0" applyNumberFormat="1" applyFont="1" applyBorder="1" applyAlignment="1">
      <alignment vertical="center"/>
    </xf>
    <xf numFmtId="3" fontId="47" fillId="5" borderId="18" xfId="2" applyNumberFormat="1" applyFont="1" applyFill="1" applyBorder="1" applyAlignment="1" applyProtection="1">
      <alignment vertical="center"/>
      <protection locked="0"/>
    </xf>
    <xf numFmtId="3" fontId="49" fillId="5" borderId="20" xfId="0" applyNumberFormat="1" applyFont="1" applyFill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3" fontId="47" fillId="5" borderId="10" xfId="2" applyNumberFormat="1" applyFont="1" applyFill="1" applyBorder="1" applyAlignment="1" applyProtection="1">
      <alignment vertical="center"/>
      <protection locked="0"/>
    </xf>
    <xf numFmtId="3" fontId="49" fillId="5" borderId="12" xfId="0" applyNumberFormat="1" applyFont="1" applyFill="1" applyBorder="1" applyAlignment="1">
      <alignment vertical="center"/>
    </xf>
    <xf numFmtId="3" fontId="47" fillId="0" borderId="28" xfId="2" applyNumberFormat="1" applyFont="1" applyFill="1" applyBorder="1" applyAlignment="1" applyProtection="1">
      <alignment vertical="center" wrapText="1"/>
      <protection locked="0"/>
    </xf>
    <xf numFmtId="3" fontId="47" fillId="0" borderId="29" xfId="2" applyNumberFormat="1" applyFont="1" applyFill="1" applyBorder="1" applyAlignment="1" applyProtection="1">
      <alignment vertical="center" wrapText="1"/>
      <protection locked="0"/>
    </xf>
    <xf numFmtId="3" fontId="47" fillId="0" borderId="30" xfId="2" applyNumberFormat="1" applyFont="1" applyFill="1" applyBorder="1" applyAlignment="1" applyProtection="1">
      <alignment vertical="center" wrapText="1"/>
      <protection locked="0"/>
    </xf>
    <xf numFmtId="3" fontId="47" fillId="0" borderId="31" xfId="2" applyNumberFormat="1" applyFont="1" applyFill="1" applyBorder="1" applyAlignment="1" applyProtection="1">
      <alignment vertical="center" wrapText="1"/>
      <protection locked="0"/>
    </xf>
    <xf numFmtId="3" fontId="49" fillId="0" borderId="28" xfId="0" applyNumberFormat="1" applyFont="1" applyBorder="1" applyAlignment="1">
      <alignment vertical="center"/>
    </xf>
    <xf numFmtId="3" fontId="49" fillId="0" borderId="31" xfId="0" applyNumberFormat="1" applyFont="1" applyBorder="1" applyAlignment="1">
      <alignment vertical="center"/>
    </xf>
    <xf numFmtId="3" fontId="49" fillId="0" borderId="32" xfId="0" applyNumberFormat="1" applyFont="1" applyBorder="1" applyAlignment="1">
      <alignment vertical="center"/>
    </xf>
    <xf numFmtId="3" fontId="47" fillId="5" borderId="28" xfId="2" applyNumberFormat="1" applyFont="1" applyFill="1" applyBorder="1" applyAlignment="1" applyProtection="1">
      <alignment vertical="center" wrapText="1"/>
      <protection locked="0"/>
    </xf>
    <xf numFmtId="3" fontId="49" fillId="5" borderId="31" xfId="0" applyNumberFormat="1" applyFont="1" applyFill="1" applyBorder="1" applyAlignment="1">
      <alignment vertical="center"/>
    </xf>
    <xf numFmtId="3" fontId="48" fillId="0" borderId="33" xfId="2" applyNumberFormat="1" applyFont="1" applyFill="1" applyBorder="1" applyAlignment="1" applyProtection="1">
      <alignment vertical="center" wrapText="1"/>
      <protection locked="0"/>
    </xf>
    <xf numFmtId="3" fontId="48" fillId="0" borderId="34" xfId="2" applyNumberFormat="1" applyFont="1" applyFill="1" applyBorder="1" applyAlignment="1" applyProtection="1">
      <alignment vertical="center" wrapText="1"/>
      <protection locked="0"/>
    </xf>
    <xf numFmtId="3" fontId="48" fillId="0" borderId="35" xfId="2" applyNumberFormat="1" applyFont="1" applyFill="1" applyBorder="1" applyAlignment="1" applyProtection="1">
      <alignment vertical="center" wrapText="1"/>
      <protection locked="0"/>
    </xf>
    <xf numFmtId="3" fontId="48" fillId="0" borderId="36" xfId="2" applyNumberFormat="1" applyFont="1" applyFill="1" applyBorder="1" applyAlignment="1" applyProtection="1">
      <alignment vertical="center" wrapText="1"/>
      <protection locked="0"/>
    </xf>
    <xf numFmtId="3" fontId="52" fillId="0" borderId="33" xfId="0" applyNumberFormat="1" applyFont="1" applyBorder="1" applyAlignment="1">
      <alignment vertical="center"/>
    </xf>
    <xf numFmtId="3" fontId="52" fillId="0" borderId="36" xfId="0" applyNumberFormat="1" applyFont="1" applyBorder="1" applyAlignment="1">
      <alignment vertical="center"/>
    </xf>
    <xf numFmtId="3" fontId="52" fillId="0" borderId="9" xfId="0" applyNumberFormat="1" applyFont="1" applyBorder="1" applyAlignment="1">
      <alignment vertical="center"/>
    </xf>
    <xf numFmtId="3" fontId="48" fillId="5" borderId="33" xfId="2" applyNumberFormat="1" applyFont="1" applyFill="1" applyBorder="1" applyAlignment="1" applyProtection="1">
      <alignment vertical="center" wrapText="1"/>
      <protection locked="0"/>
    </xf>
    <xf numFmtId="3" fontId="52" fillId="5" borderId="36" xfId="0" applyNumberFormat="1" applyFont="1" applyFill="1" applyBorder="1" applyAlignment="1">
      <alignment vertical="center"/>
    </xf>
    <xf numFmtId="3" fontId="47" fillId="0" borderId="2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17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24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22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23" xfId="2" applyNumberFormat="1" applyFont="1" applyFill="1" applyBorder="1" applyAlignment="1" applyProtection="1">
      <alignment horizontal="right" vertical="center" wrapText="1"/>
      <protection locked="0"/>
    </xf>
    <xf numFmtId="3" fontId="48" fillId="0" borderId="25" xfId="2" applyNumberFormat="1" applyFont="1" applyFill="1" applyBorder="1" applyAlignment="1" applyProtection="1">
      <alignment horizontal="right" vertical="center" wrapText="1"/>
      <protection locked="0"/>
    </xf>
    <xf numFmtId="3" fontId="47" fillId="0" borderId="28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29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30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31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8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28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31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41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6" xfId="1" applyNumberFormat="1" applyFont="1" applyFill="1" applyBorder="1" applyAlignment="1" applyProtection="1">
      <alignment horizontal="center" vertical="center" wrapText="1"/>
      <protection locked="0"/>
    </xf>
    <xf numFmtId="3" fontId="47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19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28" xfId="3" applyNumberFormat="1" applyFont="1" applyFill="1" applyBorder="1" applyAlignment="1" applyProtection="1">
      <alignment horizontal="center" vertical="center" wrapText="1"/>
      <protection locked="0"/>
    </xf>
    <xf numFmtId="3" fontId="47" fillId="0" borderId="32" xfId="3" applyNumberFormat="1" applyFont="1" applyFill="1" applyBorder="1" applyAlignment="1" applyProtection="1">
      <alignment horizontal="center" vertical="center" wrapText="1"/>
      <protection locked="0"/>
    </xf>
    <xf numFmtId="3" fontId="49" fillId="0" borderId="28" xfId="0" applyNumberFormat="1" applyFont="1" applyFill="1" applyBorder="1" applyAlignment="1">
      <alignment horizontal="right" vertical="center" indent="1"/>
    </xf>
    <xf numFmtId="3" fontId="49" fillId="0" borderId="31" xfId="0" applyNumberFormat="1" applyFont="1" applyFill="1" applyBorder="1" applyAlignment="1">
      <alignment horizontal="right" vertical="center" indent="1"/>
    </xf>
    <xf numFmtId="3" fontId="47" fillId="0" borderId="20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33" xfId="3" applyNumberFormat="1" applyFont="1" applyFill="1" applyBorder="1" applyAlignment="1" applyProtection="1">
      <alignment horizontal="center" vertical="center" wrapText="1"/>
      <protection locked="0"/>
    </xf>
    <xf numFmtId="3" fontId="47" fillId="0" borderId="9" xfId="3" applyNumberFormat="1" applyFont="1" applyFill="1" applyBorder="1" applyAlignment="1" applyProtection="1">
      <alignment horizontal="center" vertical="center" wrapText="1"/>
      <protection locked="0"/>
    </xf>
    <xf numFmtId="3" fontId="47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9" fillId="0" borderId="0" xfId="0" applyNumberFormat="1" applyFont="1" applyAlignment="1">
      <alignment vertical="center"/>
    </xf>
    <xf numFmtId="3" fontId="49" fillId="0" borderId="0" xfId="0" applyNumberFormat="1" applyFont="1" applyFill="1" applyAlignment="1">
      <alignment vertical="center"/>
    </xf>
    <xf numFmtId="3" fontId="48" fillId="0" borderId="0" xfId="2" applyNumberFormat="1" applyFont="1" applyAlignment="1" applyProtection="1">
      <alignment vertical="center"/>
      <protection locked="0"/>
    </xf>
    <xf numFmtId="3" fontId="49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vertical="center"/>
    </xf>
    <xf numFmtId="3" fontId="49" fillId="0" borderId="0" xfId="0" applyNumberFormat="1" applyFont="1" applyFill="1" applyAlignment="1">
      <alignment horizontal="center" vertical="center"/>
    </xf>
    <xf numFmtId="3" fontId="47" fillId="0" borderId="7" xfId="2" applyNumberFormat="1" applyFont="1" applyFill="1" applyBorder="1" applyAlignment="1" applyProtection="1">
      <alignment horizontal="center" vertical="center" wrapText="1"/>
      <protection locked="0"/>
    </xf>
    <xf numFmtId="3" fontId="49" fillId="0" borderId="0" xfId="0" applyNumberFormat="1" applyFont="1" applyFill="1" applyBorder="1" applyAlignment="1">
      <alignment vertical="center"/>
    </xf>
    <xf numFmtId="3" fontId="49" fillId="0" borderId="0" xfId="0" applyNumberFormat="1" applyFont="1" applyFill="1" applyBorder="1" applyAlignment="1">
      <alignment horizontal="center"/>
    </xf>
    <xf numFmtId="3" fontId="49" fillId="0" borderId="0" xfId="0" applyNumberFormat="1" applyFont="1" applyFill="1" applyBorder="1" applyAlignment="1">
      <alignment horizontal="right" vertical="center" indent="1"/>
    </xf>
    <xf numFmtId="3" fontId="47" fillId="0" borderId="3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49" fillId="0" borderId="0" xfId="0" applyNumberFormat="1" applyFont="1" applyFill="1" applyBorder="1"/>
    <xf numFmtId="3" fontId="47" fillId="0" borderId="0" xfId="2" applyNumberFormat="1" applyFont="1" applyFill="1" applyBorder="1" applyAlignment="1">
      <alignment vertical="center"/>
    </xf>
    <xf numFmtId="3" fontId="47" fillId="0" borderId="42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3" fontId="49" fillId="0" borderId="0" xfId="0" applyNumberFormat="1" applyFont="1" applyBorder="1" applyAlignment="1">
      <alignment vertical="center"/>
    </xf>
    <xf numFmtId="3" fontId="52" fillId="0" borderId="0" xfId="0" applyNumberFormat="1" applyFont="1" applyAlignment="1">
      <alignment vertical="center"/>
    </xf>
    <xf numFmtId="3" fontId="49" fillId="0" borderId="33" xfId="0" applyNumberFormat="1" applyFont="1" applyBorder="1" applyAlignment="1">
      <alignment vertical="center"/>
    </xf>
    <xf numFmtId="3" fontId="49" fillId="0" borderId="36" xfId="0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5" borderId="36" xfId="0" applyNumberFormat="1" applyFont="1" applyFill="1" applyBorder="1" applyAlignment="1">
      <alignment vertical="center"/>
    </xf>
    <xf numFmtId="1" fontId="47" fillId="0" borderId="18" xfId="2" applyNumberFormat="1" applyFont="1" applyFill="1" applyBorder="1" applyAlignment="1" applyProtection="1">
      <alignment horizontal="right" vertical="center" wrapText="1"/>
      <protection locked="0"/>
    </xf>
    <xf numFmtId="1" fontId="47" fillId="0" borderId="10" xfId="2" applyNumberFormat="1" applyFont="1" applyFill="1" applyBorder="1" applyAlignment="1" applyProtection="1">
      <alignment horizontal="right" vertical="center" wrapText="1"/>
      <protection locked="0"/>
    </xf>
    <xf numFmtId="1" fontId="47" fillId="0" borderId="2" xfId="2" applyNumberFormat="1" applyFont="1" applyFill="1" applyBorder="1" applyAlignment="1" applyProtection="1">
      <alignment horizontal="right" vertical="center" wrapText="1"/>
      <protection locked="0"/>
    </xf>
    <xf numFmtId="1" fontId="48" fillId="0" borderId="24" xfId="2" applyNumberFormat="1" applyFont="1" applyFill="1" applyBorder="1" applyAlignment="1" applyProtection="1">
      <alignment horizontal="right" vertical="center" wrapText="1"/>
      <protection locked="0"/>
    </xf>
    <xf numFmtId="3" fontId="0" fillId="0" borderId="26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 applyProtection="1">
      <alignment vertical="center"/>
      <protection locked="0"/>
    </xf>
    <xf numFmtId="3" fontId="48" fillId="5" borderId="7" xfId="2" applyNumberFormat="1" applyFont="1" applyFill="1" applyBorder="1" applyAlignment="1" applyProtection="1">
      <alignment vertical="center"/>
      <protection locked="0"/>
    </xf>
    <xf numFmtId="3" fontId="0" fillId="0" borderId="27" xfId="0" applyNumberFormat="1" applyFont="1" applyBorder="1" applyAlignment="1">
      <alignment vertical="center"/>
    </xf>
    <xf numFmtId="3" fontId="0" fillId="0" borderId="12" xfId="0" applyNumberFormat="1" applyFont="1" applyBorder="1" applyAlignment="1">
      <alignment vertical="center"/>
    </xf>
    <xf numFmtId="3" fontId="0" fillId="0" borderId="28" xfId="0" applyNumberFormat="1" applyFont="1" applyBorder="1" applyAlignment="1">
      <alignment vertical="center"/>
    </xf>
    <xf numFmtId="3" fontId="0" fillId="0" borderId="31" xfId="0" applyNumberFormat="1" applyFont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0" fillId="0" borderId="32" xfId="0" applyNumberFormat="1" applyFont="1" applyBorder="1" applyAlignment="1">
      <alignment vertical="center"/>
    </xf>
    <xf numFmtId="3" fontId="45" fillId="0" borderId="33" xfId="0" applyNumberFormat="1" applyFont="1" applyBorder="1" applyAlignment="1">
      <alignment vertical="center"/>
    </xf>
    <xf numFmtId="3" fontId="45" fillId="0" borderId="36" xfId="0" applyNumberFormat="1" applyFont="1" applyBorder="1" applyAlignment="1">
      <alignment vertical="center"/>
    </xf>
    <xf numFmtId="3" fontId="45" fillId="0" borderId="9" xfId="0" applyNumberFormat="1" applyFont="1" applyBorder="1" applyAlignment="1">
      <alignment vertical="center"/>
    </xf>
    <xf numFmtId="3" fontId="45" fillId="5" borderId="36" xfId="0" applyNumberFormat="1" applyFont="1" applyFill="1" applyBorder="1" applyAlignment="1">
      <alignment vertical="center"/>
    </xf>
    <xf numFmtId="3" fontId="48" fillId="0" borderId="19" xfId="2" applyNumberFormat="1" applyFont="1" applyFill="1" applyBorder="1" applyAlignment="1" applyProtection="1">
      <alignment vertical="center" wrapText="1"/>
      <protection locked="0"/>
    </xf>
    <xf numFmtId="3" fontId="48" fillId="0" borderId="6" xfId="2" applyNumberFormat="1" applyFont="1" applyFill="1" applyBorder="1" applyAlignment="1" applyProtection="1">
      <alignment vertical="center" wrapText="1"/>
      <protection locked="0"/>
    </xf>
    <xf numFmtId="0" fontId="47" fillId="0" borderId="2" xfId="2" applyFont="1" applyFill="1" applyBorder="1" applyAlignment="1" applyProtection="1">
      <alignment vertical="center" wrapText="1"/>
      <protection locked="0"/>
    </xf>
    <xf numFmtId="3" fontId="47" fillId="0" borderId="13" xfId="2" applyNumberFormat="1" applyFont="1" applyFill="1" applyBorder="1" applyAlignment="1" applyProtection="1">
      <alignment vertical="center" wrapText="1"/>
      <protection locked="0"/>
    </xf>
    <xf numFmtId="3" fontId="47" fillId="0" borderId="14" xfId="2" applyNumberFormat="1" applyFont="1" applyFill="1" applyBorder="1" applyAlignment="1" applyProtection="1">
      <alignment vertical="center" wrapText="1"/>
      <protection locked="0"/>
    </xf>
    <xf numFmtId="3" fontId="47" fillId="0" borderId="2" xfId="2" applyNumberFormat="1" applyFont="1" applyFill="1" applyBorder="1" applyAlignment="1" applyProtection="1">
      <alignment vertical="center" wrapText="1"/>
      <protection locked="0"/>
    </xf>
    <xf numFmtId="3" fontId="47" fillId="0" borderId="17" xfId="2" applyNumberFormat="1" applyFont="1" applyFill="1" applyBorder="1" applyAlignment="1" applyProtection="1">
      <alignment vertical="center" wrapText="1"/>
      <protection locked="0"/>
    </xf>
    <xf numFmtId="3" fontId="48" fillId="0" borderId="13" xfId="2" applyNumberFormat="1" applyFont="1" applyFill="1" applyBorder="1" applyAlignment="1" applyProtection="1">
      <alignment vertical="center" wrapText="1"/>
      <protection locked="0"/>
    </xf>
    <xf numFmtId="0" fontId="48" fillId="0" borderId="24" xfId="2" applyFont="1" applyFill="1" applyBorder="1" applyAlignment="1" applyProtection="1">
      <alignment vertical="center" wrapText="1"/>
      <protection locked="0"/>
    </xf>
    <xf numFmtId="3" fontId="48" fillId="0" borderId="22" xfId="2" applyNumberFormat="1" applyFont="1" applyFill="1" applyBorder="1" applyAlignment="1" applyProtection="1">
      <alignment vertical="center" wrapText="1"/>
      <protection locked="0"/>
    </xf>
    <xf numFmtId="3" fontId="48" fillId="0" borderId="23" xfId="2" applyNumberFormat="1" applyFont="1" applyFill="1" applyBorder="1" applyAlignment="1" applyProtection="1">
      <alignment vertical="center" wrapText="1"/>
      <protection locked="0"/>
    </xf>
    <xf numFmtId="3" fontId="48" fillId="0" borderId="24" xfId="2" applyNumberFormat="1" applyFont="1" applyFill="1" applyBorder="1" applyAlignment="1" applyProtection="1">
      <alignment vertical="center" wrapText="1"/>
      <protection locked="0"/>
    </xf>
    <xf numFmtId="3" fontId="48" fillId="0" borderId="25" xfId="2" applyNumberFormat="1" applyFont="1" applyFill="1" applyBorder="1" applyAlignment="1" applyProtection="1">
      <alignment vertical="center" wrapText="1"/>
      <protection locked="0"/>
    </xf>
    <xf numFmtId="3" fontId="0" fillId="0" borderId="26" xfId="0" applyNumberFormat="1" applyFont="1" applyBorder="1" applyAlignment="1">
      <alignment horizontal="right" vertical="center" indent="1"/>
    </xf>
    <xf numFmtId="3" fontId="0" fillId="0" borderId="20" xfId="0" applyNumberFormat="1" applyFont="1" applyBorder="1" applyAlignment="1">
      <alignment horizontal="right" vertical="center" indent="1"/>
    </xf>
    <xf numFmtId="3" fontId="0" fillId="5" borderId="20" xfId="0" applyNumberFormat="1" applyFill="1" applyBorder="1" applyAlignment="1">
      <alignment horizontal="right" vertical="center" indent="1"/>
    </xf>
    <xf numFmtId="3" fontId="0" fillId="0" borderId="27" xfId="0" applyNumberFormat="1" applyFont="1" applyBorder="1" applyAlignment="1">
      <alignment horizontal="right" vertical="center" indent="1"/>
    </xf>
    <xf numFmtId="3" fontId="0" fillId="0" borderId="12" xfId="0" applyNumberFormat="1" applyFont="1" applyBorder="1" applyAlignment="1">
      <alignment horizontal="right" vertical="center" indent="1"/>
    </xf>
    <xf numFmtId="3" fontId="0" fillId="5" borderId="12" xfId="0" applyNumberFormat="1" applyFill="1" applyBorder="1" applyAlignment="1">
      <alignment horizontal="right" vertical="center" indent="1"/>
    </xf>
    <xf numFmtId="3" fontId="0" fillId="0" borderId="32" xfId="0" applyNumberFormat="1" applyFont="1" applyBorder="1" applyAlignment="1">
      <alignment horizontal="right" vertical="center" indent="1"/>
    </xf>
    <xf numFmtId="3" fontId="0" fillId="5" borderId="31" xfId="0" applyNumberFormat="1" applyFill="1" applyBorder="1" applyAlignment="1">
      <alignment horizontal="right" vertical="center" indent="1"/>
    </xf>
    <xf numFmtId="3" fontId="0" fillId="0" borderId="33" xfId="0" applyNumberFormat="1" applyFont="1" applyBorder="1" applyAlignment="1">
      <alignment horizontal="right" vertical="center" indent="1"/>
    </xf>
    <xf numFmtId="3" fontId="0" fillId="0" borderId="36" xfId="0" applyNumberFormat="1" applyFont="1" applyBorder="1" applyAlignment="1">
      <alignment horizontal="right" vertical="center" indent="1"/>
    </xf>
    <xf numFmtId="3" fontId="45" fillId="0" borderId="33" xfId="0" applyNumberFormat="1" applyFont="1" applyBorder="1" applyAlignment="1">
      <alignment horizontal="right" vertical="center" indent="1"/>
    </xf>
    <xf numFmtId="3" fontId="45" fillId="0" borderId="36" xfId="0" applyNumberFormat="1" applyFont="1" applyBorder="1" applyAlignment="1">
      <alignment horizontal="right" vertical="center" indent="1"/>
    </xf>
    <xf numFmtId="3" fontId="0" fillId="0" borderId="9" xfId="0" applyNumberFormat="1" applyFont="1" applyBorder="1" applyAlignment="1">
      <alignment horizontal="right" vertical="center" indent="1"/>
    </xf>
    <xf numFmtId="3" fontId="0" fillId="5" borderId="36" xfId="0" applyNumberFormat="1" applyFill="1" applyBorder="1" applyAlignment="1">
      <alignment horizontal="right" vertical="center" indent="1"/>
    </xf>
    <xf numFmtId="0" fontId="47" fillId="0" borderId="18" xfId="2" applyFont="1" applyFill="1" applyBorder="1" applyAlignment="1" applyProtection="1">
      <alignment vertical="center" wrapText="1"/>
      <protection locked="0"/>
    </xf>
    <xf numFmtId="0" fontId="47" fillId="0" borderId="21" xfId="2" applyFont="1" applyFill="1" applyBorder="1" applyAlignment="1" applyProtection="1">
      <alignment vertical="center" wrapText="1"/>
      <protection locked="0"/>
    </xf>
    <xf numFmtId="0" fontId="47" fillId="0" borderId="19" xfId="2" applyFont="1" applyFill="1" applyBorder="1" applyAlignment="1" applyProtection="1">
      <alignment vertical="center" wrapText="1"/>
      <protection locked="0"/>
    </xf>
    <xf numFmtId="0" fontId="47" fillId="0" borderId="20" xfId="2" applyFont="1" applyFill="1" applyBorder="1" applyAlignment="1" applyProtection="1">
      <alignment vertical="center" wrapText="1"/>
      <protection locked="0"/>
    </xf>
    <xf numFmtId="0" fontId="0" fillId="0" borderId="26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47" fillId="5" borderId="18" xfId="2" applyFont="1" applyFill="1" applyBorder="1" applyAlignment="1" applyProtection="1">
      <alignment vertical="center"/>
      <protection locked="0"/>
    </xf>
    <xf numFmtId="0" fontId="0" fillId="5" borderId="20" xfId="0" applyFill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47" fillId="5" borderId="10" xfId="2" applyFont="1" applyFill="1" applyBorder="1" applyAlignment="1" applyProtection="1">
      <alignment vertical="center"/>
      <protection locked="0"/>
    </xf>
    <xf numFmtId="0" fontId="0" fillId="5" borderId="12" xfId="0" applyFill="1" applyBorder="1" applyAlignment="1">
      <alignment vertical="center"/>
    </xf>
    <xf numFmtId="0" fontId="47" fillId="0" borderId="28" xfId="2" applyFont="1" applyFill="1" applyBorder="1" applyAlignment="1" applyProtection="1">
      <alignment vertical="center" wrapText="1"/>
      <protection locked="0"/>
    </xf>
    <xf numFmtId="0" fontId="47" fillId="0" borderId="29" xfId="2" applyFont="1" applyFill="1" applyBorder="1" applyAlignment="1" applyProtection="1">
      <alignment vertical="center" wrapText="1"/>
      <protection locked="0"/>
    </xf>
    <xf numFmtId="0" fontId="47" fillId="0" borderId="30" xfId="2" applyFont="1" applyFill="1" applyBorder="1" applyAlignment="1" applyProtection="1">
      <alignment vertical="center" wrapText="1"/>
      <protection locked="0"/>
    </xf>
    <xf numFmtId="0" fontId="47" fillId="0" borderId="31" xfId="2" applyFont="1" applyFill="1" applyBorder="1" applyAlignment="1" applyProtection="1">
      <alignment vertical="center" wrapText="1"/>
      <protection locked="0"/>
    </xf>
    <xf numFmtId="0" fontId="0" fillId="0" borderId="28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48" fillId="0" borderId="33" xfId="2" applyFont="1" applyFill="1" applyBorder="1" applyAlignment="1" applyProtection="1">
      <alignment vertical="center" wrapText="1"/>
      <protection locked="0"/>
    </xf>
    <xf numFmtId="0" fontId="48" fillId="0" borderId="34" xfId="2" applyFont="1" applyFill="1" applyBorder="1" applyAlignment="1" applyProtection="1">
      <alignment vertical="center" wrapText="1"/>
      <protection locked="0"/>
    </xf>
    <xf numFmtId="0" fontId="48" fillId="0" borderId="35" xfId="2" applyFont="1" applyFill="1" applyBorder="1" applyAlignment="1" applyProtection="1">
      <alignment vertical="center" wrapText="1"/>
      <protection locked="0"/>
    </xf>
    <xf numFmtId="0" fontId="48" fillId="0" borderId="36" xfId="2" applyFont="1" applyFill="1" applyBorder="1" applyAlignment="1" applyProtection="1">
      <alignment vertical="center" wrapText="1"/>
      <protection locked="0"/>
    </xf>
    <xf numFmtId="0" fontId="0" fillId="0" borderId="33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45" fillId="0" borderId="33" xfId="0" applyFont="1" applyBorder="1" applyAlignment="1">
      <alignment vertical="center"/>
    </xf>
    <xf numFmtId="0" fontId="45" fillId="0" borderId="36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8" fillId="5" borderId="33" xfId="2" applyFont="1" applyFill="1" applyBorder="1" applyAlignment="1" applyProtection="1">
      <alignment vertical="center" wrapText="1"/>
      <protection locked="0"/>
    </xf>
    <xf numFmtId="0" fontId="0" fillId="5" borderId="36" xfId="0" applyFill="1" applyBorder="1" applyAlignment="1">
      <alignment vertical="center"/>
    </xf>
    <xf numFmtId="0" fontId="47" fillId="0" borderId="6" xfId="2" applyFont="1" applyFill="1" applyBorder="1" applyAlignment="1" applyProtection="1">
      <alignment horizontal="right" vertical="center" wrapText="1"/>
      <protection locked="0"/>
    </xf>
    <xf numFmtId="0" fontId="47" fillId="0" borderId="10" xfId="2" applyFont="1" applyFill="1" applyBorder="1" applyAlignment="1" applyProtection="1">
      <alignment horizontal="right" vertical="center" wrapText="1"/>
      <protection locked="0"/>
    </xf>
    <xf numFmtId="0" fontId="47" fillId="0" borderId="2" xfId="2" applyFont="1" applyFill="1" applyBorder="1" applyAlignment="1" applyProtection="1">
      <alignment horizontal="right" vertical="center" wrapText="1"/>
      <protection locked="0"/>
    </xf>
    <xf numFmtId="0" fontId="48" fillId="0" borderId="24" xfId="2" applyFont="1" applyFill="1" applyBorder="1" applyAlignment="1" applyProtection="1">
      <alignment horizontal="right" vertical="center" wrapText="1"/>
      <protection locked="0"/>
    </xf>
    <xf numFmtId="0" fontId="52" fillId="0" borderId="0" xfId="0" applyFont="1" applyAlignment="1">
      <alignment horizontal="right" vertical="center"/>
    </xf>
    <xf numFmtId="0" fontId="48" fillId="5" borderId="2" xfId="2" applyFont="1" applyFill="1" applyBorder="1" applyAlignment="1" applyProtection="1">
      <alignment horizontal="center" vertical="center" wrapText="1"/>
      <protection locked="0"/>
    </xf>
    <xf numFmtId="0" fontId="48" fillId="5" borderId="14" xfId="2" applyFont="1" applyFill="1" applyBorder="1" applyAlignment="1" applyProtection="1">
      <alignment horizontal="center" vertical="center" wrapText="1"/>
      <protection locked="0"/>
    </xf>
    <xf numFmtId="164" fontId="47" fillId="0" borderId="18" xfId="2" applyNumberFormat="1" applyFont="1" applyFill="1" applyBorder="1" applyAlignment="1" applyProtection="1">
      <alignment wrapText="1"/>
      <protection locked="0"/>
    </xf>
    <xf numFmtId="0" fontId="47" fillId="0" borderId="21" xfId="2" applyFont="1" applyFill="1" applyBorder="1" applyAlignment="1" applyProtection="1">
      <alignment wrapText="1"/>
      <protection locked="0"/>
    </xf>
    <xf numFmtId="164" fontId="47" fillId="0" borderId="19" xfId="2" applyNumberFormat="1" applyFont="1" applyFill="1" applyBorder="1" applyAlignment="1" applyProtection="1">
      <alignment wrapText="1"/>
      <protection locked="0"/>
    </xf>
    <xf numFmtId="164" fontId="47" fillId="0" borderId="20" xfId="2" applyNumberFormat="1" applyFont="1" applyFill="1" applyBorder="1" applyAlignment="1" applyProtection="1">
      <alignment wrapText="1"/>
      <protection locked="0"/>
    </xf>
    <xf numFmtId="165" fontId="47" fillId="0" borderId="18" xfId="2" applyNumberFormat="1" applyFont="1" applyFill="1" applyBorder="1" applyAlignment="1" applyProtection="1">
      <alignment wrapText="1"/>
      <protection locked="0"/>
    </xf>
    <xf numFmtId="165" fontId="47" fillId="0" borderId="19" xfId="2" applyNumberFormat="1" applyFont="1" applyFill="1" applyBorder="1" applyAlignment="1" applyProtection="1">
      <alignment wrapText="1"/>
      <protection locked="0"/>
    </xf>
    <xf numFmtId="165" fontId="47" fillId="0" borderId="20" xfId="2" applyNumberFormat="1" applyFont="1" applyFill="1" applyBorder="1" applyAlignment="1" applyProtection="1">
      <alignment wrapText="1"/>
      <protection locked="0"/>
    </xf>
    <xf numFmtId="165" fontId="0" fillId="0" borderId="26" xfId="0" applyNumberFormat="1" applyFont="1" applyBorder="1" applyAlignment="1"/>
    <xf numFmtId="165" fontId="0" fillId="0" borderId="20" xfId="0" applyNumberFormat="1" applyFont="1" applyBorder="1" applyAlignment="1"/>
    <xf numFmtId="165" fontId="48" fillId="5" borderId="18" xfId="2" applyNumberFormat="1" applyFont="1" applyFill="1" applyBorder="1" applyAlignment="1" applyProtection="1">
      <protection locked="0"/>
    </xf>
    <xf numFmtId="0" fontId="47" fillId="0" borderId="10" xfId="2" applyFont="1" applyFill="1" applyBorder="1" applyAlignment="1" applyProtection="1">
      <alignment wrapText="1"/>
      <protection locked="0"/>
    </xf>
    <xf numFmtId="0" fontId="47" fillId="0" borderId="11" xfId="2" applyFont="1" applyFill="1" applyBorder="1" applyAlignment="1" applyProtection="1">
      <alignment wrapText="1"/>
      <protection locked="0"/>
    </xf>
    <xf numFmtId="164" fontId="47" fillId="0" borderId="6" xfId="2" applyNumberFormat="1" applyFont="1" applyFill="1" applyBorder="1" applyAlignment="1" applyProtection="1">
      <alignment wrapText="1"/>
      <protection locked="0"/>
    </xf>
    <xf numFmtId="164" fontId="47" fillId="0" borderId="12" xfId="2" applyNumberFormat="1" applyFont="1" applyFill="1" applyBorder="1" applyAlignment="1" applyProtection="1">
      <alignment wrapText="1"/>
      <protection locked="0"/>
    </xf>
    <xf numFmtId="165" fontId="47" fillId="0" borderId="10" xfId="2" applyNumberFormat="1" applyFont="1" applyFill="1" applyBorder="1" applyAlignment="1" applyProtection="1">
      <alignment wrapText="1"/>
      <protection locked="0"/>
    </xf>
    <xf numFmtId="165" fontId="47" fillId="0" borderId="6" xfId="2" applyNumberFormat="1" applyFont="1" applyFill="1" applyBorder="1" applyAlignment="1" applyProtection="1">
      <alignment wrapText="1"/>
      <protection locked="0"/>
    </xf>
    <xf numFmtId="165" fontId="47" fillId="0" borderId="12" xfId="2" applyNumberFormat="1" applyFont="1" applyFill="1" applyBorder="1" applyAlignment="1" applyProtection="1">
      <alignment wrapText="1"/>
      <protection locked="0"/>
    </xf>
    <xf numFmtId="165" fontId="0" fillId="0" borderId="27" xfId="0" applyNumberFormat="1" applyFont="1" applyBorder="1" applyAlignment="1"/>
    <xf numFmtId="165" fontId="0" fillId="0" borderId="12" xfId="0" applyNumberFormat="1" applyFont="1" applyBorder="1" applyAlignment="1"/>
    <xf numFmtId="0" fontId="47" fillId="0" borderId="28" xfId="2" applyFont="1" applyFill="1" applyBorder="1" applyAlignment="1" applyProtection="1">
      <alignment wrapText="1"/>
      <protection locked="0"/>
    </xf>
    <xf numFmtId="0" fontId="47" fillId="0" borderId="29" xfId="2" applyFont="1" applyFill="1" applyBorder="1" applyAlignment="1" applyProtection="1">
      <alignment wrapText="1"/>
      <protection locked="0"/>
    </xf>
    <xf numFmtId="164" fontId="47" fillId="0" borderId="30" xfId="2" applyNumberFormat="1" applyFont="1" applyFill="1" applyBorder="1" applyAlignment="1" applyProtection="1">
      <alignment wrapText="1"/>
      <protection locked="0"/>
    </xf>
    <xf numFmtId="164" fontId="47" fillId="0" borderId="31" xfId="2" applyNumberFormat="1" applyFont="1" applyFill="1" applyBorder="1" applyAlignment="1" applyProtection="1">
      <alignment wrapText="1"/>
      <protection locked="0"/>
    </xf>
    <xf numFmtId="165" fontId="47" fillId="0" borderId="28" xfId="2" applyNumberFormat="1" applyFont="1" applyFill="1" applyBorder="1" applyAlignment="1" applyProtection="1">
      <alignment wrapText="1"/>
      <protection locked="0"/>
    </xf>
    <xf numFmtId="165" fontId="47" fillId="0" borderId="30" xfId="2" applyNumberFormat="1" applyFont="1" applyFill="1" applyBorder="1" applyAlignment="1" applyProtection="1">
      <alignment wrapText="1"/>
      <protection locked="0"/>
    </xf>
    <xf numFmtId="165" fontId="47" fillId="0" borderId="31" xfId="2" applyNumberFormat="1" applyFont="1" applyFill="1" applyBorder="1" applyAlignment="1" applyProtection="1">
      <alignment wrapText="1"/>
      <protection locked="0"/>
    </xf>
    <xf numFmtId="165" fontId="0" fillId="0" borderId="28" xfId="0" applyNumberFormat="1" applyFont="1" applyBorder="1" applyAlignment="1"/>
    <xf numFmtId="165" fontId="0" fillId="0" borderId="31" xfId="0" applyNumberFormat="1" applyFont="1" applyBorder="1" applyAlignment="1"/>
    <xf numFmtId="165" fontId="0" fillId="0" borderId="28" xfId="0" applyNumberFormat="1" applyBorder="1" applyAlignment="1"/>
    <xf numFmtId="165" fontId="0" fillId="0" borderId="31" xfId="0" applyNumberFormat="1" applyBorder="1" applyAlignment="1"/>
    <xf numFmtId="165" fontId="0" fillId="0" borderId="32" xfId="0" applyNumberFormat="1" applyFont="1" applyBorder="1" applyAlignment="1"/>
    <xf numFmtId="3" fontId="50" fillId="8" borderId="9" xfId="2" applyNumberFormat="1" applyFont="1" applyFill="1" applyBorder="1" applyAlignment="1" applyProtection="1">
      <alignment horizontal="center" vertical="center" wrapText="1"/>
      <protection locked="0"/>
    </xf>
    <xf numFmtId="165" fontId="50" fillId="8" borderId="33" xfId="2" applyNumberFormat="1" applyFont="1" applyFill="1" applyBorder="1" applyAlignment="1" applyProtection="1">
      <alignment wrapText="1"/>
      <protection locked="0"/>
    </xf>
    <xf numFmtId="165" fontId="50" fillId="8" borderId="34" xfId="2" applyNumberFormat="1" applyFont="1" applyFill="1" applyBorder="1" applyAlignment="1" applyProtection="1">
      <alignment wrapText="1"/>
      <protection locked="0"/>
    </xf>
    <xf numFmtId="165" fontId="50" fillId="8" borderId="35" xfId="2" applyNumberFormat="1" applyFont="1" applyFill="1" applyBorder="1" applyAlignment="1" applyProtection="1">
      <alignment wrapText="1"/>
      <protection locked="0"/>
    </xf>
    <xf numFmtId="165" fontId="50" fillId="8" borderId="36" xfId="2" applyNumberFormat="1" applyFont="1" applyFill="1" applyBorder="1" applyAlignment="1" applyProtection="1">
      <alignment wrapText="1"/>
      <protection locked="0"/>
    </xf>
    <xf numFmtId="165" fontId="45" fillId="8" borderId="33" xfId="0" applyNumberFormat="1" applyFont="1" applyFill="1" applyBorder="1" applyAlignment="1"/>
    <xf numFmtId="165" fontId="45" fillId="8" borderId="36" xfId="0" applyNumberFormat="1" applyFont="1" applyFill="1" applyBorder="1" applyAlignment="1"/>
    <xf numFmtId="165" fontId="45" fillId="8" borderId="9" xfId="0" applyNumberFormat="1" applyFont="1" applyFill="1" applyBorder="1" applyAlignment="1"/>
    <xf numFmtId="0" fontId="0" fillId="0" borderId="0" xfId="0" applyAlignment="1"/>
    <xf numFmtId="0" fontId="45" fillId="0" borderId="0" xfId="0" applyFont="1" applyAlignment="1"/>
    <xf numFmtId="0" fontId="49" fillId="0" borderId="0" xfId="2" applyFont="1" applyAlignment="1" applyProtection="1">
      <protection locked="0"/>
    </xf>
    <xf numFmtId="164" fontId="49" fillId="0" borderId="0" xfId="2" applyNumberFormat="1" applyFont="1" applyAlignment="1" applyProtection="1">
      <protection locked="0"/>
    </xf>
    <xf numFmtId="0" fontId="47" fillId="0" borderId="0" xfId="2" applyFont="1" applyAlignment="1" applyProtection="1">
      <protection locked="0"/>
    </xf>
    <xf numFmtId="0" fontId="48" fillId="0" borderId="0" xfId="2" applyFont="1" applyAlignment="1"/>
    <xf numFmtId="0" fontId="47" fillId="0" borderId="6" xfId="2" applyFont="1" applyFill="1" applyBorder="1" applyAlignment="1" applyProtection="1">
      <alignment wrapText="1"/>
      <protection locked="0"/>
    </xf>
    <xf numFmtId="0" fontId="47" fillId="0" borderId="12" xfId="2" applyFont="1" applyFill="1" applyBorder="1" applyAlignment="1" applyProtection="1">
      <alignment wrapText="1"/>
      <protection locked="0"/>
    </xf>
    <xf numFmtId="0" fontId="47" fillId="0" borderId="0" xfId="2" applyFont="1" applyBorder="1" applyAlignment="1"/>
    <xf numFmtId="0" fontId="47" fillId="0" borderId="2" xfId="2" applyFont="1" applyFill="1" applyBorder="1" applyAlignment="1" applyProtection="1">
      <alignment wrapText="1"/>
      <protection locked="0"/>
    </xf>
    <xf numFmtId="0" fontId="47" fillId="0" borderId="13" xfId="2" applyFont="1" applyFill="1" applyBorder="1" applyAlignment="1" applyProtection="1">
      <alignment wrapText="1"/>
      <protection locked="0"/>
    </xf>
    <xf numFmtId="0" fontId="47" fillId="0" borderId="14" xfId="2" applyFont="1" applyFill="1" applyBorder="1" applyAlignment="1" applyProtection="1">
      <alignment wrapText="1"/>
      <protection locked="0"/>
    </xf>
    <xf numFmtId="0" fontId="47" fillId="0" borderId="17" xfId="2" applyFont="1" applyFill="1" applyBorder="1" applyAlignment="1" applyProtection="1">
      <alignment wrapText="1"/>
      <protection locked="0"/>
    </xf>
    <xf numFmtId="0" fontId="47" fillId="0" borderId="13" xfId="2" applyFont="1" applyBorder="1" applyAlignment="1"/>
    <xf numFmtId="165" fontId="48" fillId="0" borderId="20" xfId="2" applyNumberFormat="1" applyFont="1" applyFill="1" applyBorder="1" applyAlignment="1" applyProtection="1">
      <alignment wrapText="1"/>
      <protection locked="0"/>
    </xf>
    <xf numFmtId="165" fontId="47" fillId="0" borderId="21" xfId="2" applyNumberFormat="1" applyFont="1" applyFill="1" applyBorder="1" applyAlignment="1" applyProtection="1">
      <alignment wrapText="1"/>
      <protection locked="0"/>
    </xf>
    <xf numFmtId="164" fontId="47" fillId="0" borderId="10" xfId="2" applyNumberFormat="1" applyFont="1" applyFill="1" applyBorder="1" applyAlignment="1" applyProtection="1">
      <alignment wrapText="1"/>
      <protection locked="0"/>
    </xf>
    <xf numFmtId="165" fontId="47" fillId="0" borderId="11" xfId="2" applyNumberFormat="1" applyFont="1" applyFill="1" applyBorder="1" applyAlignment="1" applyProtection="1">
      <alignment wrapText="1"/>
      <protection locked="0"/>
    </xf>
    <xf numFmtId="0" fontId="48" fillId="9" borderId="4" xfId="2" applyFont="1" applyFill="1" applyBorder="1" applyAlignment="1" applyProtection="1">
      <alignment horizontal="left" vertical="center"/>
      <protection locked="0"/>
    </xf>
    <xf numFmtId="164" fontId="48" fillId="9" borderId="10" xfId="2" applyNumberFormat="1" applyFont="1" applyFill="1" applyBorder="1" applyAlignment="1" applyProtection="1">
      <alignment wrapText="1"/>
      <protection locked="0"/>
    </xf>
    <xf numFmtId="165" fontId="48" fillId="9" borderId="6" xfId="2" applyNumberFormat="1" applyFont="1" applyFill="1" applyBorder="1" applyAlignment="1" applyProtection="1">
      <alignment wrapText="1"/>
      <protection locked="0"/>
    </xf>
    <xf numFmtId="165" fontId="48" fillId="9" borderId="20" xfId="2" applyNumberFormat="1" applyFont="1" applyFill="1" applyBorder="1" applyAlignment="1" applyProtection="1">
      <alignment wrapText="1"/>
      <protection locked="0"/>
    </xf>
    <xf numFmtId="165" fontId="48" fillId="9" borderId="10" xfId="2" applyNumberFormat="1" applyFont="1" applyFill="1" applyBorder="1" applyAlignment="1" applyProtection="1">
      <alignment wrapText="1"/>
      <protection locked="0"/>
    </xf>
    <xf numFmtId="165" fontId="48" fillId="9" borderId="11" xfId="2" applyNumberFormat="1" applyFont="1" applyFill="1" applyBorder="1" applyAlignment="1" applyProtection="1">
      <alignment wrapText="1"/>
      <protection locked="0"/>
    </xf>
    <xf numFmtId="0" fontId="47" fillId="0" borderId="42" xfId="2" applyFont="1" applyBorder="1" applyAlignment="1" applyProtection="1">
      <alignment horizontal="center" vertical="center" wrapText="1"/>
      <protection locked="0"/>
    </xf>
    <xf numFmtId="164" fontId="47" fillId="0" borderId="28" xfId="2" applyNumberFormat="1" applyFont="1" applyFill="1" applyBorder="1" applyAlignment="1" applyProtection="1">
      <alignment wrapText="1"/>
      <protection locked="0"/>
    </xf>
    <xf numFmtId="165" fontId="48" fillId="0" borderId="43" xfId="2" applyNumberFormat="1" applyFont="1" applyFill="1" applyBorder="1" applyAlignment="1" applyProtection="1">
      <alignment wrapText="1"/>
      <protection locked="0"/>
    </xf>
    <xf numFmtId="165" fontId="47" fillId="0" borderId="43" xfId="2" applyNumberFormat="1" applyFont="1" applyFill="1" applyBorder="1" applyAlignment="1" applyProtection="1">
      <alignment wrapText="1"/>
      <protection locked="0"/>
    </xf>
    <xf numFmtId="165" fontId="47" fillId="0" borderId="29" xfId="2" applyNumberFormat="1" applyFont="1" applyFill="1" applyBorder="1" applyAlignment="1" applyProtection="1">
      <alignment wrapText="1"/>
      <protection locked="0"/>
    </xf>
    <xf numFmtId="0" fontId="48" fillId="8" borderId="1" xfId="2" applyFont="1" applyFill="1" applyBorder="1" applyAlignment="1" applyProtection="1">
      <alignment horizontal="center" vertical="center" wrapText="1"/>
      <protection locked="0"/>
    </xf>
    <xf numFmtId="164" fontId="48" fillId="8" borderId="33" xfId="2" applyNumberFormat="1" applyFont="1" applyFill="1" applyBorder="1" applyAlignment="1" applyProtection="1">
      <alignment wrapText="1"/>
      <protection locked="0"/>
    </xf>
    <xf numFmtId="165" fontId="48" fillId="8" borderId="35" xfId="2" applyNumberFormat="1" applyFont="1" applyFill="1" applyBorder="1" applyAlignment="1" applyProtection="1">
      <alignment wrapText="1"/>
      <protection locked="0"/>
    </xf>
    <xf numFmtId="165" fontId="48" fillId="8" borderId="36" xfId="2" applyNumberFormat="1" applyFont="1" applyFill="1" applyBorder="1" applyAlignment="1" applyProtection="1">
      <alignment wrapText="1"/>
      <protection locked="0"/>
    </xf>
    <xf numFmtId="165" fontId="48" fillId="8" borderId="33" xfId="2" applyNumberFormat="1" applyFont="1" applyFill="1" applyBorder="1" applyAlignment="1" applyProtection="1">
      <alignment wrapText="1"/>
      <protection locked="0"/>
    </xf>
    <xf numFmtId="165" fontId="48" fillId="8" borderId="34" xfId="2" applyNumberFormat="1" applyFont="1" applyFill="1" applyBorder="1" applyAlignment="1" applyProtection="1">
      <alignment wrapText="1"/>
      <protection locked="0"/>
    </xf>
    <xf numFmtId="3" fontId="47" fillId="5" borderId="41" xfId="2" applyNumberFormat="1" applyFont="1" applyFill="1" applyBorder="1" applyAlignment="1" applyProtection="1">
      <alignment horizontal="right" vertical="center" indent="1"/>
      <protection locked="0"/>
    </xf>
    <xf numFmtId="3" fontId="0" fillId="5" borderId="49" xfId="0" applyNumberFormat="1" applyFill="1" applyBorder="1" applyAlignment="1">
      <alignment horizontal="right" vertical="center" indent="1"/>
    </xf>
    <xf numFmtId="3" fontId="47" fillId="5" borderId="44" xfId="2" applyNumberFormat="1" applyFont="1" applyFill="1" applyBorder="1" applyAlignment="1" applyProtection="1">
      <alignment horizontal="right" vertical="center" indent="1"/>
      <protection locked="0"/>
    </xf>
    <xf numFmtId="3" fontId="0" fillId="5" borderId="43" xfId="0" applyNumberFormat="1" applyFill="1" applyBorder="1" applyAlignment="1">
      <alignment horizontal="right" vertical="center" indent="1"/>
    </xf>
    <xf numFmtId="0" fontId="45" fillId="0" borderId="9" xfId="0" applyFont="1" applyBorder="1" applyAlignment="1">
      <alignment horizontal="right" vertical="center" indent="1"/>
    </xf>
    <xf numFmtId="3" fontId="48" fillId="5" borderId="33" xfId="2" applyNumberFormat="1" applyFont="1" applyFill="1" applyBorder="1" applyAlignment="1" applyProtection="1">
      <alignment horizontal="right" vertical="center" indent="1"/>
      <protection locked="0"/>
    </xf>
    <xf numFmtId="3" fontId="45" fillId="5" borderId="36" xfId="0" applyNumberFormat="1" applyFont="1" applyFill="1" applyBorder="1" applyAlignment="1">
      <alignment horizontal="right" vertical="center" indent="1"/>
    </xf>
    <xf numFmtId="1" fontId="4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" fontId="4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79" fontId="47" fillId="5" borderId="28" xfId="2" applyNumberFormat="1" applyFont="1" applyFill="1" applyBorder="1" applyAlignment="1" applyProtection="1">
      <alignment horizontal="right" vertical="center" wrapText="1" indent="1"/>
      <protection locked="0"/>
    </xf>
    <xf numFmtId="179" fontId="0" fillId="5" borderId="31" xfId="0" applyNumberFormat="1" applyFill="1" applyBorder="1" applyAlignment="1">
      <alignment horizontal="right" vertical="center" indent="1"/>
    </xf>
    <xf numFmtId="179" fontId="4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3" fontId="47" fillId="0" borderId="20" xfId="2" applyNumberFormat="1" applyFont="1" applyFill="1" applyBorder="1" applyAlignment="1" applyProtection="1">
      <alignment horizontal="right" vertical="center" wrapText="1" indent="1"/>
    </xf>
    <xf numFmtId="3" fontId="47" fillId="0" borderId="12" xfId="2" applyNumberFormat="1" applyFont="1" applyFill="1" applyBorder="1" applyAlignment="1" applyProtection="1">
      <alignment horizontal="right" vertical="center" wrapText="1" indent="1"/>
    </xf>
    <xf numFmtId="41" fontId="4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3" fontId="48" fillId="0" borderId="1" xfId="2" applyNumberFormat="1" applyFont="1" applyFill="1" applyBorder="1" applyAlignment="1" applyProtection="1">
      <alignment horizontal="right" vertical="center" wrapText="1" indent="1"/>
      <protection locked="0"/>
    </xf>
    <xf numFmtId="3" fontId="45" fillId="0" borderId="9" xfId="0" applyNumberFormat="1" applyFont="1" applyBorder="1" applyAlignment="1">
      <alignment horizontal="right" vertical="center" indent="1"/>
    </xf>
    <xf numFmtId="165" fontId="7" fillId="0" borderId="0" xfId="2" applyNumberFormat="1" applyFont="1" applyAlignment="1">
      <alignment vertical="center"/>
    </xf>
    <xf numFmtId="165" fontId="20" fillId="0" borderId="0" xfId="0" applyNumberFormat="1" applyFont="1" applyAlignment="1" applyProtection="1">
      <alignment vertical="center"/>
    </xf>
    <xf numFmtId="4" fontId="0" fillId="0" borderId="0" xfId="0" applyNumberFormat="1" applyAlignment="1">
      <alignment horizontal="center" vertical="center"/>
    </xf>
    <xf numFmtId="4" fontId="45" fillId="0" borderId="0" xfId="0" applyNumberFormat="1" applyFont="1" applyAlignment="1">
      <alignment vertical="center"/>
    </xf>
    <xf numFmtId="3" fontId="56" fillId="0" borderId="0" xfId="0" applyNumberFormat="1" applyFont="1" applyAlignment="1">
      <alignment vertical="center"/>
    </xf>
    <xf numFmtId="3" fontId="57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39" fillId="0" borderId="0" xfId="0" applyNumberFormat="1" applyFont="1" applyAlignment="1">
      <alignment vertical="center"/>
    </xf>
    <xf numFmtId="3" fontId="61" fillId="0" borderId="0" xfId="0" applyNumberFormat="1" applyFont="1" applyAlignment="1">
      <alignment vertical="center"/>
    </xf>
    <xf numFmtId="0" fontId="5" fillId="0" borderId="53" xfId="2" applyFont="1" applyFill="1" applyBorder="1" applyAlignment="1" applyProtection="1">
      <alignment horizontal="center" vertical="center" wrapText="1"/>
    </xf>
    <xf numFmtId="0" fontId="47" fillId="0" borderId="53" xfId="2" applyFont="1" applyFill="1" applyBorder="1" applyAlignment="1" applyProtection="1">
      <alignment horizontal="center" vertical="center" wrapText="1"/>
      <protection locked="0"/>
    </xf>
    <xf numFmtId="0" fontId="5" fillId="0" borderId="53" xfId="2" applyFont="1" applyFill="1" applyBorder="1" applyAlignment="1" applyProtection="1">
      <alignment horizontal="center" vertical="center" wrapText="1"/>
      <protection locked="0"/>
    </xf>
    <xf numFmtId="0" fontId="38" fillId="0" borderId="53" xfId="2" applyFont="1" applyFill="1" applyBorder="1" applyAlignment="1" applyProtection="1">
      <alignment horizontal="center" vertical="center" wrapText="1"/>
      <protection locked="0"/>
    </xf>
    <xf numFmtId="3" fontId="61" fillId="4" borderId="0" xfId="0" applyNumberFormat="1" applyFont="1" applyFill="1" applyAlignment="1">
      <alignment vertical="center"/>
    </xf>
    <xf numFmtId="3" fontId="48" fillId="0" borderId="54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38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55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37" xfId="2" applyNumberFormat="1" applyFont="1" applyFill="1" applyBorder="1" applyAlignment="1" applyProtection="1">
      <alignment horizontal="center" vertical="center" wrapText="1"/>
      <protection locked="0"/>
    </xf>
    <xf numFmtId="0" fontId="48" fillId="0" borderId="54" xfId="2" applyFont="1" applyFill="1" applyBorder="1" applyAlignment="1" applyProtection="1">
      <alignment horizontal="center" vertical="center" wrapText="1"/>
      <protection locked="0"/>
    </xf>
    <xf numFmtId="0" fontId="48" fillId="0" borderId="55" xfId="2" applyFont="1" applyFill="1" applyBorder="1" applyAlignment="1" applyProtection="1">
      <alignment horizontal="center" vertical="center" wrapText="1"/>
      <protection locked="0"/>
    </xf>
    <xf numFmtId="0" fontId="43" fillId="0" borderId="53" xfId="2" applyFont="1" applyFill="1" applyBorder="1" applyAlignment="1" applyProtection="1">
      <alignment horizontal="center" vertical="center" wrapText="1"/>
      <protection locked="0"/>
    </xf>
    <xf numFmtId="0" fontId="47" fillId="4" borderId="53" xfId="2" applyFont="1" applyFill="1" applyBorder="1" applyAlignment="1" applyProtection="1">
      <alignment horizontal="center" vertical="center" wrapText="1"/>
      <protection locked="0"/>
    </xf>
    <xf numFmtId="3" fontId="47" fillId="0" borderId="53" xfId="2" applyNumberFormat="1" applyFont="1" applyFill="1" applyBorder="1" applyAlignment="1" applyProtection="1">
      <alignment horizontal="center" vertical="center" wrapText="1"/>
      <protection locked="0"/>
    </xf>
    <xf numFmtId="3" fontId="49" fillId="4" borderId="0" xfId="0" applyNumberFormat="1" applyFont="1" applyFill="1" applyBorder="1" applyAlignment="1">
      <alignment horizontal="right" vertical="center" wrapText="1"/>
    </xf>
    <xf numFmtId="3" fontId="49" fillId="0" borderId="6" xfId="0" applyNumberFormat="1" applyFont="1" applyFill="1" applyBorder="1" applyAlignment="1">
      <alignment horizontal="center"/>
    </xf>
    <xf numFmtId="3" fontId="49" fillId="0" borderId="6" xfId="0" applyNumberFormat="1" applyFont="1" applyFill="1" applyBorder="1" applyAlignment="1">
      <alignment horizontal="right" vertical="center" indent="1"/>
    </xf>
    <xf numFmtId="3" fontId="47" fillId="0" borderId="51" xfId="2" applyNumberFormat="1" applyFont="1" applyFill="1" applyBorder="1" applyAlignment="1" applyProtection="1">
      <alignment horizontal="center" vertical="center" wrapText="1"/>
      <protection locked="0"/>
    </xf>
    <xf numFmtId="3" fontId="49" fillId="0" borderId="10" xfId="0" applyNumberFormat="1" applyFont="1" applyFill="1" applyBorder="1" applyAlignment="1">
      <alignment horizontal="center"/>
    </xf>
    <xf numFmtId="3" fontId="47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30" xfId="1" applyNumberFormat="1" applyFont="1" applyFill="1" applyBorder="1" applyAlignment="1" applyProtection="1">
      <alignment horizontal="center" vertical="center" wrapText="1"/>
      <protection locked="0"/>
    </xf>
    <xf numFmtId="3" fontId="47" fillId="4" borderId="30" xfId="1" applyNumberFormat="1" applyFont="1" applyFill="1" applyBorder="1" applyAlignment="1" applyProtection="1">
      <alignment horizontal="center" vertical="center" wrapText="1"/>
      <protection locked="0"/>
    </xf>
    <xf numFmtId="3" fontId="47" fillId="0" borderId="30" xfId="3" applyNumberFormat="1" applyFont="1" applyFill="1" applyBorder="1" applyAlignment="1" applyProtection="1">
      <alignment horizontal="center" vertical="center" wrapText="1"/>
      <protection locked="0"/>
    </xf>
    <xf numFmtId="3" fontId="47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47" fillId="0" borderId="69" xfId="2" applyFont="1" applyBorder="1" applyAlignment="1">
      <alignment horizontal="left" vertical="center" wrapText="1"/>
    </xf>
    <xf numFmtId="0" fontId="47" fillId="0" borderId="62" xfId="2" applyFont="1" applyBorder="1" applyAlignment="1">
      <alignment horizontal="center" vertical="center" wrapText="1"/>
    </xf>
    <xf numFmtId="0" fontId="47" fillId="0" borderId="44" xfId="2" applyFont="1" applyBorder="1" applyAlignment="1">
      <alignment horizontal="center" vertical="center" wrapText="1"/>
    </xf>
    <xf numFmtId="0" fontId="47" fillId="0" borderId="18" xfId="2" applyFont="1" applyBorder="1" applyAlignment="1">
      <alignment horizontal="center" vertical="center" wrapText="1"/>
    </xf>
    <xf numFmtId="3" fontId="47" fillId="0" borderId="59" xfId="2" applyNumberFormat="1" applyFont="1" applyFill="1" applyBorder="1" applyAlignment="1" applyProtection="1">
      <alignment horizontal="center" vertical="center"/>
      <protection locked="0"/>
    </xf>
    <xf numFmtId="3" fontId="47" fillId="0" borderId="60" xfId="2" applyNumberFormat="1" applyFont="1" applyFill="1" applyBorder="1" applyAlignment="1" applyProtection="1">
      <alignment horizontal="center" vertical="center"/>
      <protection locked="0"/>
    </xf>
    <xf numFmtId="3" fontId="47" fillId="0" borderId="61" xfId="2" applyNumberFormat="1" applyFont="1" applyFill="1" applyBorder="1" applyAlignment="1" applyProtection="1">
      <alignment horizontal="center" vertical="center"/>
      <protection locked="0"/>
    </xf>
    <xf numFmtId="0" fontId="48" fillId="0" borderId="33" xfId="2" applyFont="1" applyBorder="1" applyAlignment="1" applyProtection="1">
      <alignment horizontal="center" vertical="center"/>
      <protection locked="0"/>
    </xf>
    <xf numFmtId="0" fontId="48" fillId="0" borderId="35" xfId="2" applyFont="1" applyBorder="1" applyAlignment="1" applyProtection="1">
      <alignment horizontal="center" vertical="center"/>
      <protection locked="0"/>
    </xf>
    <xf numFmtId="0" fontId="48" fillId="0" borderId="36" xfId="2" applyFont="1" applyBorder="1" applyAlignment="1" applyProtection="1">
      <alignment horizontal="center" vertical="center"/>
      <protection locked="0"/>
    </xf>
    <xf numFmtId="3" fontId="47" fillId="0" borderId="59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60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61" xfId="2" applyNumberFormat="1" applyFont="1" applyFill="1" applyBorder="1" applyAlignment="1" applyProtection="1">
      <alignment horizontal="center" vertical="center" wrapText="1"/>
      <protection locked="0"/>
    </xf>
    <xf numFmtId="0" fontId="49" fillId="0" borderId="6" xfId="2" applyFont="1" applyFill="1" applyBorder="1" applyAlignment="1" applyProtection="1">
      <alignment horizontal="left" vertical="center"/>
      <protection locked="0"/>
    </xf>
    <xf numFmtId="0" fontId="49" fillId="0" borderId="12" xfId="2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7" fillId="0" borderId="4" xfId="2" applyFont="1" applyFill="1" applyBorder="1" applyAlignment="1" applyProtection="1">
      <alignment horizontal="left" vertical="center"/>
      <protection locked="0"/>
    </xf>
    <xf numFmtId="0" fontId="47" fillId="0" borderId="56" xfId="2" applyFont="1" applyFill="1" applyBorder="1" applyAlignment="1" applyProtection="1">
      <alignment horizontal="left" vertical="center"/>
      <protection locked="0"/>
    </xf>
    <xf numFmtId="0" fontId="47" fillId="0" borderId="4" xfId="2" applyFont="1" applyBorder="1" applyAlignment="1" applyProtection="1">
      <alignment horizontal="left" vertical="center" wrapText="1"/>
      <protection locked="0"/>
    </xf>
    <xf numFmtId="0" fontId="47" fillId="0" borderId="56" xfId="2" applyFont="1" applyBorder="1" applyAlignment="1" applyProtection="1">
      <alignment horizontal="left" vertical="center" wrapText="1"/>
      <protection locked="0"/>
    </xf>
    <xf numFmtId="0" fontId="48" fillId="0" borderId="65" xfId="2" applyFont="1" applyBorder="1" applyAlignment="1" applyProtection="1">
      <alignment horizontal="center" vertical="center"/>
      <protection locked="0"/>
    </xf>
    <xf numFmtId="0" fontId="47" fillId="0" borderId="53" xfId="2" applyFont="1" applyBorder="1" applyAlignment="1">
      <alignment horizontal="left" vertical="center" wrapText="1"/>
    </xf>
    <xf numFmtId="0" fontId="69" fillId="0" borderId="0" xfId="2" applyFont="1" applyBorder="1" applyAlignment="1" applyProtection="1">
      <alignment horizontal="left" vertical="center" wrapText="1"/>
      <protection locked="0"/>
    </xf>
    <xf numFmtId="0" fontId="47" fillId="0" borderId="4" xfId="2" applyFont="1" applyFill="1" applyBorder="1" applyAlignment="1" applyProtection="1">
      <alignment horizontal="center" vertical="center" wrapText="1"/>
      <protection locked="0"/>
    </xf>
    <xf numFmtId="0" fontId="47" fillId="0" borderId="56" xfId="2" applyFont="1" applyFill="1" applyBorder="1" applyAlignment="1" applyProtection="1">
      <alignment horizontal="center" vertical="center" wrapText="1"/>
      <protection locked="0"/>
    </xf>
    <xf numFmtId="0" fontId="47" fillId="0" borderId="10" xfId="2" applyFont="1" applyBorder="1" applyAlignment="1">
      <alignment horizontal="center" vertical="center" wrapText="1"/>
    </xf>
    <xf numFmtId="0" fontId="47" fillId="0" borderId="27" xfId="2" applyFont="1" applyFill="1" applyBorder="1" applyAlignment="1" applyProtection="1">
      <alignment horizontal="center" vertical="center" wrapText="1"/>
      <protection locked="0"/>
    </xf>
    <xf numFmtId="0" fontId="47" fillId="0" borderId="11" xfId="2" applyFont="1" applyFill="1" applyBorder="1" applyAlignment="1" applyProtection="1">
      <alignment horizontal="center" vertical="center" wrapText="1"/>
      <protection locked="0"/>
    </xf>
    <xf numFmtId="0" fontId="47" fillId="0" borderId="28" xfId="2" applyFont="1" applyBorder="1" applyAlignment="1">
      <alignment horizontal="left" vertical="center" wrapText="1"/>
    </xf>
    <xf numFmtId="0" fontId="47" fillId="0" borderId="30" xfId="2" applyFont="1" applyBorder="1" applyAlignment="1">
      <alignment horizontal="left" vertical="center" wrapText="1"/>
    </xf>
    <xf numFmtId="0" fontId="47" fillId="0" borderId="31" xfId="2" applyFont="1" applyBorder="1" applyAlignment="1">
      <alignment horizontal="left" vertical="center" wrapText="1"/>
    </xf>
    <xf numFmtId="0" fontId="47" fillId="0" borderId="54" xfId="2" applyFont="1" applyFill="1" applyBorder="1" applyAlignment="1" applyProtection="1">
      <alignment horizontal="center" vertical="center" wrapText="1"/>
      <protection locked="0"/>
    </xf>
    <xf numFmtId="0" fontId="47" fillId="0" borderId="57" xfId="2" applyFont="1" applyFill="1" applyBorder="1" applyAlignment="1" applyProtection="1">
      <alignment horizontal="center" vertical="center" wrapText="1"/>
      <protection locked="0"/>
    </xf>
    <xf numFmtId="0" fontId="47" fillId="0" borderId="26" xfId="2" applyFont="1" applyFill="1" applyBorder="1" applyAlignment="1" applyProtection="1">
      <alignment horizontal="center" vertical="center" wrapText="1"/>
      <protection locked="0"/>
    </xf>
    <xf numFmtId="0" fontId="47" fillId="0" borderId="58" xfId="2" applyFont="1" applyFill="1" applyBorder="1" applyAlignment="1" applyProtection="1">
      <alignment horizontal="center" vertical="center" wrapText="1"/>
      <protection locked="0"/>
    </xf>
    <xf numFmtId="0" fontId="48" fillId="0" borderId="62" xfId="2" applyFont="1" applyFill="1" applyBorder="1" applyAlignment="1" applyProtection="1">
      <alignment horizontal="center" vertical="center" wrapText="1"/>
      <protection locked="0"/>
    </xf>
    <xf numFmtId="0" fontId="48" fillId="0" borderId="63" xfId="2" applyFont="1" applyFill="1" applyBorder="1" applyAlignment="1" applyProtection="1">
      <alignment horizontal="center" vertical="center" wrapText="1"/>
      <protection locked="0"/>
    </xf>
    <xf numFmtId="0" fontId="48" fillId="0" borderId="37" xfId="2" applyFont="1" applyFill="1" applyBorder="1" applyAlignment="1" applyProtection="1">
      <alignment horizontal="center" vertical="center" wrapText="1"/>
      <protection locked="0"/>
    </xf>
    <xf numFmtId="0" fontId="47" fillId="0" borderId="54" xfId="2" applyFont="1" applyBorder="1" applyAlignment="1" applyProtection="1">
      <alignment horizontal="center" vertical="center"/>
      <protection locked="0"/>
    </xf>
    <xf numFmtId="0" fontId="47" fillId="0" borderId="38" xfId="2" applyFont="1" applyBorder="1" applyAlignment="1" applyProtection="1">
      <alignment horizontal="center" vertical="center"/>
      <protection locked="0"/>
    </xf>
    <xf numFmtId="0" fontId="47" fillId="0" borderId="57" xfId="2" applyFont="1" applyBorder="1" applyAlignment="1" applyProtection="1">
      <alignment horizontal="center" vertical="center"/>
      <protection locked="0"/>
    </xf>
    <xf numFmtId="0" fontId="47" fillId="0" borderId="46" xfId="2" applyFont="1" applyBorder="1" applyAlignment="1" applyProtection="1">
      <alignment horizontal="center" vertical="center"/>
      <protection locked="0"/>
    </xf>
    <xf numFmtId="0" fontId="47" fillId="0" borderId="0" xfId="2" applyFont="1" applyBorder="1" applyAlignment="1" applyProtection="1">
      <alignment horizontal="center" vertical="center"/>
      <protection locked="0"/>
    </xf>
    <xf numFmtId="0" fontId="47" fillId="0" borderId="64" xfId="2" applyFont="1" applyBorder="1" applyAlignment="1" applyProtection="1">
      <alignment horizontal="center" vertical="center"/>
      <protection locked="0"/>
    </xf>
    <xf numFmtId="0" fontId="47" fillId="0" borderId="52" xfId="2" applyFont="1" applyBorder="1" applyAlignment="1" applyProtection="1">
      <alignment horizontal="center" vertical="center"/>
      <protection locked="0"/>
    </xf>
    <xf numFmtId="0" fontId="47" fillId="0" borderId="65" xfId="2" applyFont="1" applyBorder="1" applyAlignment="1" applyProtection="1">
      <alignment horizontal="center" vertical="center"/>
      <protection locked="0"/>
    </xf>
    <xf numFmtId="0" fontId="47" fillId="0" borderId="66" xfId="2" applyFont="1" applyBorder="1" applyAlignment="1" applyProtection="1">
      <alignment horizontal="center" vertical="center"/>
      <protection locked="0"/>
    </xf>
    <xf numFmtId="0" fontId="47" fillId="0" borderId="59" xfId="2" applyFont="1" applyFill="1" applyBorder="1" applyAlignment="1" applyProtection="1">
      <alignment horizontal="center" vertical="center" wrapText="1"/>
      <protection locked="0"/>
    </xf>
    <xf numFmtId="0" fontId="47" fillId="0" borderId="60" xfId="2" applyFont="1" applyFill="1" applyBorder="1" applyAlignment="1" applyProtection="1">
      <alignment horizontal="center" vertical="center" wrapText="1"/>
      <protection locked="0"/>
    </xf>
    <xf numFmtId="0" fontId="47" fillId="0" borderId="61" xfId="2" applyFont="1" applyFill="1" applyBorder="1" applyAlignment="1" applyProtection="1">
      <alignment horizontal="center" vertical="center" wrapText="1"/>
      <protection locked="0"/>
    </xf>
    <xf numFmtId="0" fontId="47" fillId="0" borderId="67" xfId="2" applyFont="1" applyBorder="1" applyAlignment="1" applyProtection="1">
      <alignment horizontal="center" vertical="center" wrapText="1"/>
      <protection locked="0"/>
    </xf>
    <xf numFmtId="0" fontId="47" fillId="0" borderId="68" xfId="2" applyFont="1" applyBorder="1" applyAlignment="1" applyProtection="1">
      <alignment horizontal="center" vertical="center" wrapText="1"/>
      <protection locked="0"/>
    </xf>
    <xf numFmtId="0" fontId="47" fillId="0" borderId="15" xfId="2" applyFont="1" applyBorder="1" applyAlignment="1" applyProtection="1">
      <alignment horizontal="center" vertical="center" wrapText="1"/>
      <protection locked="0"/>
    </xf>
    <xf numFmtId="0" fontId="48" fillId="0" borderId="38" xfId="2" applyFont="1" applyFill="1" applyBorder="1" applyAlignment="1" applyProtection="1">
      <alignment horizontal="center" vertical="center" wrapText="1"/>
      <protection locked="0"/>
    </xf>
    <xf numFmtId="0" fontId="48" fillId="0" borderId="0" xfId="2" applyFont="1" applyFill="1" applyBorder="1" applyAlignment="1" applyProtection="1">
      <alignment horizontal="center" vertical="center" wrapText="1"/>
      <protection locked="0"/>
    </xf>
    <xf numFmtId="0" fontId="48" fillId="0" borderId="65" xfId="2" applyFont="1" applyFill="1" applyBorder="1" applyAlignment="1" applyProtection="1">
      <alignment horizontal="center" vertical="center" wrapText="1"/>
      <protection locked="0"/>
    </xf>
    <xf numFmtId="0" fontId="48" fillId="0" borderId="47" xfId="2" applyFont="1" applyBorder="1" applyAlignment="1" applyProtection="1">
      <alignment horizontal="center" vertical="center" wrapText="1"/>
      <protection locked="0"/>
    </xf>
    <xf numFmtId="0" fontId="48" fillId="0" borderId="3" xfId="2" applyFont="1" applyBorder="1" applyAlignment="1" applyProtection="1">
      <alignment horizontal="center" vertical="center" wrapText="1"/>
      <protection locked="0"/>
    </xf>
    <xf numFmtId="0" fontId="48" fillId="0" borderId="16" xfId="2" applyFont="1" applyBorder="1" applyAlignment="1" applyProtection="1">
      <alignment horizontal="center" vertical="center" wrapText="1"/>
      <protection locked="0"/>
    </xf>
    <xf numFmtId="0" fontId="49" fillId="0" borderId="19" xfId="2" applyFont="1" applyFill="1" applyBorder="1" applyAlignment="1" applyProtection="1">
      <alignment horizontal="left" vertical="center"/>
      <protection locked="0"/>
    </xf>
    <xf numFmtId="0" fontId="49" fillId="0" borderId="20" xfId="2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47" fillId="5" borderId="41" xfId="2" applyFont="1" applyFill="1" applyBorder="1" applyAlignment="1" applyProtection="1">
      <alignment horizontal="center" vertical="center" wrapText="1"/>
      <protection locked="0"/>
    </xf>
    <xf numFmtId="0" fontId="47" fillId="5" borderId="49" xfId="2" applyFont="1" applyFill="1" applyBorder="1" applyAlignment="1" applyProtection="1">
      <alignment horizontal="center" vertical="center" wrapText="1"/>
      <protection locked="0"/>
    </xf>
    <xf numFmtId="0" fontId="47" fillId="5" borderId="10" xfId="2" applyFont="1" applyFill="1" applyBorder="1" applyAlignment="1" applyProtection="1">
      <alignment horizontal="center" vertical="center" wrapText="1"/>
      <protection locked="0"/>
    </xf>
    <xf numFmtId="0" fontId="47" fillId="5" borderId="12" xfId="2" applyFont="1" applyFill="1" applyBorder="1" applyAlignment="1" applyProtection="1">
      <alignment horizontal="center" vertical="center" wrapText="1"/>
      <protection locked="0"/>
    </xf>
    <xf numFmtId="0" fontId="47" fillId="0" borderId="45" xfId="2" applyFont="1" applyBorder="1" applyAlignment="1" applyProtection="1">
      <alignment horizontal="center" vertical="center" wrapText="1"/>
      <protection locked="0"/>
    </xf>
    <xf numFmtId="0" fontId="47" fillId="0" borderId="19" xfId="2" applyFont="1" applyBorder="1" applyAlignment="1" applyProtection="1">
      <alignment horizontal="center" vertical="center" wrapText="1"/>
      <protection locked="0"/>
    </xf>
    <xf numFmtId="0" fontId="49" fillId="0" borderId="4" xfId="2" applyFont="1" applyFill="1" applyBorder="1" applyAlignment="1" applyProtection="1">
      <alignment horizontal="left" vertical="center"/>
      <protection locked="0"/>
    </xf>
    <xf numFmtId="0" fontId="49" fillId="0" borderId="56" xfId="2" applyFont="1" applyFill="1" applyBorder="1" applyAlignment="1" applyProtection="1">
      <alignment horizontal="left" vertical="center"/>
      <protection locked="0"/>
    </xf>
    <xf numFmtId="0" fontId="47" fillId="0" borderId="10" xfId="2" applyFont="1" applyBorder="1" applyAlignment="1">
      <alignment horizontal="left" vertical="center" wrapText="1"/>
    </xf>
    <xf numFmtId="0" fontId="47" fillId="0" borderId="6" xfId="2" applyFont="1" applyBorder="1" applyAlignment="1">
      <alignment horizontal="left" vertical="center" wrapText="1"/>
    </xf>
    <xf numFmtId="0" fontId="47" fillId="0" borderId="12" xfId="2" applyFont="1" applyBorder="1" applyAlignment="1">
      <alignment horizontal="left" vertical="center" wrapText="1"/>
    </xf>
    <xf numFmtId="0" fontId="5" fillId="0" borderId="67" xfId="2" applyFont="1" applyBorder="1" applyAlignment="1" applyProtection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8" fillId="0" borderId="54" xfId="2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6" fillId="0" borderId="41" xfId="2" applyFont="1" applyFill="1" applyBorder="1" applyAlignment="1" applyProtection="1">
      <alignment horizontal="center" vertical="center" wrapText="1"/>
    </xf>
    <xf numFmtId="0" fontId="6" fillId="0" borderId="48" xfId="2" applyFont="1" applyFill="1" applyBorder="1" applyAlignment="1" applyProtection="1">
      <alignment horizontal="center" vertical="center" wrapText="1"/>
    </xf>
    <xf numFmtId="0" fontId="6" fillId="0" borderId="49" xfId="2" applyFont="1" applyFill="1" applyBorder="1" applyAlignment="1" applyProtection="1">
      <alignment horizontal="center" vertical="center" wrapText="1"/>
    </xf>
    <xf numFmtId="0" fontId="5" fillId="0" borderId="26" xfId="2" applyFont="1" applyFill="1" applyBorder="1" applyAlignment="1" applyProtection="1">
      <alignment horizontal="center" vertical="center" wrapText="1"/>
    </xf>
    <xf numFmtId="0" fontId="5" fillId="0" borderId="70" xfId="2" applyFont="1" applyFill="1" applyBorder="1" applyAlignment="1" applyProtection="1">
      <alignment horizontal="center" vertical="center" wrapText="1"/>
    </xf>
    <xf numFmtId="0" fontId="5" fillId="0" borderId="58" xfId="2" applyFont="1" applyFill="1" applyBorder="1" applyAlignment="1" applyProtection="1">
      <alignment horizontal="center" vertical="center" wrapText="1"/>
    </xf>
    <xf numFmtId="0" fontId="5" fillId="0" borderId="46" xfId="2" applyFont="1" applyFill="1" applyBorder="1" applyAlignment="1" applyProtection="1">
      <alignment horizontal="center" vertical="center" wrapText="1"/>
    </xf>
    <xf numFmtId="0" fontId="5" fillId="0" borderId="64" xfId="2" applyFont="1" applyFill="1" applyBorder="1" applyAlignment="1" applyProtection="1">
      <alignment horizontal="center" vertical="center" wrapText="1"/>
    </xf>
    <xf numFmtId="0" fontId="5" fillId="6" borderId="18" xfId="2" applyFont="1" applyFill="1" applyBorder="1" applyAlignment="1" applyProtection="1">
      <alignment horizontal="center" vertical="center" wrapText="1"/>
    </xf>
    <xf numFmtId="0" fontId="5" fillId="6" borderId="20" xfId="2" applyFont="1" applyFill="1" applyBorder="1" applyAlignment="1" applyProtection="1">
      <alignment horizontal="center" vertical="center" wrapText="1"/>
    </xf>
    <xf numFmtId="0" fontId="5" fillId="6" borderId="10" xfId="2" applyFont="1" applyFill="1" applyBorder="1" applyAlignment="1" applyProtection="1">
      <alignment horizontal="center" vertical="center" wrapText="1"/>
    </xf>
    <xf numFmtId="0" fontId="5" fillId="6" borderId="12" xfId="2" applyFont="1" applyFill="1" applyBorder="1" applyAlignment="1" applyProtection="1">
      <alignment horizontal="center" vertical="center" wrapText="1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6" xfId="2" applyFont="1" applyFill="1" applyBorder="1" applyAlignment="1" applyProtection="1">
      <alignment horizontal="center" vertical="center" wrapText="1"/>
    </xf>
    <xf numFmtId="0" fontId="5" fillId="0" borderId="18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8" fillId="0" borderId="19" xfId="2" applyFont="1" applyFill="1" applyBorder="1" applyAlignment="1" applyProtection="1">
      <alignment horizontal="left" vertical="center"/>
    </xf>
    <xf numFmtId="0" fontId="8" fillId="0" borderId="20" xfId="2" applyFont="1" applyFill="1" applyBorder="1" applyAlignment="1" applyProtection="1">
      <alignment horizontal="left" vertical="center"/>
    </xf>
    <xf numFmtId="0" fontId="8" fillId="0" borderId="4" xfId="2" applyFont="1" applyFill="1" applyBorder="1" applyAlignment="1" applyProtection="1">
      <alignment horizontal="left" vertical="center"/>
    </xf>
    <xf numFmtId="0" fontId="8" fillId="0" borderId="56" xfId="2" applyFont="1" applyFill="1" applyBorder="1" applyAlignment="1" applyProtection="1">
      <alignment horizontal="left" vertical="center"/>
    </xf>
    <xf numFmtId="0" fontId="8" fillId="0" borderId="6" xfId="2" applyFont="1" applyFill="1" applyBorder="1" applyAlignment="1" applyProtection="1">
      <alignment horizontal="left" vertical="center"/>
    </xf>
    <xf numFmtId="0" fontId="8" fillId="0" borderId="12" xfId="2" applyFont="1" applyFill="1" applyBorder="1" applyAlignment="1" applyProtection="1">
      <alignment horizontal="left" vertical="center"/>
    </xf>
    <xf numFmtId="0" fontId="5" fillId="0" borderId="10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12" xfId="2" applyFont="1" applyBorder="1" applyAlignment="1" applyProtection="1">
      <alignment horizontal="left" vertical="center" wrapText="1"/>
    </xf>
    <xf numFmtId="0" fontId="5" fillId="0" borderId="28" xfId="2" applyFont="1" applyBorder="1" applyAlignment="1" applyProtection="1">
      <alignment horizontal="left" vertical="center" wrapText="1"/>
    </xf>
    <xf numFmtId="0" fontId="5" fillId="0" borderId="30" xfId="2" applyFont="1" applyBorder="1" applyAlignment="1" applyProtection="1">
      <alignment horizontal="left" vertical="center" wrapText="1"/>
    </xf>
    <xf numFmtId="0" fontId="5" fillId="0" borderId="31" xfId="2" applyFont="1" applyBorder="1" applyAlignment="1" applyProtection="1">
      <alignment horizontal="left" vertical="center" wrapText="1"/>
    </xf>
    <xf numFmtId="0" fontId="21" fillId="0" borderId="33" xfId="2" applyFont="1" applyBorder="1" applyAlignment="1" applyProtection="1">
      <alignment horizontal="center" vertical="center"/>
    </xf>
    <xf numFmtId="0" fontId="21" fillId="0" borderId="35" xfId="2" applyFont="1" applyBorder="1" applyAlignment="1" applyProtection="1">
      <alignment horizontal="center" vertical="center"/>
    </xf>
    <xf numFmtId="0" fontId="21" fillId="0" borderId="36" xfId="2" applyFont="1" applyBorder="1" applyAlignment="1" applyProtection="1">
      <alignment horizontal="center" vertical="center"/>
    </xf>
    <xf numFmtId="0" fontId="7" fillId="0" borderId="47" xfId="2" applyFont="1" applyBorder="1" applyAlignment="1" applyProtection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16" xfId="2" applyFont="1" applyBorder="1" applyAlignment="1" applyProtection="1">
      <alignment horizontal="center" vertical="center" wrapText="1"/>
    </xf>
    <xf numFmtId="0" fontId="28" fillId="0" borderId="38" xfId="2" applyFont="1" applyFill="1" applyBorder="1" applyAlignment="1" applyProtection="1">
      <alignment horizontal="center" vertical="center" wrapText="1"/>
    </xf>
    <xf numFmtId="0" fontId="28" fillId="0" borderId="0" xfId="2" applyFont="1" applyFill="1" applyBorder="1" applyAlignment="1" applyProtection="1">
      <alignment horizontal="center" vertical="center" wrapText="1"/>
    </xf>
    <xf numFmtId="0" fontId="28" fillId="0" borderId="65" xfId="2" applyFont="1" applyFill="1" applyBorder="1" applyAlignment="1" applyProtection="1">
      <alignment horizontal="center" vertical="center" wrapText="1"/>
    </xf>
    <xf numFmtId="0" fontId="5" fillId="0" borderId="59" xfId="2" applyFont="1" applyFill="1" applyBorder="1" applyAlignment="1" applyProtection="1">
      <alignment horizontal="center" vertical="center"/>
    </xf>
    <xf numFmtId="0" fontId="5" fillId="0" borderId="60" xfId="2" applyFont="1" applyFill="1" applyBorder="1" applyAlignment="1" applyProtection="1">
      <alignment horizontal="center" vertical="center"/>
    </xf>
    <xf numFmtId="0" fontId="5" fillId="0" borderId="61" xfId="2" applyFont="1" applyFill="1" applyBorder="1" applyAlignment="1" applyProtection="1">
      <alignment horizontal="center" vertical="center"/>
    </xf>
    <xf numFmtId="0" fontId="5" fillId="0" borderId="59" xfId="2" applyFont="1" applyFill="1" applyBorder="1" applyAlignment="1" applyProtection="1">
      <alignment horizontal="center" vertical="center" wrapText="1"/>
    </xf>
    <xf numFmtId="0" fontId="5" fillId="0" borderId="60" xfId="2" applyFont="1" applyFill="1" applyBorder="1" applyAlignment="1" applyProtection="1">
      <alignment horizontal="center" vertical="center" wrapText="1"/>
    </xf>
    <xf numFmtId="0" fontId="5" fillId="0" borderId="61" xfId="2" applyFont="1" applyFill="1" applyBorder="1" applyAlignment="1" applyProtection="1">
      <alignment horizontal="center" vertical="center" wrapText="1"/>
    </xf>
    <xf numFmtId="0" fontId="5" fillId="0" borderId="69" xfId="2" applyFont="1" applyBorder="1" applyAlignment="1" applyProtection="1">
      <alignment horizontal="left" vertical="center" wrapText="1"/>
    </xf>
    <xf numFmtId="0" fontId="21" fillId="0" borderId="65" xfId="2" applyFont="1" applyBorder="1" applyAlignment="1" applyProtection="1">
      <alignment horizontal="center" vertical="center"/>
    </xf>
    <xf numFmtId="0" fontId="5" fillId="0" borderId="62" xfId="2" applyFont="1" applyBorder="1" applyAlignment="1" applyProtection="1">
      <alignment horizontal="center" vertical="center" wrapText="1"/>
    </xf>
    <xf numFmtId="0" fontId="5" fillId="0" borderId="44" xfId="2" applyFont="1" applyBorder="1" applyAlignment="1" applyProtection="1">
      <alignment horizontal="center" vertical="center" wrapText="1"/>
    </xf>
    <xf numFmtId="0" fontId="5" fillId="0" borderId="45" xfId="2" applyFont="1" applyBorder="1" applyAlignment="1" applyProtection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</xf>
    <xf numFmtId="0" fontId="5" fillId="0" borderId="53" xfId="2" applyFont="1" applyBorder="1" applyAlignment="1" applyProtection="1">
      <alignment horizontal="left" vertical="center" wrapText="1"/>
    </xf>
    <xf numFmtId="0" fontId="5" fillId="0" borderId="4" xfId="2" applyFont="1" applyFill="1" applyBorder="1" applyAlignment="1" applyProtection="1">
      <alignment horizontal="left" vertical="center"/>
    </xf>
    <xf numFmtId="0" fontId="5" fillId="0" borderId="53" xfId="2" applyFont="1" applyFill="1" applyBorder="1" applyAlignment="1" applyProtection="1">
      <alignment horizontal="left" vertical="center"/>
    </xf>
    <xf numFmtId="0" fontId="47" fillId="0" borderId="19" xfId="2" applyFont="1" applyBorder="1" applyAlignment="1" applyProtection="1">
      <alignment horizontal="right" vertical="center"/>
      <protection locked="0"/>
    </xf>
    <xf numFmtId="0" fontId="47" fillId="0" borderId="6" xfId="2" applyFont="1" applyBorder="1" applyAlignment="1" applyProtection="1">
      <alignment horizontal="right" vertical="center"/>
      <protection locked="0"/>
    </xf>
    <xf numFmtId="0" fontId="47" fillId="0" borderId="59" xfId="2" applyFont="1" applyFill="1" applyBorder="1" applyAlignment="1" applyProtection="1">
      <alignment horizontal="center" vertical="center"/>
      <protection locked="0"/>
    </xf>
    <xf numFmtId="0" fontId="47" fillId="0" borderId="60" xfId="2" applyFont="1" applyFill="1" applyBorder="1" applyAlignment="1" applyProtection="1">
      <alignment horizontal="center" vertical="center"/>
      <protection locked="0"/>
    </xf>
    <xf numFmtId="0" fontId="47" fillId="0" borderId="61" xfId="2" applyFont="1" applyFill="1" applyBorder="1" applyAlignment="1" applyProtection="1">
      <alignment horizontal="center" vertical="center"/>
      <protection locked="0"/>
    </xf>
    <xf numFmtId="4" fontId="49" fillId="0" borderId="6" xfId="0" applyNumberFormat="1" applyFont="1" applyBorder="1" applyAlignment="1">
      <alignment horizontal="center" vertical="center"/>
    </xf>
    <xf numFmtId="0" fontId="71" fillId="0" borderId="0" xfId="2" applyFont="1" applyAlignment="1" applyProtection="1">
      <alignment vertical="center"/>
      <protection locked="0"/>
    </xf>
    <xf numFmtId="0" fontId="72" fillId="0" borderId="0" xfId="0" applyFont="1" applyAlignment="1">
      <alignment vertical="center"/>
    </xf>
    <xf numFmtId="0" fontId="31" fillId="0" borderId="0" xfId="2" applyFont="1" applyAlignment="1" applyProtection="1">
      <alignment vertical="center"/>
      <protection locked="0"/>
    </xf>
    <xf numFmtId="0" fontId="70" fillId="0" borderId="0" xfId="0" applyFont="1" applyAlignment="1">
      <alignment vertical="center"/>
    </xf>
    <xf numFmtId="0" fontId="33" fillId="0" borderId="6" xfId="2" applyFont="1" applyBorder="1" applyAlignment="1" applyProtection="1">
      <alignment horizontal="center" vertical="center" textRotation="90" wrapText="1"/>
      <protection locked="0"/>
    </xf>
    <xf numFmtId="0" fontId="70" fillId="0" borderId="6" xfId="0" applyFont="1" applyBorder="1" applyAlignment="1">
      <alignment horizontal="center" vertical="center" textRotation="90" wrapText="1"/>
    </xf>
    <xf numFmtId="0" fontId="33" fillId="0" borderId="6" xfId="2" applyFont="1" applyBorder="1" applyAlignment="1" applyProtection="1">
      <alignment horizontal="center" vertical="center"/>
      <protection locked="0"/>
    </xf>
    <xf numFmtId="0" fontId="70" fillId="0" borderId="6" xfId="0" applyFont="1" applyBorder="1" applyAlignment="1">
      <alignment horizontal="center" vertical="center"/>
    </xf>
    <xf numFmtId="0" fontId="33" fillId="0" borderId="6" xfId="2" applyFont="1" applyFill="1" applyBorder="1" applyAlignment="1" applyProtection="1">
      <alignment horizontal="center" vertical="center" wrapText="1"/>
      <protection locked="0"/>
    </xf>
    <xf numFmtId="0" fontId="33" fillId="6" borderId="6" xfId="2" applyFont="1" applyFill="1" applyBorder="1" applyAlignment="1" applyProtection="1">
      <alignment horizontal="center" vertical="center" wrapText="1"/>
      <protection locked="0"/>
    </xf>
    <xf numFmtId="0" fontId="31" fillId="0" borderId="30" xfId="2" applyFont="1" applyBorder="1" applyAlignment="1">
      <alignment horizontal="center" vertical="center" textRotation="90" wrapText="1"/>
    </xf>
    <xf numFmtId="0" fontId="31" fillId="0" borderId="45" xfId="2" applyFont="1" applyBorder="1" applyAlignment="1">
      <alignment horizontal="center" vertical="center" textRotation="90" wrapText="1"/>
    </xf>
    <xf numFmtId="0" fontId="31" fillId="0" borderId="19" xfId="2" applyFont="1" applyBorder="1" applyAlignment="1">
      <alignment horizontal="center" vertical="center" textRotation="90" wrapText="1"/>
    </xf>
    <xf numFmtId="0" fontId="70" fillId="0" borderId="6" xfId="2" applyFont="1" applyFill="1" applyBorder="1" applyAlignment="1" applyProtection="1">
      <alignment horizontal="left" vertical="center" indent="1"/>
      <protection locked="0"/>
    </xf>
    <xf numFmtId="0" fontId="33" fillId="0" borderId="6" xfId="2" applyFont="1" applyBorder="1" applyAlignment="1">
      <alignment horizontal="left" vertical="center" wrapText="1" indent="1"/>
    </xf>
    <xf numFmtId="0" fontId="31" fillId="0" borderId="4" xfId="2" applyFont="1" applyBorder="1" applyAlignment="1" applyProtection="1">
      <alignment horizontal="left" vertical="center" indent="1"/>
      <protection locked="0"/>
    </xf>
    <xf numFmtId="0" fontId="31" fillId="0" borderId="53" xfId="2" applyFont="1" applyBorder="1" applyAlignment="1" applyProtection="1">
      <alignment horizontal="left" vertical="center" indent="1"/>
      <protection locked="0"/>
    </xf>
    <xf numFmtId="0" fontId="31" fillId="0" borderId="11" xfId="2" applyFont="1" applyBorder="1" applyAlignment="1" applyProtection="1">
      <alignment horizontal="left" vertical="center" indent="1"/>
      <protection locked="0"/>
    </xf>
    <xf numFmtId="0" fontId="33" fillId="0" borderId="6" xfId="2" applyFont="1" applyFill="1" applyBorder="1" applyAlignment="1" applyProtection="1">
      <alignment horizontal="center" vertical="center"/>
      <protection locked="0"/>
    </xf>
    <xf numFmtId="0" fontId="33" fillId="0" borderId="30" xfId="2" applyFont="1" applyBorder="1" applyAlignment="1" applyProtection="1">
      <alignment horizontal="center" vertical="center" textRotation="90" wrapText="1"/>
      <protection locked="0"/>
    </xf>
    <xf numFmtId="0" fontId="33" fillId="0" borderId="45" xfId="2" applyFont="1" applyBorder="1" applyAlignment="1" applyProtection="1">
      <alignment horizontal="center" vertical="center" textRotation="90" wrapText="1"/>
      <protection locked="0"/>
    </xf>
    <xf numFmtId="0" fontId="33" fillId="0" borderId="19" xfId="2" applyFont="1" applyBorder="1" applyAlignment="1" applyProtection="1">
      <alignment horizontal="center" vertical="center" textRotation="90" wrapText="1"/>
      <protection locked="0"/>
    </xf>
    <xf numFmtId="0" fontId="33" fillId="0" borderId="6" xfId="2" applyFont="1" applyBorder="1" applyAlignment="1" applyProtection="1">
      <alignment horizontal="left" vertical="center" wrapText="1" indent="1"/>
      <protection locked="0"/>
    </xf>
    <xf numFmtId="0" fontId="33" fillId="0" borderId="6" xfId="2" applyFont="1" applyFill="1" applyBorder="1" applyAlignment="1" applyProtection="1">
      <alignment horizontal="left" vertical="center" indent="1"/>
      <protection locked="0"/>
    </xf>
    <xf numFmtId="0" fontId="48" fillId="0" borderId="67" xfId="2" applyFont="1" applyBorder="1" applyAlignment="1" applyProtection="1">
      <alignment horizontal="center" vertical="center" wrapText="1"/>
      <protection locked="0"/>
    </xf>
    <xf numFmtId="0" fontId="48" fillId="0" borderId="68" xfId="2" applyFont="1" applyBorder="1" applyAlignment="1" applyProtection="1">
      <alignment horizontal="center" vertical="center" wrapText="1"/>
      <protection locked="0"/>
    </xf>
    <xf numFmtId="0" fontId="48" fillId="0" borderId="15" xfId="2" applyFont="1" applyBorder="1" applyAlignment="1" applyProtection="1">
      <alignment horizontal="center" vertical="center" wrapText="1"/>
      <protection locked="0"/>
    </xf>
    <xf numFmtId="0" fontId="48" fillId="0" borderId="54" xfId="2" applyFont="1" applyBorder="1" applyAlignment="1" applyProtection="1">
      <alignment horizontal="center" vertical="center"/>
      <protection locked="0"/>
    </xf>
    <xf numFmtId="0" fontId="48" fillId="0" borderId="38" xfId="2" applyFont="1" applyBorder="1" applyAlignment="1" applyProtection="1">
      <alignment horizontal="center" vertical="center"/>
      <protection locked="0"/>
    </xf>
    <xf numFmtId="0" fontId="48" fillId="0" borderId="57" xfId="2" applyFont="1" applyBorder="1" applyAlignment="1" applyProtection="1">
      <alignment horizontal="center" vertical="center"/>
      <protection locked="0"/>
    </xf>
    <xf numFmtId="0" fontId="48" fillId="0" borderId="46" xfId="2" applyFont="1" applyBorder="1" applyAlignment="1" applyProtection="1">
      <alignment horizontal="center" vertical="center"/>
      <protection locked="0"/>
    </xf>
    <xf numFmtId="0" fontId="48" fillId="0" borderId="0" xfId="2" applyFont="1" applyBorder="1" applyAlignment="1" applyProtection="1">
      <alignment horizontal="center" vertical="center"/>
      <protection locked="0"/>
    </xf>
    <xf numFmtId="0" fontId="48" fillId="0" borderId="64" xfId="2" applyFont="1" applyBorder="1" applyAlignment="1" applyProtection="1">
      <alignment horizontal="center" vertical="center"/>
      <protection locked="0"/>
    </xf>
    <xf numFmtId="0" fontId="48" fillId="0" borderId="52" xfId="2" applyFont="1" applyBorder="1" applyAlignment="1" applyProtection="1">
      <alignment horizontal="center" vertical="center"/>
      <protection locked="0"/>
    </xf>
    <xf numFmtId="0" fontId="48" fillId="0" borderId="66" xfId="2" applyFont="1" applyBorder="1" applyAlignment="1" applyProtection="1">
      <alignment horizontal="center" vertical="center"/>
      <protection locked="0"/>
    </xf>
    <xf numFmtId="0" fontId="5" fillId="0" borderId="67" xfId="2" applyFont="1" applyBorder="1" applyAlignment="1" applyProtection="1">
      <alignment horizontal="center" vertical="center" wrapText="1"/>
      <protection locked="0"/>
    </xf>
    <xf numFmtId="0" fontId="5" fillId="0" borderId="68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54" xfId="2" applyFont="1" applyBorder="1" applyAlignment="1" applyProtection="1">
      <alignment horizontal="center" vertical="center"/>
      <protection locked="0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57" xfId="2" applyFont="1" applyBorder="1" applyAlignment="1" applyProtection="1">
      <alignment horizontal="center" vertical="center"/>
      <protection locked="0"/>
    </xf>
    <xf numFmtId="0" fontId="5" fillId="0" borderId="46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0" borderId="64" xfId="2" applyFont="1" applyBorder="1" applyAlignment="1" applyProtection="1">
      <alignment horizontal="center" vertical="center"/>
      <protection locked="0"/>
    </xf>
    <xf numFmtId="0" fontId="5" fillId="0" borderId="52" xfId="2" applyFont="1" applyBorder="1" applyAlignment="1" applyProtection="1">
      <alignment horizontal="center" vertical="center"/>
      <protection locked="0"/>
    </xf>
    <xf numFmtId="0" fontId="5" fillId="0" borderId="65" xfId="2" applyFont="1" applyBorder="1" applyAlignment="1" applyProtection="1">
      <alignment horizontal="center" vertical="center"/>
      <protection locked="0"/>
    </xf>
    <xf numFmtId="0" fontId="5" fillId="0" borderId="66" xfId="2" applyFont="1" applyBorder="1" applyAlignment="1" applyProtection="1">
      <alignment horizontal="center" vertical="center"/>
      <protection locked="0"/>
    </xf>
    <xf numFmtId="0" fontId="7" fillId="0" borderId="62" xfId="2" applyFont="1" applyFill="1" applyBorder="1" applyAlignment="1" applyProtection="1">
      <alignment horizontal="center" vertical="center" wrapText="1"/>
      <protection locked="0"/>
    </xf>
    <xf numFmtId="0" fontId="7" fillId="0" borderId="63" xfId="2" applyFont="1" applyFill="1" applyBorder="1" applyAlignment="1" applyProtection="1">
      <alignment horizontal="center" vertical="center" wrapText="1"/>
      <protection locked="0"/>
    </xf>
    <xf numFmtId="0" fontId="7" fillId="0" borderId="37" xfId="2" applyFont="1" applyFill="1" applyBorder="1" applyAlignment="1" applyProtection="1">
      <alignment horizontal="center" vertical="center" wrapText="1"/>
      <protection locked="0"/>
    </xf>
    <xf numFmtId="0" fontId="5" fillId="0" borderId="59" xfId="2" applyFont="1" applyFill="1" applyBorder="1" applyAlignment="1" applyProtection="1">
      <alignment horizontal="center" vertical="center" wrapText="1"/>
      <protection locked="0"/>
    </xf>
    <xf numFmtId="0" fontId="5" fillId="0" borderId="60" xfId="2" applyFont="1" applyFill="1" applyBorder="1" applyAlignment="1" applyProtection="1">
      <alignment horizontal="center" vertical="center" wrapText="1"/>
      <protection locked="0"/>
    </xf>
    <xf numFmtId="0" fontId="5" fillId="0" borderId="61" xfId="2" applyFont="1" applyFill="1" applyBorder="1" applyAlignment="1" applyProtection="1">
      <alignment horizontal="center" vertical="center" wrapText="1"/>
      <protection locked="0"/>
    </xf>
    <xf numFmtId="0" fontId="5" fillId="0" borderId="54" xfId="2" applyFont="1" applyFill="1" applyBorder="1" applyAlignment="1" applyProtection="1">
      <alignment horizontal="center" vertical="center" wrapText="1"/>
      <protection locked="0"/>
    </xf>
    <xf numFmtId="0" fontId="5" fillId="0" borderId="57" xfId="2" applyFont="1" applyFill="1" applyBorder="1" applyAlignment="1" applyProtection="1">
      <alignment horizontal="center" vertical="center" wrapText="1"/>
      <protection locked="0"/>
    </xf>
    <xf numFmtId="0" fontId="5" fillId="0" borderId="26" xfId="2" applyFont="1" applyFill="1" applyBorder="1" applyAlignment="1" applyProtection="1">
      <alignment horizontal="center" vertical="center" wrapText="1"/>
      <protection locked="0"/>
    </xf>
    <xf numFmtId="0" fontId="5" fillId="0" borderId="58" xfId="2" applyFont="1" applyFill="1" applyBorder="1" applyAlignment="1" applyProtection="1">
      <alignment horizontal="center" vertical="center" wrapText="1"/>
      <protection locked="0"/>
    </xf>
    <xf numFmtId="0" fontId="5" fillId="3" borderId="41" xfId="2" applyFont="1" applyFill="1" applyBorder="1" applyAlignment="1" applyProtection="1">
      <alignment horizontal="center" vertical="center" wrapText="1"/>
      <protection locked="0"/>
    </xf>
    <xf numFmtId="0" fontId="5" fillId="3" borderId="49" xfId="2" applyFont="1" applyFill="1" applyBorder="1" applyAlignment="1" applyProtection="1">
      <alignment horizontal="center" vertical="center" wrapText="1"/>
      <protection locked="0"/>
    </xf>
    <xf numFmtId="0" fontId="5" fillId="3" borderId="10" xfId="2" applyFont="1" applyFill="1" applyBorder="1" applyAlignment="1" applyProtection="1">
      <alignment horizontal="center" vertical="center" wrapText="1"/>
      <protection locked="0"/>
    </xf>
    <xf numFmtId="0" fontId="5" fillId="7" borderId="12" xfId="2" applyFont="1" applyFill="1" applyBorder="1" applyAlignment="1" applyProtection="1">
      <alignment horizontal="center" vertical="center" wrapText="1"/>
      <protection locked="0"/>
    </xf>
    <xf numFmtId="0" fontId="5" fillId="0" borderId="27" xfId="2" applyFont="1" applyFill="1" applyBorder="1" applyAlignment="1" applyProtection="1">
      <alignment horizontal="center" vertical="center" wrapText="1"/>
      <protection locked="0"/>
    </xf>
    <xf numFmtId="0" fontId="5" fillId="0" borderId="11" xfId="2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56" xfId="2" applyFont="1" applyFill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8" fillId="0" borderId="19" xfId="2" applyFont="1" applyFill="1" applyBorder="1" applyAlignment="1" applyProtection="1">
      <alignment horizontal="left" vertical="center"/>
      <protection locked="0"/>
    </xf>
    <xf numFmtId="0" fontId="8" fillId="0" borderId="20" xfId="2" applyFont="1" applyFill="1" applyBorder="1" applyAlignment="1" applyProtection="1">
      <alignment horizontal="left" vertical="center"/>
      <protection locked="0"/>
    </xf>
    <xf numFmtId="0" fontId="8" fillId="0" borderId="4" xfId="2" applyFont="1" applyFill="1" applyBorder="1" applyAlignment="1" applyProtection="1">
      <alignment horizontal="left" vertical="center"/>
      <protection locked="0"/>
    </xf>
    <xf numFmtId="0" fontId="8" fillId="0" borderId="56" xfId="2" applyFont="1" applyFill="1" applyBorder="1" applyAlignment="1" applyProtection="1">
      <alignment horizontal="left" vertical="center"/>
      <protection locked="0"/>
    </xf>
    <xf numFmtId="0" fontId="8" fillId="0" borderId="6" xfId="2" applyFont="1" applyFill="1" applyBorder="1" applyAlignment="1" applyProtection="1">
      <alignment horizontal="left" vertical="center"/>
      <protection locked="0"/>
    </xf>
    <xf numFmtId="0" fontId="8" fillId="0" borderId="12" xfId="2" applyFont="1" applyFill="1" applyBorder="1" applyAlignment="1" applyProtection="1">
      <alignment horizontal="left" vertical="center"/>
      <protection locked="0"/>
    </xf>
    <xf numFmtId="0" fontId="5" fillId="0" borderId="10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left" vertical="center" wrapText="1"/>
    </xf>
    <xf numFmtId="0" fontId="5" fillId="0" borderId="28" xfId="2" applyFont="1" applyBorder="1" applyAlignment="1">
      <alignment horizontal="left" vertical="center" wrapText="1"/>
    </xf>
    <xf numFmtId="0" fontId="5" fillId="0" borderId="30" xfId="2" applyFont="1" applyBorder="1" applyAlignment="1">
      <alignment horizontal="left" vertical="center" wrapText="1"/>
    </xf>
    <xf numFmtId="0" fontId="5" fillId="0" borderId="31" xfId="2" applyFont="1" applyBorder="1" applyAlignment="1">
      <alignment horizontal="left" vertical="center" wrapText="1"/>
    </xf>
    <xf numFmtId="0" fontId="7" fillId="0" borderId="33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7" fillId="0" borderId="36" xfId="2" applyFont="1" applyBorder="1" applyAlignment="1" applyProtection="1">
      <alignment horizontal="center" vertical="center"/>
      <protection locked="0"/>
    </xf>
    <xf numFmtId="0" fontId="7" fillId="0" borderId="47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horizontal="center" vertical="center" wrapText="1"/>
      <protection locked="0"/>
    </xf>
    <xf numFmtId="0" fontId="7" fillId="0" borderId="38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65" xfId="2" applyFont="1" applyFill="1" applyBorder="1" applyAlignment="1" applyProtection="1">
      <alignment horizontal="center" vertical="center" wrapText="1"/>
      <protection locked="0"/>
    </xf>
    <xf numFmtId="0" fontId="5" fillId="0" borderId="59" xfId="2" applyFont="1" applyFill="1" applyBorder="1" applyAlignment="1" applyProtection="1">
      <alignment horizontal="center" vertical="center"/>
      <protection locked="0"/>
    </xf>
    <xf numFmtId="0" fontId="5" fillId="0" borderId="60" xfId="2" applyFont="1" applyFill="1" applyBorder="1" applyAlignment="1" applyProtection="1">
      <alignment horizontal="center" vertical="center"/>
      <protection locked="0"/>
    </xf>
    <xf numFmtId="0" fontId="5" fillId="0" borderId="61" xfId="2" applyFont="1" applyFill="1" applyBorder="1" applyAlignment="1" applyProtection="1">
      <alignment horizontal="center" vertical="center"/>
      <protection locked="0"/>
    </xf>
    <xf numFmtId="0" fontId="7" fillId="0" borderId="65" xfId="2" applyFont="1" applyBorder="1" applyAlignment="1" applyProtection="1">
      <alignment horizontal="center" vertical="center"/>
      <protection locked="0"/>
    </xf>
    <xf numFmtId="0" fontId="5" fillId="0" borderId="62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0" fontId="5" fillId="0" borderId="45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56" xfId="2" applyFont="1" applyBorder="1" applyAlignment="1" applyProtection="1">
      <alignment horizontal="left" vertical="center" wrapText="1"/>
      <protection locked="0"/>
    </xf>
    <xf numFmtId="0" fontId="5" fillId="0" borderId="4" xfId="2" applyFont="1" applyFill="1" applyBorder="1" applyAlignment="1" applyProtection="1">
      <alignment horizontal="left" vertical="center"/>
      <protection locked="0"/>
    </xf>
    <xf numFmtId="0" fontId="5" fillId="0" borderId="56" xfId="2" applyFont="1" applyFill="1" applyBorder="1" applyAlignment="1" applyProtection="1">
      <alignment horizontal="left" vertical="center"/>
      <protection locked="0"/>
    </xf>
    <xf numFmtId="0" fontId="5" fillId="0" borderId="53" xfId="2" applyFont="1" applyBorder="1" applyAlignment="1">
      <alignment horizontal="left" vertical="center" wrapText="1"/>
    </xf>
    <xf numFmtId="0" fontId="5" fillId="0" borderId="69" xfId="2" applyFont="1" applyBorder="1" applyAlignment="1">
      <alignment horizontal="left" vertical="center" wrapText="1"/>
    </xf>
    <xf numFmtId="0" fontId="7" fillId="0" borderId="9" xfId="2" applyFont="1" applyFill="1" applyBorder="1" applyAlignment="1" applyProtection="1">
      <alignment horizontal="center" vertical="center" wrapText="1"/>
      <protection locked="0"/>
    </xf>
    <xf numFmtId="0" fontId="7" fillId="0" borderId="71" xfId="2" applyFont="1" applyFill="1" applyBorder="1" applyAlignment="1" applyProtection="1">
      <alignment horizontal="center" vertical="center" wrapText="1"/>
      <protection locked="0"/>
    </xf>
    <xf numFmtId="0" fontId="7" fillId="0" borderId="72" xfId="2" applyFont="1" applyFill="1" applyBorder="1" applyAlignment="1" applyProtection="1">
      <alignment horizontal="center" vertical="center" wrapText="1"/>
      <protection locked="0"/>
    </xf>
    <xf numFmtId="0" fontId="5" fillId="7" borderId="41" xfId="2" applyFont="1" applyFill="1" applyBorder="1" applyAlignment="1" applyProtection="1">
      <alignment horizontal="center" vertical="center" wrapText="1"/>
      <protection locked="0"/>
    </xf>
    <xf numFmtId="0" fontId="5" fillId="7" borderId="49" xfId="2" applyFont="1" applyFill="1" applyBorder="1" applyAlignment="1" applyProtection="1">
      <alignment horizontal="center" vertical="center" wrapText="1"/>
      <protection locked="0"/>
    </xf>
    <xf numFmtId="0" fontId="5" fillId="7" borderId="10" xfId="2" applyFont="1" applyFill="1" applyBorder="1" applyAlignment="1" applyProtection="1">
      <alignment horizontal="center" vertical="center" wrapText="1"/>
      <protection locked="0"/>
    </xf>
    <xf numFmtId="0" fontId="5" fillId="7" borderId="60" xfId="2" applyFont="1" applyFill="1" applyBorder="1" applyAlignment="1" applyProtection="1">
      <alignment horizontal="center" vertical="center"/>
      <protection locked="0"/>
    </xf>
    <xf numFmtId="0" fontId="5" fillId="7" borderId="61" xfId="2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9" xfId="2" applyFont="1" applyFill="1" applyBorder="1" applyAlignment="1" applyProtection="1">
      <alignment horizontal="left" vertical="center"/>
      <protection locked="0"/>
    </xf>
    <xf numFmtId="0" fontId="5" fillId="0" borderId="20" xfId="2" applyFont="1" applyFill="1" applyBorder="1" applyAlignment="1" applyProtection="1">
      <alignment horizontal="left" vertical="center"/>
      <protection locked="0"/>
    </xf>
    <xf numFmtId="0" fontId="5" fillId="0" borderId="6" xfId="2" applyFont="1" applyFill="1" applyBorder="1" applyAlignment="1" applyProtection="1">
      <alignment horizontal="left" vertical="center"/>
      <protection locked="0"/>
    </xf>
    <xf numFmtId="0" fontId="5" fillId="0" borderId="12" xfId="2" applyFont="1" applyFill="1" applyBorder="1" applyAlignment="1" applyProtection="1">
      <alignment horizontal="left" vertical="center"/>
      <protection locked="0"/>
    </xf>
    <xf numFmtId="0" fontId="5" fillId="0" borderId="10" xfId="2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5" fillId="0" borderId="12" xfId="2" applyFont="1" applyFill="1" applyBorder="1" applyAlignment="1">
      <alignment horizontal="left" vertical="center" wrapText="1"/>
    </xf>
    <xf numFmtId="0" fontId="5" fillId="0" borderId="28" xfId="2" applyFont="1" applyFill="1" applyBorder="1" applyAlignment="1">
      <alignment horizontal="left" vertical="center" wrapText="1"/>
    </xf>
    <xf numFmtId="0" fontId="5" fillId="0" borderId="30" xfId="2" applyFont="1" applyFill="1" applyBorder="1" applyAlignment="1">
      <alignment horizontal="left" vertical="center" wrapText="1"/>
    </xf>
    <xf numFmtId="0" fontId="5" fillId="0" borderId="31" xfId="2" applyFont="1" applyFill="1" applyBorder="1" applyAlignment="1">
      <alignment horizontal="left" vertical="center" wrapText="1"/>
    </xf>
    <xf numFmtId="0" fontId="38" fillId="0" borderId="67" xfId="2" applyFont="1" applyBorder="1" applyAlignment="1" applyProtection="1">
      <alignment horizontal="center" vertical="center" wrapText="1"/>
      <protection locked="0"/>
    </xf>
    <xf numFmtId="0" fontId="38" fillId="0" borderId="68" xfId="2" applyFont="1" applyBorder="1" applyAlignment="1" applyProtection="1">
      <alignment horizontal="center" vertical="center" wrapText="1"/>
      <protection locked="0"/>
    </xf>
    <xf numFmtId="0" fontId="38" fillId="0" borderId="15" xfId="2" applyFont="1" applyBorder="1" applyAlignment="1" applyProtection="1">
      <alignment horizontal="center" vertical="center" wrapText="1"/>
      <protection locked="0"/>
    </xf>
    <xf numFmtId="0" fontId="38" fillId="0" borderId="54" xfId="2" applyFont="1" applyBorder="1" applyAlignment="1" applyProtection="1">
      <alignment horizontal="center" vertical="center"/>
      <protection locked="0"/>
    </xf>
    <xf numFmtId="0" fontId="38" fillId="0" borderId="38" xfId="2" applyFont="1" applyBorder="1" applyAlignment="1" applyProtection="1">
      <alignment horizontal="center" vertical="center"/>
      <protection locked="0"/>
    </xf>
    <xf numFmtId="0" fontId="38" fillId="0" borderId="57" xfId="2" applyFont="1" applyBorder="1" applyAlignment="1" applyProtection="1">
      <alignment horizontal="center" vertical="center"/>
      <protection locked="0"/>
    </xf>
    <xf numFmtId="0" fontId="38" fillId="0" borderId="46" xfId="2" applyFont="1" applyBorder="1" applyAlignment="1" applyProtection="1">
      <alignment horizontal="center" vertical="center"/>
      <protection locked="0"/>
    </xf>
    <xf numFmtId="0" fontId="38" fillId="0" borderId="0" xfId="2" applyFont="1" applyBorder="1" applyAlignment="1" applyProtection="1">
      <alignment horizontal="center" vertical="center"/>
      <protection locked="0"/>
    </xf>
    <xf numFmtId="0" fontId="38" fillId="0" borderId="64" xfId="2" applyFont="1" applyBorder="1" applyAlignment="1" applyProtection="1">
      <alignment horizontal="center" vertical="center"/>
      <protection locked="0"/>
    </xf>
    <xf numFmtId="0" fontId="38" fillId="0" borderId="52" xfId="2" applyFont="1" applyBorder="1" applyAlignment="1" applyProtection="1">
      <alignment horizontal="center" vertical="center"/>
      <protection locked="0"/>
    </xf>
    <xf numFmtId="0" fontId="38" fillId="0" borderId="65" xfId="2" applyFont="1" applyBorder="1" applyAlignment="1" applyProtection="1">
      <alignment horizontal="center" vertical="center"/>
      <protection locked="0"/>
    </xf>
    <xf numFmtId="0" fontId="38" fillId="0" borderId="66" xfId="2" applyFont="1" applyBorder="1" applyAlignment="1" applyProtection="1">
      <alignment horizontal="center" vertical="center"/>
      <protection locked="0"/>
    </xf>
    <xf numFmtId="0" fontId="37" fillId="0" borderId="62" xfId="2" applyFont="1" applyFill="1" applyBorder="1" applyAlignment="1" applyProtection="1">
      <alignment horizontal="center" vertical="center" wrapText="1"/>
      <protection locked="0"/>
    </xf>
    <xf numFmtId="0" fontId="37" fillId="0" borderId="63" xfId="2" applyFont="1" applyFill="1" applyBorder="1" applyAlignment="1" applyProtection="1">
      <alignment horizontal="center" vertical="center" wrapText="1"/>
      <protection locked="0"/>
    </xf>
    <xf numFmtId="0" fontId="37" fillId="0" borderId="37" xfId="2" applyFont="1" applyFill="1" applyBorder="1" applyAlignment="1" applyProtection="1">
      <alignment horizontal="center" vertical="center" wrapText="1"/>
      <protection locked="0"/>
    </xf>
    <xf numFmtId="0" fontId="38" fillId="0" borderId="59" xfId="2" applyFont="1" applyFill="1" applyBorder="1" applyAlignment="1" applyProtection="1">
      <alignment horizontal="center" vertical="center" wrapText="1"/>
      <protection locked="0"/>
    </xf>
    <xf numFmtId="0" fontId="38" fillId="0" borderId="60" xfId="2" applyFont="1" applyFill="1" applyBorder="1" applyAlignment="1" applyProtection="1">
      <alignment horizontal="center" vertical="center" wrapText="1"/>
      <protection locked="0"/>
    </xf>
    <xf numFmtId="0" fontId="38" fillId="0" borderId="61" xfId="2" applyFont="1" applyFill="1" applyBorder="1" applyAlignment="1" applyProtection="1">
      <alignment horizontal="center" vertical="center" wrapText="1"/>
      <protection locked="0"/>
    </xf>
    <xf numFmtId="0" fontId="38" fillId="0" borderId="54" xfId="2" applyFont="1" applyFill="1" applyBorder="1" applyAlignment="1" applyProtection="1">
      <alignment horizontal="center" vertical="center" wrapText="1"/>
      <protection locked="0"/>
    </xf>
    <xf numFmtId="0" fontId="38" fillId="0" borderId="57" xfId="2" applyFont="1" applyFill="1" applyBorder="1" applyAlignment="1" applyProtection="1">
      <alignment horizontal="center" vertical="center" wrapText="1"/>
      <protection locked="0"/>
    </xf>
    <xf numFmtId="0" fontId="38" fillId="0" borderId="26" xfId="2" applyFont="1" applyFill="1" applyBorder="1" applyAlignment="1" applyProtection="1">
      <alignment horizontal="center" vertical="center" wrapText="1"/>
      <protection locked="0"/>
    </xf>
    <xf numFmtId="0" fontId="38" fillId="0" borderId="58" xfId="2" applyFont="1" applyFill="1" applyBorder="1" applyAlignment="1" applyProtection="1">
      <alignment horizontal="center" vertical="center" wrapText="1"/>
      <protection locked="0"/>
    </xf>
    <xf numFmtId="0" fontId="38" fillId="3" borderId="41" xfId="2" applyFont="1" applyFill="1" applyBorder="1" applyAlignment="1" applyProtection="1">
      <alignment horizontal="center" vertical="center" wrapText="1"/>
      <protection locked="0"/>
    </xf>
    <xf numFmtId="0" fontId="38" fillId="3" borderId="49" xfId="2" applyFont="1" applyFill="1" applyBorder="1" applyAlignment="1" applyProtection="1">
      <alignment horizontal="center" vertical="center" wrapText="1"/>
      <protection locked="0"/>
    </xf>
    <xf numFmtId="0" fontId="38" fillId="3" borderId="10" xfId="2" applyFont="1" applyFill="1" applyBorder="1" applyAlignment="1" applyProtection="1">
      <alignment horizontal="center" vertical="center" wrapText="1"/>
      <protection locked="0"/>
    </xf>
    <xf numFmtId="0" fontId="38" fillId="3" borderId="12" xfId="2" applyFont="1" applyFill="1" applyBorder="1" applyAlignment="1" applyProtection="1">
      <alignment horizontal="center" vertical="center" wrapText="1"/>
      <protection locked="0"/>
    </xf>
    <xf numFmtId="0" fontId="38" fillId="0" borderId="27" xfId="2" applyFont="1" applyFill="1" applyBorder="1" applyAlignment="1" applyProtection="1">
      <alignment horizontal="center" vertical="center" wrapText="1"/>
      <protection locked="0"/>
    </xf>
    <xf numFmtId="0" fontId="38" fillId="0" borderId="11" xfId="2" applyFont="1" applyFill="1" applyBorder="1" applyAlignment="1" applyProtection="1">
      <alignment horizontal="center" vertical="center" wrapText="1"/>
      <protection locked="0"/>
    </xf>
    <xf numFmtId="0" fontId="38" fillId="0" borderId="4" xfId="2" applyFont="1" applyFill="1" applyBorder="1" applyAlignment="1" applyProtection="1">
      <alignment horizontal="center" vertical="center" wrapText="1"/>
      <protection locked="0"/>
    </xf>
    <xf numFmtId="0" fontId="38" fillId="0" borderId="56" xfId="2" applyFont="1" applyFill="1" applyBorder="1" applyAlignment="1" applyProtection="1">
      <alignment horizontal="center" vertical="center" wrapText="1"/>
      <protection locked="0"/>
    </xf>
    <xf numFmtId="0" fontId="38" fillId="0" borderId="18" xfId="2" applyFont="1" applyBorder="1" applyAlignment="1">
      <alignment horizontal="center" vertical="center" wrapText="1"/>
    </xf>
    <xf numFmtId="0" fontId="38" fillId="0" borderId="10" xfId="2" applyFont="1" applyBorder="1" applyAlignment="1">
      <alignment horizontal="center" vertical="center" wrapText="1"/>
    </xf>
    <xf numFmtId="0" fontId="39" fillId="0" borderId="19" xfId="2" applyFont="1" applyFill="1" applyBorder="1" applyAlignment="1" applyProtection="1">
      <alignment horizontal="left" vertical="center"/>
      <protection locked="0"/>
    </xf>
    <xf numFmtId="0" fontId="39" fillId="0" borderId="20" xfId="2" applyFont="1" applyFill="1" applyBorder="1" applyAlignment="1" applyProtection="1">
      <alignment horizontal="left" vertical="center"/>
      <protection locked="0"/>
    </xf>
    <xf numFmtId="0" fontId="39" fillId="0" borderId="4" xfId="2" applyFont="1" applyFill="1" applyBorder="1" applyAlignment="1" applyProtection="1">
      <alignment horizontal="left" vertical="center"/>
      <protection locked="0"/>
    </xf>
    <xf numFmtId="0" fontId="39" fillId="0" borderId="56" xfId="2" applyFont="1" applyFill="1" applyBorder="1" applyAlignment="1" applyProtection="1">
      <alignment horizontal="left" vertical="center"/>
      <protection locked="0"/>
    </xf>
    <xf numFmtId="0" fontId="39" fillId="0" borderId="6" xfId="2" applyFont="1" applyFill="1" applyBorder="1" applyAlignment="1" applyProtection="1">
      <alignment horizontal="left" vertical="center"/>
      <protection locked="0"/>
    </xf>
    <xf numFmtId="0" fontId="39" fillId="0" borderId="12" xfId="2" applyFont="1" applyFill="1" applyBorder="1" applyAlignment="1" applyProtection="1">
      <alignment horizontal="left" vertical="center"/>
      <protection locked="0"/>
    </xf>
    <xf numFmtId="0" fontId="38" fillId="0" borderId="10" xfId="2" applyFont="1" applyBorder="1" applyAlignment="1">
      <alignment horizontal="left" vertical="center" wrapText="1"/>
    </xf>
    <xf numFmtId="0" fontId="38" fillId="0" borderId="6" xfId="2" applyFont="1" applyBorder="1" applyAlignment="1">
      <alignment horizontal="left" vertical="center" wrapText="1"/>
    </xf>
    <xf numFmtId="0" fontId="38" fillId="0" borderId="12" xfId="2" applyFont="1" applyBorder="1" applyAlignment="1">
      <alignment horizontal="left" vertical="center" wrapText="1"/>
    </xf>
    <xf numFmtId="0" fontId="38" fillId="0" borderId="28" xfId="2" applyFont="1" applyBorder="1" applyAlignment="1">
      <alignment horizontal="left" vertical="center" wrapText="1"/>
    </xf>
    <xf numFmtId="0" fontId="38" fillId="0" borderId="30" xfId="2" applyFont="1" applyBorder="1" applyAlignment="1">
      <alignment horizontal="left" vertical="center" wrapText="1"/>
    </xf>
    <xf numFmtId="0" fontId="38" fillId="0" borderId="31" xfId="2" applyFont="1" applyBorder="1" applyAlignment="1">
      <alignment horizontal="left" vertical="center" wrapText="1"/>
    </xf>
    <xf numFmtId="0" fontId="37" fillId="0" borderId="33" xfId="2" applyFont="1" applyBorder="1" applyAlignment="1" applyProtection="1">
      <alignment horizontal="center" vertical="center"/>
      <protection locked="0"/>
    </xf>
    <xf numFmtId="0" fontId="37" fillId="0" borderId="35" xfId="2" applyFont="1" applyBorder="1" applyAlignment="1" applyProtection="1">
      <alignment horizontal="center" vertical="center"/>
      <protection locked="0"/>
    </xf>
    <xf numFmtId="0" fontId="37" fillId="0" borderId="36" xfId="2" applyFont="1" applyBorder="1" applyAlignment="1" applyProtection="1">
      <alignment horizontal="center" vertical="center"/>
      <protection locked="0"/>
    </xf>
    <xf numFmtId="0" fontId="37" fillId="0" borderId="47" xfId="2" applyFont="1" applyBorder="1" applyAlignment="1" applyProtection="1">
      <alignment horizontal="center" vertical="center" wrapText="1"/>
      <protection locked="0"/>
    </xf>
    <xf numFmtId="0" fontId="37" fillId="0" borderId="3" xfId="2" applyFont="1" applyBorder="1" applyAlignment="1" applyProtection="1">
      <alignment horizontal="center" vertical="center" wrapText="1"/>
      <protection locked="0"/>
    </xf>
    <xf numFmtId="0" fontId="37" fillId="0" borderId="16" xfId="2" applyFont="1" applyBorder="1" applyAlignment="1" applyProtection="1">
      <alignment horizontal="center" vertical="center" wrapText="1"/>
      <protection locked="0"/>
    </xf>
    <xf numFmtId="0" fontId="37" fillId="0" borderId="38" xfId="2" applyFont="1" applyFill="1" applyBorder="1" applyAlignment="1" applyProtection="1">
      <alignment horizontal="center" vertical="center" wrapText="1"/>
      <protection locked="0"/>
    </xf>
    <xf numFmtId="0" fontId="37" fillId="0" borderId="0" xfId="2" applyFont="1" applyFill="1" applyBorder="1" applyAlignment="1" applyProtection="1">
      <alignment horizontal="center" vertical="center" wrapText="1"/>
      <protection locked="0"/>
    </xf>
    <xf numFmtId="0" fontId="37" fillId="0" borderId="65" xfId="2" applyFont="1" applyFill="1" applyBorder="1" applyAlignment="1" applyProtection="1">
      <alignment horizontal="center" vertical="center" wrapText="1"/>
      <protection locked="0"/>
    </xf>
    <xf numFmtId="0" fontId="38" fillId="0" borderId="59" xfId="2" applyFont="1" applyFill="1" applyBorder="1" applyAlignment="1" applyProtection="1">
      <alignment horizontal="center" vertical="center"/>
      <protection locked="0"/>
    </xf>
    <xf numFmtId="0" fontId="38" fillId="0" borderId="60" xfId="2" applyFont="1" applyFill="1" applyBorder="1" applyAlignment="1" applyProtection="1">
      <alignment horizontal="center" vertical="center"/>
      <protection locked="0"/>
    </xf>
    <xf numFmtId="0" fontId="38" fillId="0" borderId="61" xfId="2" applyFont="1" applyFill="1" applyBorder="1" applyAlignment="1" applyProtection="1">
      <alignment horizontal="center" vertical="center"/>
      <protection locked="0"/>
    </xf>
    <xf numFmtId="0" fontId="37" fillId="0" borderId="65" xfId="2" applyFont="1" applyBorder="1" applyAlignment="1" applyProtection="1">
      <alignment horizontal="center" vertical="center"/>
      <protection locked="0"/>
    </xf>
    <xf numFmtId="0" fontId="38" fillId="0" borderId="62" xfId="2" applyFont="1" applyBorder="1" applyAlignment="1">
      <alignment horizontal="center" vertical="center" wrapText="1"/>
    </xf>
    <xf numFmtId="0" fontId="38" fillId="0" borderId="44" xfId="2" applyFont="1" applyBorder="1" applyAlignment="1">
      <alignment horizontal="center" vertical="center" wrapText="1"/>
    </xf>
    <xf numFmtId="0" fontId="38" fillId="0" borderId="45" xfId="2" applyFont="1" applyBorder="1" applyAlignment="1" applyProtection="1">
      <alignment horizontal="center" vertical="center" wrapText="1"/>
      <protection locked="0"/>
    </xf>
    <xf numFmtId="0" fontId="38" fillId="0" borderId="19" xfId="2" applyFont="1" applyBorder="1" applyAlignment="1" applyProtection="1">
      <alignment horizontal="center" vertical="center" wrapText="1"/>
      <protection locked="0"/>
    </xf>
    <xf numFmtId="0" fontId="38" fillId="0" borderId="4" xfId="2" applyFont="1" applyBorder="1" applyAlignment="1" applyProtection="1">
      <alignment horizontal="left" vertical="center" wrapText="1"/>
      <protection locked="0"/>
    </xf>
    <xf numFmtId="0" fontId="38" fillId="0" borderId="56" xfId="2" applyFont="1" applyBorder="1" applyAlignment="1" applyProtection="1">
      <alignment horizontal="left" vertical="center" wrapText="1"/>
      <protection locked="0"/>
    </xf>
    <xf numFmtId="0" fontId="38" fillId="0" borderId="4" xfId="2" applyFont="1" applyFill="1" applyBorder="1" applyAlignment="1" applyProtection="1">
      <alignment horizontal="left" vertical="center"/>
      <protection locked="0"/>
    </xf>
    <xf numFmtId="0" fontId="38" fillId="0" borderId="56" xfId="2" applyFont="1" applyFill="1" applyBorder="1" applyAlignment="1" applyProtection="1">
      <alignment horizontal="left" vertical="center"/>
      <protection locked="0"/>
    </xf>
    <xf numFmtId="0" fontId="38" fillId="0" borderId="53" xfId="2" applyFont="1" applyBorder="1" applyAlignment="1">
      <alignment horizontal="left" vertical="center" wrapText="1"/>
    </xf>
    <xf numFmtId="0" fontId="38" fillId="0" borderId="69" xfId="2" applyFont="1" applyBorder="1" applyAlignment="1">
      <alignment horizontal="left" vertical="center" wrapText="1"/>
    </xf>
    <xf numFmtId="0" fontId="36" fillId="0" borderId="0" xfId="2" applyFont="1" applyBorder="1" applyAlignment="1" applyProtection="1">
      <alignment horizontal="left" vertical="center"/>
      <protection locked="0"/>
    </xf>
    <xf numFmtId="0" fontId="36" fillId="4" borderId="6" xfId="2" applyFont="1" applyFill="1" applyBorder="1" applyAlignment="1" applyProtection="1">
      <alignment horizontal="center" vertical="center" wrapText="1"/>
      <protection locked="0"/>
    </xf>
    <xf numFmtId="0" fontId="36" fillId="4" borderId="6" xfId="2" applyFont="1" applyFill="1" applyBorder="1" applyAlignment="1" applyProtection="1">
      <alignment horizontal="center" vertical="center"/>
      <protection locked="0"/>
    </xf>
    <xf numFmtId="0" fontId="36" fillId="4" borderId="6" xfId="2" applyFont="1" applyFill="1" applyBorder="1" applyAlignment="1" applyProtection="1">
      <alignment horizontal="left" vertical="center"/>
      <protection locked="0"/>
    </xf>
    <xf numFmtId="0" fontId="41" fillId="4" borderId="0" xfId="0" applyFont="1" applyFill="1" applyAlignment="1">
      <alignment horizontal="left" vertical="center" wrapText="1"/>
    </xf>
    <xf numFmtId="0" fontId="36" fillId="4" borderId="0" xfId="2" applyFont="1" applyFill="1" applyBorder="1" applyAlignment="1" applyProtection="1">
      <alignment horizontal="left" vertical="center"/>
      <protection locked="0"/>
    </xf>
    <xf numFmtId="0" fontId="36" fillId="4" borderId="70" xfId="2" applyFont="1" applyFill="1" applyBorder="1" applyAlignment="1" applyProtection="1">
      <alignment horizontal="right" vertical="center"/>
      <protection locked="0"/>
    </xf>
    <xf numFmtId="0" fontId="3" fillId="4" borderId="6" xfId="2" applyFont="1" applyFill="1" applyBorder="1" applyAlignment="1">
      <alignment horizontal="center" vertical="center" wrapText="1"/>
    </xf>
    <xf numFmtId="0" fontId="53" fillId="4" borderId="6" xfId="2" applyFont="1" applyFill="1" applyBorder="1" applyAlignment="1" applyProtection="1">
      <alignment horizontal="left" vertical="center"/>
      <protection locked="0"/>
    </xf>
    <xf numFmtId="0" fontId="3" fillId="4" borderId="6" xfId="2" applyFont="1" applyFill="1" applyBorder="1" applyAlignment="1">
      <alignment horizontal="left" vertical="center" wrapText="1"/>
    </xf>
    <xf numFmtId="0" fontId="3" fillId="4" borderId="6" xfId="2" applyFont="1" applyFill="1" applyBorder="1" applyAlignment="1" applyProtection="1">
      <alignment horizontal="left" vertical="center" wrapText="1"/>
      <protection locked="0"/>
    </xf>
    <xf numFmtId="0" fontId="3" fillId="4" borderId="6" xfId="2" applyFont="1" applyFill="1" applyBorder="1" applyAlignment="1" applyProtection="1">
      <alignment horizontal="left" vertical="center"/>
      <protection locked="0"/>
    </xf>
    <xf numFmtId="0" fontId="3" fillId="4" borderId="4" xfId="2" applyFont="1" applyFill="1" applyBorder="1" applyAlignment="1">
      <alignment horizontal="left" vertical="center" wrapText="1"/>
    </xf>
    <xf numFmtId="0" fontId="3" fillId="4" borderId="53" xfId="2" applyFont="1" applyFill="1" applyBorder="1" applyAlignment="1">
      <alignment horizontal="left" vertical="center" wrapText="1"/>
    </xf>
    <xf numFmtId="0" fontId="3" fillId="4" borderId="11" xfId="2" applyFont="1" applyFill="1" applyBorder="1" applyAlignment="1">
      <alignment horizontal="left" vertical="center" wrapText="1"/>
    </xf>
    <xf numFmtId="0" fontId="36" fillId="0" borderId="6" xfId="2" applyFont="1" applyBorder="1" applyAlignment="1" applyProtection="1">
      <alignment horizontal="left" vertical="center"/>
      <protection locked="0"/>
    </xf>
    <xf numFmtId="3" fontId="47" fillId="0" borderId="67" xfId="2" applyNumberFormat="1" applyFont="1" applyBorder="1" applyAlignment="1" applyProtection="1">
      <alignment horizontal="center" vertical="center" wrapText="1"/>
      <protection locked="0"/>
    </xf>
    <xf numFmtId="3" fontId="47" fillId="0" borderId="68" xfId="2" applyNumberFormat="1" applyFont="1" applyBorder="1" applyAlignment="1" applyProtection="1">
      <alignment horizontal="center" vertical="center" wrapText="1"/>
      <protection locked="0"/>
    </xf>
    <xf numFmtId="3" fontId="47" fillId="0" borderId="15" xfId="2" applyNumberFormat="1" applyFont="1" applyBorder="1" applyAlignment="1" applyProtection="1">
      <alignment horizontal="center" vertical="center" wrapText="1"/>
      <protection locked="0"/>
    </xf>
    <xf numFmtId="3" fontId="47" fillId="0" borderId="54" xfId="2" applyNumberFormat="1" applyFont="1" applyBorder="1" applyAlignment="1" applyProtection="1">
      <alignment horizontal="center" vertical="center"/>
      <protection locked="0"/>
    </xf>
    <xf numFmtId="3" fontId="47" fillId="0" borderId="38" xfId="2" applyNumberFormat="1" applyFont="1" applyBorder="1" applyAlignment="1" applyProtection="1">
      <alignment horizontal="center" vertical="center"/>
      <protection locked="0"/>
    </xf>
    <xf numFmtId="3" fontId="47" fillId="0" borderId="57" xfId="2" applyNumberFormat="1" applyFont="1" applyBorder="1" applyAlignment="1" applyProtection="1">
      <alignment horizontal="center" vertical="center"/>
      <protection locked="0"/>
    </xf>
    <xf numFmtId="3" fontId="47" fillId="0" borderId="46" xfId="2" applyNumberFormat="1" applyFont="1" applyBorder="1" applyAlignment="1" applyProtection="1">
      <alignment horizontal="center" vertical="center"/>
      <protection locked="0"/>
    </xf>
    <xf numFmtId="3" fontId="47" fillId="0" borderId="0" xfId="2" applyNumberFormat="1" applyFont="1" applyBorder="1" applyAlignment="1" applyProtection="1">
      <alignment horizontal="center" vertical="center"/>
      <protection locked="0"/>
    </xf>
    <xf numFmtId="3" fontId="47" fillId="0" borderId="64" xfId="2" applyNumberFormat="1" applyFont="1" applyBorder="1" applyAlignment="1" applyProtection="1">
      <alignment horizontal="center" vertical="center"/>
      <protection locked="0"/>
    </xf>
    <xf numFmtId="3" fontId="47" fillId="0" borderId="52" xfId="2" applyNumberFormat="1" applyFont="1" applyBorder="1" applyAlignment="1" applyProtection="1">
      <alignment horizontal="center" vertical="center"/>
      <protection locked="0"/>
    </xf>
    <xf numFmtId="3" fontId="47" fillId="0" borderId="65" xfId="2" applyNumberFormat="1" applyFont="1" applyBorder="1" applyAlignment="1" applyProtection="1">
      <alignment horizontal="center" vertical="center"/>
      <protection locked="0"/>
    </xf>
    <xf numFmtId="3" fontId="47" fillId="0" borderId="66" xfId="2" applyNumberFormat="1" applyFont="1" applyBorder="1" applyAlignment="1" applyProtection="1">
      <alignment horizontal="center" vertical="center"/>
      <protection locked="0"/>
    </xf>
    <xf numFmtId="3" fontId="48" fillId="0" borderId="62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63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37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59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60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61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54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57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26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58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41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49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10" xfId="2" applyNumberFormat="1" applyFont="1" applyFill="1" applyBorder="1" applyAlignment="1" applyProtection="1">
      <alignment horizontal="center" vertical="center" wrapText="1"/>
      <protection locked="0"/>
    </xf>
    <xf numFmtId="3" fontId="47" fillId="5" borderId="12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0" xfId="2" applyNumberFormat="1" applyFont="1" applyBorder="1" applyAlignment="1">
      <alignment horizontal="left" vertical="center" wrapText="1"/>
    </xf>
    <xf numFmtId="3" fontId="47" fillId="0" borderId="6" xfId="2" applyNumberFormat="1" applyFont="1" applyBorder="1" applyAlignment="1">
      <alignment horizontal="left" vertical="center" wrapText="1"/>
    </xf>
    <xf numFmtId="3" fontId="47" fillId="0" borderId="12" xfId="2" applyNumberFormat="1" applyFont="1" applyBorder="1" applyAlignment="1">
      <alignment horizontal="left" vertical="center" wrapText="1"/>
    </xf>
    <xf numFmtId="3" fontId="47" fillId="0" borderId="27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1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4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56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27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11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4" xfId="2" applyNumberFormat="1" applyFont="1" applyFill="1" applyBorder="1" applyAlignment="1" applyProtection="1">
      <alignment horizontal="center" vertical="center" wrapText="1"/>
      <protection locked="0"/>
    </xf>
    <xf numFmtId="3" fontId="47" fillId="4" borderId="56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33" xfId="2" applyNumberFormat="1" applyFont="1" applyBorder="1" applyAlignment="1" applyProtection="1">
      <alignment horizontal="center" vertical="center"/>
      <protection locked="0"/>
    </xf>
    <xf numFmtId="3" fontId="48" fillId="0" borderId="35" xfId="2" applyNumberFormat="1" applyFont="1" applyBorder="1" applyAlignment="1" applyProtection="1">
      <alignment horizontal="center" vertical="center"/>
      <protection locked="0"/>
    </xf>
    <xf numFmtId="3" fontId="48" fillId="0" borderId="36" xfId="2" applyNumberFormat="1" applyFont="1" applyBorder="1" applyAlignment="1" applyProtection="1">
      <alignment horizontal="center" vertical="center"/>
      <protection locked="0"/>
    </xf>
    <xf numFmtId="3" fontId="48" fillId="0" borderId="47" xfId="2" applyNumberFormat="1" applyFont="1" applyBorder="1" applyAlignment="1" applyProtection="1">
      <alignment horizontal="center" vertical="center" wrapText="1"/>
      <protection locked="0"/>
    </xf>
    <xf numFmtId="3" fontId="48" fillId="0" borderId="3" xfId="2" applyNumberFormat="1" applyFont="1" applyBorder="1" applyAlignment="1" applyProtection="1">
      <alignment horizontal="center" vertical="center" wrapText="1"/>
      <protection locked="0"/>
    </xf>
    <xf numFmtId="3" fontId="48" fillId="0" borderId="16" xfId="2" applyNumberFormat="1" applyFont="1" applyBorder="1" applyAlignment="1" applyProtection="1">
      <alignment horizontal="center" vertical="center" wrapText="1"/>
      <protection locked="0"/>
    </xf>
    <xf numFmtId="3" fontId="48" fillId="0" borderId="38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0" xfId="2" applyNumberFormat="1" applyFont="1" applyFill="1" applyBorder="1" applyAlignment="1" applyProtection="1">
      <alignment horizontal="center" vertical="center" wrapText="1"/>
      <protection locked="0"/>
    </xf>
    <xf numFmtId="3" fontId="48" fillId="0" borderId="65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8" xfId="2" applyNumberFormat="1" applyFont="1" applyBorder="1" applyAlignment="1">
      <alignment horizontal="center" vertical="center" wrapText="1"/>
    </xf>
    <xf numFmtId="3" fontId="47" fillId="0" borderId="10" xfId="2" applyNumberFormat="1" applyFont="1" applyBorder="1" applyAlignment="1">
      <alignment horizontal="center" vertical="center" wrapText="1"/>
    </xf>
    <xf numFmtId="3" fontId="49" fillId="0" borderId="19" xfId="2" applyNumberFormat="1" applyFont="1" applyFill="1" applyBorder="1" applyAlignment="1" applyProtection="1">
      <alignment horizontal="left" vertical="center"/>
      <protection locked="0"/>
    </xf>
    <xf numFmtId="3" fontId="49" fillId="0" borderId="20" xfId="2" applyNumberFormat="1" applyFont="1" applyFill="1" applyBorder="1" applyAlignment="1" applyProtection="1">
      <alignment horizontal="left" vertical="center"/>
      <protection locked="0"/>
    </xf>
    <xf numFmtId="3" fontId="49" fillId="0" borderId="4" xfId="2" applyNumberFormat="1" applyFont="1" applyFill="1" applyBorder="1" applyAlignment="1" applyProtection="1">
      <alignment horizontal="left" vertical="center"/>
      <protection locked="0"/>
    </xf>
    <xf numFmtId="3" fontId="49" fillId="0" borderId="56" xfId="2" applyNumberFormat="1" applyFont="1" applyFill="1" applyBorder="1" applyAlignment="1" applyProtection="1">
      <alignment horizontal="left" vertical="center"/>
      <protection locked="0"/>
    </xf>
    <xf numFmtId="3" fontId="49" fillId="0" borderId="6" xfId="2" applyNumberFormat="1" applyFont="1" applyFill="1" applyBorder="1" applyAlignment="1" applyProtection="1">
      <alignment horizontal="left" vertical="center"/>
      <protection locked="0"/>
    </xf>
    <xf numFmtId="3" fontId="49" fillId="0" borderId="12" xfId="2" applyNumberFormat="1" applyFont="1" applyFill="1" applyBorder="1" applyAlignment="1" applyProtection="1">
      <alignment horizontal="left" vertical="center"/>
      <protection locked="0"/>
    </xf>
    <xf numFmtId="3" fontId="47" fillId="0" borderId="69" xfId="2" applyNumberFormat="1" applyFont="1" applyBorder="1" applyAlignment="1">
      <alignment horizontal="left" vertical="center" wrapText="1"/>
    </xf>
    <xf numFmtId="3" fontId="48" fillId="0" borderId="65" xfId="2" applyNumberFormat="1" applyFont="1" applyBorder="1" applyAlignment="1" applyProtection="1">
      <alignment horizontal="center" vertical="center"/>
      <protection locked="0"/>
    </xf>
    <xf numFmtId="3" fontId="47" fillId="0" borderId="62" xfId="2" applyNumberFormat="1" applyFont="1" applyBorder="1" applyAlignment="1">
      <alignment horizontal="center" vertical="center" wrapText="1"/>
    </xf>
    <xf numFmtId="3" fontId="47" fillId="0" borderId="44" xfId="2" applyNumberFormat="1" applyFont="1" applyBorder="1" applyAlignment="1">
      <alignment horizontal="center" vertical="center" wrapText="1"/>
    </xf>
    <xf numFmtId="3" fontId="47" fillId="0" borderId="45" xfId="2" applyNumberFormat="1" applyFont="1" applyBorder="1" applyAlignment="1" applyProtection="1">
      <alignment horizontal="center" vertical="center" wrapText="1"/>
      <protection locked="0"/>
    </xf>
    <xf numFmtId="3" fontId="47" fillId="0" borderId="19" xfId="2" applyNumberFormat="1" applyFont="1" applyBorder="1" applyAlignment="1" applyProtection="1">
      <alignment horizontal="center" vertical="center" wrapText="1"/>
      <protection locked="0"/>
    </xf>
    <xf numFmtId="3" fontId="47" fillId="0" borderId="4" xfId="2" applyNumberFormat="1" applyFont="1" applyBorder="1" applyAlignment="1" applyProtection="1">
      <alignment horizontal="left" vertical="center" wrapText="1"/>
      <protection locked="0"/>
    </xf>
    <xf numFmtId="3" fontId="47" fillId="0" borderId="56" xfId="2" applyNumberFormat="1" applyFont="1" applyBorder="1" applyAlignment="1" applyProtection="1">
      <alignment horizontal="left" vertical="center" wrapText="1"/>
      <protection locked="0"/>
    </xf>
    <xf numFmtId="3" fontId="47" fillId="0" borderId="4" xfId="2" applyNumberFormat="1" applyFont="1" applyFill="1" applyBorder="1" applyAlignment="1" applyProtection="1">
      <alignment horizontal="left" vertical="center"/>
      <protection locked="0"/>
    </xf>
    <xf numFmtId="3" fontId="47" fillId="0" borderId="56" xfId="2" applyNumberFormat="1" applyFont="1" applyFill="1" applyBorder="1" applyAlignment="1" applyProtection="1">
      <alignment horizontal="left" vertical="center"/>
      <protection locked="0"/>
    </xf>
    <xf numFmtId="3" fontId="47" fillId="0" borderId="53" xfId="2" applyNumberFormat="1" applyFont="1" applyBorder="1" applyAlignment="1">
      <alignment horizontal="left" vertical="center" wrapText="1"/>
    </xf>
    <xf numFmtId="3" fontId="47" fillId="0" borderId="28" xfId="2" applyNumberFormat="1" applyFont="1" applyBorder="1" applyAlignment="1">
      <alignment horizontal="left" vertical="center" wrapText="1"/>
    </xf>
    <xf numFmtId="3" fontId="47" fillId="0" borderId="30" xfId="2" applyNumberFormat="1" applyFont="1" applyBorder="1" applyAlignment="1">
      <alignment horizontal="left" vertical="center" wrapText="1"/>
    </xf>
    <xf numFmtId="3" fontId="47" fillId="0" borderId="31" xfId="2" applyNumberFormat="1" applyFont="1" applyBorder="1" applyAlignment="1">
      <alignment horizontal="left" vertical="center" wrapText="1"/>
    </xf>
    <xf numFmtId="165" fontId="47" fillId="0" borderId="63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45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19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43" xfId="2" applyNumberFormat="1" applyFont="1" applyFill="1" applyBorder="1" applyAlignment="1" applyProtection="1">
      <alignment horizontal="right" vertical="center" wrapText="1"/>
      <protection locked="0"/>
    </xf>
    <xf numFmtId="165" fontId="47" fillId="0" borderId="20" xfId="2" applyNumberFormat="1" applyFont="1" applyFill="1" applyBorder="1" applyAlignment="1" applyProtection="1">
      <alignment horizontal="right" vertical="center" wrapText="1"/>
      <protection locked="0"/>
    </xf>
    <xf numFmtId="165" fontId="49" fillId="0" borderId="37" xfId="0" applyNumberFormat="1" applyFont="1" applyBorder="1" applyAlignment="1">
      <alignment horizontal="right" vertical="center"/>
    </xf>
    <xf numFmtId="165" fontId="49" fillId="0" borderId="43" xfId="0" applyNumberFormat="1" applyFont="1" applyBorder="1" applyAlignment="1">
      <alignment horizontal="right" vertical="center"/>
    </xf>
    <xf numFmtId="165" fontId="49" fillId="0" borderId="20" xfId="0" applyNumberFormat="1" applyFont="1" applyBorder="1" applyAlignment="1">
      <alignment horizontal="right" vertical="center"/>
    </xf>
    <xf numFmtId="165" fontId="49" fillId="5" borderId="37" xfId="0" applyNumberFormat="1" applyFont="1" applyFill="1" applyBorder="1" applyAlignment="1">
      <alignment horizontal="right" vertical="center"/>
    </xf>
    <xf numFmtId="165" fontId="49" fillId="5" borderId="43" xfId="0" applyNumberFormat="1" applyFont="1" applyFill="1" applyBorder="1" applyAlignment="1">
      <alignment horizontal="right" vertical="center"/>
    </xf>
    <xf numFmtId="165" fontId="49" fillId="5" borderId="20" xfId="0" applyNumberFormat="1" applyFont="1" applyFill="1" applyBorder="1" applyAlignment="1">
      <alignment horizontal="right" vertical="center"/>
    </xf>
    <xf numFmtId="0" fontId="47" fillId="0" borderId="19" xfId="2" applyFont="1" applyFill="1" applyBorder="1" applyAlignment="1" applyProtection="1">
      <alignment horizontal="left" vertical="center"/>
      <protection locked="0"/>
    </xf>
    <xf numFmtId="0" fontId="47" fillId="0" borderId="20" xfId="2" applyFont="1" applyFill="1" applyBorder="1" applyAlignment="1" applyProtection="1">
      <alignment horizontal="left" vertical="center"/>
      <protection locked="0"/>
    </xf>
    <xf numFmtId="0" fontId="47" fillId="0" borderId="6" xfId="2" applyFont="1" applyFill="1" applyBorder="1" applyAlignment="1" applyProtection="1">
      <alignment horizontal="left" vertical="center"/>
      <protection locked="0"/>
    </xf>
    <xf numFmtId="0" fontId="47" fillId="0" borderId="12" xfId="2" applyFont="1" applyFill="1" applyBorder="1" applyAlignment="1" applyProtection="1">
      <alignment horizontal="left" vertical="center"/>
      <protection locked="0"/>
    </xf>
    <xf numFmtId="0" fontId="43" fillId="0" borderId="67" xfId="2" applyFont="1" applyBorder="1" applyAlignment="1" applyProtection="1">
      <alignment horizontal="center" vertical="center" wrapText="1"/>
      <protection locked="0"/>
    </xf>
    <xf numFmtId="0" fontId="43" fillId="0" borderId="68" xfId="2" applyFont="1" applyBorder="1" applyAlignment="1" applyProtection="1">
      <alignment horizontal="center" vertical="center" wrapText="1"/>
      <protection locked="0"/>
    </xf>
    <xf numFmtId="0" fontId="43" fillId="0" borderId="15" xfId="2" applyFont="1" applyBorder="1" applyAlignment="1" applyProtection="1">
      <alignment horizontal="center" vertical="center" wrapText="1"/>
      <protection locked="0"/>
    </xf>
    <xf numFmtId="0" fontId="43" fillId="0" borderId="54" xfId="2" applyFont="1" applyBorder="1" applyAlignment="1" applyProtection="1">
      <alignment horizontal="center" vertical="center"/>
      <protection locked="0"/>
    </xf>
    <xf numFmtId="0" fontId="43" fillId="0" borderId="38" xfId="2" applyFont="1" applyBorder="1" applyAlignment="1" applyProtection="1">
      <alignment horizontal="center" vertical="center"/>
      <protection locked="0"/>
    </xf>
    <xf numFmtId="0" fontId="43" fillId="0" borderId="57" xfId="2" applyFont="1" applyBorder="1" applyAlignment="1" applyProtection="1">
      <alignment horizontal="center" vertical="center"/>
      <protection locked="0"/>
    </xf>
    <xf numFmtId="0" fontId="43" fillId="0" borderId="46" xfId="2" applyFont="1" applyBorder="1" applyAlignment="1" applyProtection="1">
      <alignment horizontal="center" vertical="center"/>
      <protection locked="0"/>
    </xf>
    <xf numFmtId="0" fontId="43" fillId="0" borderId="0" xfId="2" applyFont="1" applyBorder="1" applyAlignment="1" applyProtection="1">
      <alignment horizontal="center" vertical="center"/>
      <protection locked="0"/>
    </xf>
    <xf numFmtId="0" fontId="43" fillId="0" borderId="64" xfId="2" applyFont="1" applyBorder="1" applyAlignment="1" applyProtection="1">
      <alignment horizontal="center" vertical="center"/>
      <protection locked="0"/>
    </xf>
    <xf numFmtId="0" fontId="43" fillId="0" borderId="52" xfId="2" applyFont="1" applyBorder="1" applyAlignment="1" applyProtection="1">
      <alignment horizontal="center" vertical="center"/>
      <protection locked="0"/>
    </xf>
    <xf numFmtId="0" fontId="43" fillId="0" borderId="65" xfId="2" applyFont="1" applyBorder="1" applyAlignment="1" applyProtection="1">
      <alignment horizontal="center" vertical="center"/>
      <protection locked="0"/>
    </xf>
    <xf numFmtId="0" fontId="43" fillId="0" borderId="66" xfId="2" applyFont="1" applyBorder="1" applyAlignment="1" applyProtection="1">
      <alignment horizontal="center" vertical="center"/>
      <protection locked="0"/>
    </xf>
    <xf numFmtId="0" fontId="42" fillId="0" borderId="62" xfId="2" applyFont="1" applyFill="1" applyBorder="1" applyAlignment="1" applyProtection="1">
      <alignment horizontal="center" vertical="center" wrapText="1"/>
      <protection locked="0"/>
    </xf>
    <xf numFmtId="0" fontId="42" fillId="0" borderId="63" xfId="2" applyFont="1" applyFill="1" applyBorder="1" applyAlignment="1" applyProtection="1">
      <alignment horizontal="center" vertical="center" wrapText="1"/>
      <protection locked="0"/>
    </xf>
    <xf numFmtId="0" fontId="42" fillId="0" borderId="37" xfId="2" applyFont="1" applyFill="1" applyBorder="1" applyAlignment="1" applyProtection="1">
      <alignment horizontal="center" vertical="center" wrapText="1"/>
      <protection locked="0"/>
    </xf>
    <xf numFmtId="0" fontId="43" fillId="0" borderId="59" xfId="2" applyFont="1" applyFill="1" applyBorder="1" applyAlignment="1" applyProtection="1">
      <alignment horizontal="center" vertical="center" wrapText="1"/>
      <protection locked="0"/>
    </xf>
    <xf numFmtId="0" fontId="43" fillId="0" borderId="60" xfId="2" applyFont="1" applyFill="1" applyBorder="1" applyAlignment="1" applyProtection="1">
      <alignment horizontal="center" vertical="center" wrapText="1"/>
      <protection locked="0"/>
    </xf>
    <xf numFmtId="0" fontId="43" fillId="0" borderId="61" xfId="2" applyFont="1" applyFill="1" applyBorder="1" applyAlignment="1" applyProtection="1">
      <alignment horizontal="center" vertical="center" wrapText="1"/>
      <protection locked="0"/>
    </xf>
    <xf numFmtId="0" fontId="43" fillId="0" borderId="54" xfId="2" applyFont="1" applyFill="1" applyBorder="1" applyAlignment="1" applyProtection="1">
      <alignment horizontal="center" vertical="center" wrapText="1"/>
      <protection locked="0"/>
    </xf>
    <xf numFmtId="0" fontId="43" fillId="0" borderId="57" xfId="2" applyFont="1" applyFill="1" applyBorder="1" applyAlignment="1" applyProtection="1">
      <alignment horizontal="center" vertical="center" wrapText="1"/>
      <protection locked="0"/>
    </xf>
    <xf numFmtId="0" fontId="43" fillId="0" borderId="26" xfId="2" applyFont="1" applyFill="1" applyBorder="1" applyAlignment="1" applyProtection="1">
      <alignment horizontal="center" vertical="center" wrapText="1"/>
      <protection locked="0"/>
    </xf>
    <xf numFmtId="0" fontId="43" fillId="0" borderId="58" xfId="2" applyFont="1" applyFill="1" applyBorder="1" applyAlignment="1" applyProtection="1">
      <alignment horizontal="center" vertical="center" wrapText="1"/>
      <protection locked="0"/>
    </xf>
    <xf numFmtId="0" fontId="43" fillId="5" borderId="41" xfId="2" applyFont="1" applyFill="1" applyBorder="1" applyAlignment="1" applyProtection="1">
      <alignment horizontal="center" vertical="center" wrapText="1"/>
      <protection locked="0"/>
    </xf>
    <xf numFmtId="0" fontId="43" fillId="5" borderId="49" xfId="2" applyFont="1" applyFill="1" applyBorder="1" applyAlignment="1" applyProtection="1">
      <alignment horizontal="center" vertical="center" wrapText="1"/>
      <protection locked="0"/>
    </xf>
    <xf numFmtId="0" fontId="43" fillId="5" borderId="10" xfId="2" applyFont="1" applyFill="1" applyBorder="1" applyAlignment="1" applyProtection="1">
      <alignment horizontal="center" vertical="center" wrapText="1"/>
      <protection locked="0"/>
    </xf>
    <xf numFmtId="0" fontId="43" fillId="5" borderId="12" xfId="2" applyFont="1" applyFill="1" applyBorder="1" applyAlignment="1" applyProtection="1">
      <alignment horizontal="center" vertical="center" wrapText="1"/>
      <protection locked="0"/>
    </xf>
    <xf numFmtId="0" fontId="43" fillId="0" borderId="27" xfId="2" applyFont="1" applyFill="1" applyBorder="1" applyAlignment="1" applyProtection="1">
      <alignment horizontal="center" vertical="center" wrapText="1"/>
      <protection locked="0"/>
    </xf>
    <xf numFmtId="0" fontId="43" fillId="0" borderId="11" xfId="2" applyFont="1" applyFill="1" applyBorder="1" applyAlignment="1" applyProtection="1">
      <alignment horizontal="center" vertical="center" wrapText="1"/>
      <protection locked="0"/>
    </xf>
    <xf numFmtId="0" fontId="43" fillId="0" borderId="4" xfId="2" applyFont="1" applyFill="1" applyBorder="1" applyAlignment="1" applyProtection="1">
      <alignment horizontal="center" vertical="center" wrapText="1"/>
      <protection locked="0"/>
    </xf>
    <xf numFmtId="0" fontId="43" fillId="0" borderId="56" xfId="2" applyFont="1" applyFill="1" applyBorder="1" applyAlignment="1" applyProtection="1">
      <alignment horizontal="center" vertical="center" wrapText="1"/>
      <protection locked="0"/>
    </xf>
    <xf numFmtId="0" fontId="43" fillId="0" borderId="18" xfId="2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62" fillId="0" borderId="19" xfId="2" applyFont="1" applyFill="1" applyBorder="1" applyAlignment="1" applyProtection="1">
      <alignment horizontal="left" vertical="center"/>
      <protection locked="0"/>
    </xf>
    <xf numFmtId="0" fontId="62" fillId="0" borderId="20" xfId="2" applyFont="1" applyFill="1" applyBorder="1" applyAlignment="1" applyProtection="1">
      <alignment horizontal="left" vertical="center"/>
      <protection locked="0"/>
    </xf>
    <xf numFmtId="0" fontId="62" fillId="0" borderId="4" xfId="2" applyFont="1" applyFill="1" applyBorder="1" applyAlignment="1" applyProtection="1">
      <alignment horizontal="left" vertical="center"/>
      <protection locked="0"/>
    </xf>
    <xf numFmtId="0" fontId="62" fillId="0" borderId="56" xfId="2" applyFont="1" applyFill="1" applyBorder="1" applyAlignment="1" applyProtection="1">
      <alignment horizontal="left" vertical="center"/>
      <protection locked="0"/>
    </xf>
    <xf numFmtId="0" fontId="62" fillId="0" borderId="6" xfId="2" applyFont="1" applyFill="1" applyBorder="1" applyAlignment="1" applyProtection="1">
      <alignment horizontal="left" vertical="center"/>
      <protection locked="0"/>
    </xf>
    <xf numFmtId="0" fontId="62" fillId="0" borderId="12" xfId="2" applyFont="1" applyFill="1" applyBorder="1" applyAlignment="1" applyProtection="1">
      <alignment horizontal="left" vertical="center"/>
      <protection locked="0"/>
    </xf>
    <xf numFmtId="0" fontId="43" fillId="0" borderId="10" xfId="2" applyFont="1" applyBorder="1" applyAlignment="1">
      <alignment horizontal="left" vertical="center" wrapText="1"/>
    </xf>
    <xf numFmtId="0" fontId="43" fillId="0" borderId="6" xfId="2" applyFont="1" applyBorder="1" applyAlignment="1">
      <alignment horizontal="left" vertical="center" wrapText="1"/>
    </xf>
    <xf numFmtId="0" fontId="43" fillId="0" borderId="12" xfId="2" applyFont="1" applyBorder="1" applyAlignment="1">
      <alignment horizontal="left" vertical="center" wrapText="1"/>
    </xf>
    <xf numFmtId="0" fontId="43" fillId="0" borderId="28" xfId="2" applyFont="1" applyBorder="1" applyAlignment="1">
      <alignment horizontal="left" vertical="center" wrapText="1"/>
    </xf>
    <xf numFmtId="0" fontId="43" fillId="0" borderId="30" xfId="2" applyFont="1" applyBorder="1" applyAlignment="1">
      <alignment horizontal="left" vertical="center" wrapText="1"/>
    </xf>
    <xf numFmtId="0" fontId="43" fillId="0" borderId="31" xfId="2" applyFont="1" applyBorder="1" applyAlignment="1">
      <alignment horizontal="left" vertical="center" wrapText="1"/>
    </xf>
    <xf numFmtId="0" fontId="42" fillId="0" borderId="33" xfId="2" applyFont="1" applyBorder="1" applyAlignment="1" applyProtection="1">
      <alignment horizontal="center" vertical="center"/>
      <protection locked="0"/>
    </xf>
    <xf numFmtId="0" fontId="42" fillId="0" borderId="35" xfId="2" applyFont="1" applyBorder="1" applyAlignment="1" applyProtection="1">
      <alignment horizontal="center" vertical="center"/>
      <protection locked="0"/>
    </xf>
    <xf numFmtId="0" fontId="42" fillId="0" borderId="36" xfId="2" applyFont="1" applyBorder="1" applyAlignment="1" applyProtection="1">
      <alignment horizontal="center" vertical="center"/>
      <protection locked="0"/>
    </xf>
    <xf numFmtId="0" fontId="42" fillId="0" borderId="47" xfId="2" applyFont="1" applyBorder="1" applyAlignment="1" applyProtection="1">
      <alignment horizontal="center" vertical="center" wrapText="1"/>
      <protection locked="0"/>
    </xf>
    <xf numFmtId="0" fontId="42" fillId="0" borderId="3" xfId="2" applyFont="1" applyBorder="1" applyAlignment="1" applyProtection="1">
      <alignment horizontal="center" vertical="center" wrapText="1"/>
      <protection locked="0"/>
    </xf>
    <xf numFmtId="0" fontId="42" fillId="0" borderId="16" xfId="2" applyFont="1" applyBorder="1" applyAlignment="1" applyProtection="1">
      <alignment horizontal="center" vertical="center" wrapText="1"/>
      <protection locked="0"/>
    </xf>
    <xf numFmtId="0" fontId="42" fillId="0" borderId="38" xfId="2" applyFont="1" applyFill="1" applyBorder="1" applyAlignment="1" applyProtection="1">
      <alignment horizontal="center" vertical="center" wrapText="1"/>
      <protection locked="0"/>
    </xf>
    <xf numFmtId="0" fontId="42" fillId="0" borderId="0" xfId="2" applyFont="1" applyFill="1" applyBorder="1" applyAlignment="1" applyProtection="1">
      <alignment horizontal="center" vertical="center" wrapText="1"/>
      <protection locked="0"/>
    </xf>
    <xf numFmtId="0" fontId="42" fillId="0" borderId="65" xfId="2" applyFont="1" applyFill="1" applyBorder="1" applyAlignment="1" applyProtection="1">
      <alignment horizontal="center" vertical="center" wrapText="1"/>
      <protection locked="0"/>
    </xf>
    <xf numFmtId="0" fontId="43" fillId="0" borderId="59" xfId="2" applyFont="1" applyFill="1" applyBorder="1" applyAlignment="1" applyProtection="1">
      <alignment horizontal="center" vertical="center"/>
      <protection locked="0"/>
    </xf>
    <xf numFmtId="0" fontId="43" fillId="0" borderId="60" xfId="2" applyFont="1" applyFill="1" applyBorder="1" applyAlignment="1" applyProtection="1">
      <alignment horizontal="center" vertical="center"/>
      <protection locked="0"/>
    </xf>
    <xf numFmtId="0" fontId="43" fillId="0" borderId="61" xfId="2" applyFont="1" applyFill="1" applyBorder="1" applyAlignment="1" applyProtection="1">
      <alignment horizontal="center" vertical="center"/>
      <protection locked="0"/>
    </xf>
    <xf numFmtId="0" fontId="42" fillId="0" borderId="65" xfId="2" applyFont="1" applyBorder="1" applyAlignment="1" applyProtection="1">
      <alignment horizontal="center" vertical="center"/>
      <protection locked="0"/>
    </xf>
    <xf numFmtId="0" fontId="43" fillId="0" borderId="62" xfId="2" applyFont="1" applyBorder="1" applyAlignment="1">
      <alignment horizontal="center" vertical="center" wrapText="1"/>
    </xf>
    <xf numFmtId="0" fontId="43" fillId="0" borderId="44" xfId="2" applyFont="1" applyBorder="1" applyAlignment="1">
      <alignment horizontal="center" vertical="center" wrapText="1"/>
    </xf>
    <xf numFmtId="0" fontId="43" fillId="0" borderId="45" xfId="2" applyFont="1" applyBorder="1" applyAlignment="1" applyProtection="1">
      <alignment horizontal="center" vertical="center" wrapText="1"/>
      <protection locked="0"/>
    </xf>
    <xf numFmtId="0" fontId="43" fillId="0" borderId="19" xfId="2" applyFont="1" applyBorder="1" applyAlignment="1" applyProtection="1">
      <alignment horizontal="center" vertical="center" wrapText="1"/>
      <protection locked="0"/>
    </xf>
    <xf numFmtId="0" fontId="43" fillId="0" borderId="4" xfId="2" applyFont="1" applyBorder="1" applyAlignment="1" applyProtection="1">
      <alignment horizontal="left" vertical="center" wrapText="1"/>
      <protection locked="0"/>
    </xf>
    <xf numFmtId="0" fontId="43" fillId="0" borderId="56" xfId="2" applyFont="1" applyBorder="1" applyAlignment="1" applyProtection="1">
      <alignment horizontal="left" vertical="center" wrapText="1"/>
      <protection locked="0"/>
    </xf>
    <xf numFmtId="0" fontId="43" fillId="0" borderId="4" xfId="2" applyFont="1" applyFill="1" applyBorder="1" applyAlignment="1" applyProtection="1">
      <alignment horizontal="left" vertical="center"/>
      <protection locked="0"/>
    </xf>
    <xf numFmtId="0" fontId="43" fillId="0" borderId="56" xfId="2" applyFont="1" applyFill="1" applyBorder="1" applyAlignment="1" applyProtection="1">
      <alignment horizontal="left" vertical="center"/>
      <protection locked="0"/>
    </xf>
    <xf numFmtId="0" fontId="43" fillId="0" borderId="53" xfId="2" applyFont="1" applyBorder="1" applyAlignment="1">
      <alignment horizontal="left" vertical="center" wrapText="1"/>
    </xf>
    <xf numFmtId="0" fontId="43" fillId="0" borderId="69" xfId="2" applyFont="1" applyBorder="1" applyAlignment="1">
      <alignment horizontal="left" vertical="center" wrapText="1"/>
    </xf>
    <xf numFmtId="0" fontId="48" fillId="4" borderId="47" xfId="2" applyFont="1" applyFill="1" applyBorder="1" applyAlignment="1" applyProtection="1">
      <alignment horizontal="center" vertical="center" wrapText="1"/>
      <protection locked="0"/>
    </xf>
    <xf numFmtId="0" fontId="48" fillId="4" borderId="3" xfId="2" applyFont="1" applyFill="1" applyBorder="1" applyAlignment="1" applyProtection="1">
      <alignment horizontal="center" vertical="center" wrapText="1"/>
      <protection locked="0"/>
    </xf>
    <xf numFmtId="0" fontId="48" fillId="4" borderId="16" xfId="2" applyFont="1" applyFill="1" applyBorder="1" applyAlignment="1" applyProtection="1">
      <alignment horizontal="center" vertical="center" wrapText="1"/>
      <protection locked="0"/>
    </xf>
    <xf numFmtId="0" fontId="48" fillId="4" borderId="38" xfId="2" applyFont="1" applyFill="1" applyBorder="1" applyAlignment="1" applyProtection="1">
      <alignment horizontal="center" vertical="center" wrapText="1"/>
      <protection locked="0"/>
    </xf>
    <xf numFmtId="0" fontId="48" fillId="4" borderId="0" xfId="2" applyFont="1" applyFill="1" applyBorder="1" applyAlignment="1" applyProtection="1">
      <alignment horizontal="center" vertical="center" wrapText="1"/>
      <protection locked="0"/>
    </xf>
    <xf numFmtId="0" fontId="48" fillId="4" borderId="65" xfId="2" applyFont="1" applyFill="1" applyBorder="1" applyAlignment="1" applyProtection="1">
      <alignment horizontal="center" vertical="center" wrapText="1"/>
      <protection locked="0"/>
    </xf>
    <xf numFmtId="0" fontId="47" fillId="4" borderId="59" xfId="2" applyFont="1" applyFill="1" applyBorder="1" applyAlignment="1" applyProtection="1">
      <alignment horizontal="center" vertical="center"/>
      <protection locked="0"/>
    </xf>
    <xf numFmtId="0" fontId="47" fillId="4" borderId="60" xfId="2" applyFont="1" applyFill="1" applyBorder="1" applyAlignment="1" applyProtection="1">
      <alignment horizontal="center" vertical="center"/>
      <protection locked="0"/>
    </xf>
    <xf numFmtId="0" fontId="47" fillId="4" borderId="61" xfId="2" applyFont="1" applyFill="1" applyBorder="1" applyAlignment="1" applyProtection="1">
      <alignment horizontal="center" vertical="center"/>
      <protection locked="0"/>
    </xf>
    <xf numFmtId="0" fontId="47" fillId="4" borderId="59" xfId="2" applyFont="1" applyFill="1" applyBorder="1" applyAlignment="1" applyProtection="1">
      <alignment horizontal="center" vertical="center" wrapText="1"/>
      <protection locked="0"/>
    </xf>
    <xf numFmtId="0" fontId="47" fillId="4" borderId="60" xfId="2" applyFont="1" applyFill="1" applyBorder="1" applyAlignment="1" applyProtection="1">
      <alignment horizontal="center" vertical="center" wrapText="1"/>
      <protection locked="0"/>
    </xf>
    <xf numFmtId="0" fontId="47" fillId="4" borderId="61" xfId="2" applyFont="1" applyFill="1" applyBorder="1" applyAlignment="1" applyProtection="1">
      <alignment horizontal="center" vertical="center" wrapText="1"/>
      <protection locked="0"/>
    </xf>
    <xf numFmtId="0" fontId="48" fillId="4" borderId="65" xfId="2" applyFont="1" applyFill="1" applyBorder="1" applyAlignment="1" applyProtection="1">
      <alignment horizontal="center" vertical="center"/>
      <protection locked="0"/>
    </xf>
    <xf numFmtId="0" fontId="47" fillId="4" borderId="69" xfId="2" applyFont="1" applyFill="1" applyBorder="1" applyAlignment="1">
      <alignment horizontal="left" vertical="center" wrapText="1"/>
    </xf>
    <xf numFmtId="0" fontId="48" fillId="0" borderId="9" xfId="2" applyFont="1" applyFill="1" applyBorder="1" applyAlignment="1" applyProtection="1">
      <alignment horizontal="center" vertical="center" wrapText="1"/>
      <protection locked="0"/>
    </xf>
    <xf numFmtId="0" fontId="48" fillId="0" borderId="71" xfId="2" applyFont="1" applyFill="1" applyBorder="1" applyAlignment="1" applyProtection="1">
      <alignment horizontal="center" vertical="center" wrapText="1"/>
      <protection locked="0"/>
    </xf>
    <xf numFmtId="0" fontId="48" fillId="0" borderId="72" xfId="2" applyFont="1" applyFill="1" applyBorder="1" applyAlignment="1" applyProtection="1">
      <alignment horizontal="center" vertical="center" wrapText="1"/>
      <protection locked="0"/>
    </xf>
    <xf numFmtId="0" fontId="47" fillId="5" borderId="54" xfId="2" applyFont="1" applyFill="1" applyBorder="1" applyAlignment="1" applyProtection="1">
      <alignment horizontal="center" vertical="center" wrapText="1"/>
      <protection locked="0"/>
    </xf>
    <xf numFmtId="0" fontId="47" fillId="5" borderId="57" xfId="2" applyFont="1" applyFill="1" applyBorder="1" applyAlignment="1" applyProtection="1">
      <alignment horizontal="center" vertical="center" wrapText="1"/>
      <protection locked="0"/>
    </xf>
    <xf numFmtId="0" fontId="47" fillId="5" borderId="26" xfId="2" applyFont="1" applyFill="1" applyBorder="1" applyAlignment="1" applyProtection="1">
      <alignment horizontal="center" vertical="center" wrapText="1"/>
      <protection locked="0"/>
    </xf>
    <xf numFmtId="0" fontId="47" fillId="5" borderId="58" xfId="2" applyFont="1" applyFill="1" applyBorder="1" applyAlignment="1" applyProtection="1">
      <alignment horizontal="center" vertical="center" wrapText="1"/>
      <protection locked="0"/>
    </xf>
    <xf numFmtId="0" fontId="47" fillId="4" borderId="62" xfId="2" applyFont="1" applyFill="1" applyBorder="1" applyAlignment="1">
      <alignment horizontal="center" vertical="center" wrapText="1"/>
    </xf>
    <xf numFmtId="0" fontId="47" fillId="4" borderId="44" xfId="2" applyFont="1" applyFill="1" applyBorder="1" applyAlignment="1">
      <alignment horizontal="center" vertical="center" wrapText="1"/>
    </xf>
    <xf numFmtId="0" fontId="47" fillId="4" borderId="18" xfId="2" applyFont="1" applyFill="1" applyBorder="1" applyAlignment="1">
      <alignment horizontal="center" vertical="center" wrapText="1"/>
    </xf>
    <xf numFmtId="0" fontId="47" fillId="4" borderId="45" xfId="2" applyFont="1" applyFill="1" applyBorder="1" applyAlignment="1" applyProtection="1">
      <alignment horizontal="center" vertical="center" wrapText="1"/>
      <protection locked="0"/>
    </xf>
    <xf numFmtId="0" fontId="47" fillId="4" borderId="19" xfId="2" applyFont="1" applyFill="1" applyBorder="1" applyAlignment="1" applyProtection="1">
      <alignment horizontal="center" vertical="center" wrapText="1"/>
      <protection locked="0"/>
    </xf>
    <xf numFmtId="0" fontId="47" fillId="4" borderId="4" xfId="2" applyFont="1" applyFill="1" applyBorder="1" applyAlignment="1" applyProtection="1">
      <alignment horizontal="left" vertical="center" wrapText="1"/>
      <protection locked="0"/>
    </xf>
    <xf numFmtId="0" fontId="47" fillId="4" borderId="56" xfId="2" applyFont="1" applyFill="1" applyBorder="1" applyAlignment="1" applyProtection="1">
      <alignment horizontal="left" vertical="center" wrapText="1"/>
      <protection locked="0"/>
    </xf>
    <xf numFmtId="0" fontId="47" fillId="4" borderId="4" xfId="2" applyFont="1" applyFill="1" applyBorder="1" applyAlignment="1" applyProtection="1">
      <alignment horizontal="left" vertical="center"/>
      <protection locked="0"/>
    </xf>
    <xf numFmtId="0" fontId="47" fillId="4" borderId="56" xfId="2" applyFont="1" applyFill="1" applyBorder="1" applyAlignment="1" applyProtection="1">
      <alignment horizontal="left" vertical="center"/>
      <protection locked="0"/>
    </xf>
    <xf numFmtId="0" fontId="47" fillId="4" borderId="53" xfId="2" applyFont="1" applyFill="1" applyBorder="1" applyAlignment="1">
      <alignment horizontal="left" vertical="center" wrapText="1"/>
    </xf>
    <xf numFmtId="0" fontId="47" fillId="4" borderId="67" xfId="2" applyFont="1" applyFill="1" applyBorder="1" applyAlignment="1" applyProtection="1">
      <alignment horizontal="center" vertical="center" wrapText="1"/>
      <protection locked="0"/>
    </xf>
    <xf numFmtId="0" fontId="47" fillId="4" borderId="68" xfId="2" applyFont="1" applyFill="1" applyBorder="1" applyAlignment="1" applyProtection="1">
      <alignment horizontal="center" vertical="center" wrapText="1"/>
      <protection locked="0"/>
    </xf>
    <xf numFmtId="0" fontId="47" fillId="4" borderId="15" xfId="2" applyFont="1" applyFill="1" applyBorder="1" applyAlignment="1" applyProtection="1">
      <alignment horizontal="center" vertical="center" wrapText="1"/>
      <protection locked="0"/>
    </xf>
    <xf numFmtId="0" fontId="47" fillId="4" borderId="54" xfId="2" applyFont="1" applyFill="1" applyBorder="1" applyAlignment="1" applyProtection="1">
      <alignment horizontal="center" vertical="center"/>
      <protection locked="0"/>
    </xf>
    <xf numFmtId="0" fontId="47" fillId="4" borderId="38" xfId="2" applyFont="1" applyFill="1" applyBorder="1" applyAlignment="1" applyProtection="1">
      <alignment horizontal="center" vertical="center"/>
      <protection locked="0"/>
    </xf>
    <xf numFmtId="0" fontId="47" fillId="4" borderId="57" xfId="2" applyFont="1" applyFill="1" applyBorder="1" applyAlignment="1" applyProtection="1">
      <alignment horizontal="center" vertical="center"/>
      <protection locked="0"/>
    </xf>
    <xf numFmtId="0" fontId="47" fillId="4" borderId="46" xfId="2" applyFont="1" applyFill="1" applyBorder="1" applyAlignment="1" applyProtection="1">
      <alignment horizontal="center" vertical="center"/>
      <protection locked="0"/>
    </xf>
    <xf numFmtId="0" fontId="47" fillId="4" borderId="0" xfId="2" applyFont="1" applyFill="1" applyBorder="1" applyAlignment="1" applyProtection="1">
      <alignment horizontal="center" vertical="center"/>
      <protection locked="0"/>
    </xf>
    <xf numFmtId="0" fontId="47" fillId="4" borderId="64" xfId="2" applyFont="1" applyFill="1" applyBorder="1" applyAlignment="1" applyProtection="1">
      <alignment horizontal="center" vertical="center"/>
      <protection locked="0"/>
    </xf>
    <xf numFmtId="0" fontId="47" fillId="4" borderId="52" xfId="2" applyFont="1" applyFill="1" applyBorder="1" applyAlignment="1" applyProtection="1">
      <alignment horizontal="center" vertical="center"/>
      <protection locked="0"/>
    </xf>
    <xf numFmtId="0" fontId="47" fillId="4" borderId="65" xfId="2" applyFont="1" applyFill="1" applyBorder="1" applyAlignment="1" applyProtection="1">
      <alignment horizontal="center" vertical="center"/>
      <protection locked="0"/>
    </xf>
    <xf numFmtId="0" fontId="47" fillId="4" borderId="66" xfId="2" applyFont="1" applyFill="1" applyBorder="1" applyAlignment="1" applyProtection="1">
      <alignment horizontal="center" vertical="center"/>
      <protection locked="0"/>
    </xf>
    <xf numFmtId="0" fontId="48" fillId="4" borderId="62" xfId="2" applyFont="1" applyFill="1" applyBorder="1" applyAlignment="1" applyProtection="1">
      <alignment horizontal="center" vertical="center" wrapText="1"/>
      <protection locked="0"/>
    </xf>
    <xf numFmtId="0" fontId="48" fillId="4" borderId="63" xfId="2" applyFont="1" applyFill="1" applyBorder="1" applyAlignment="1" applyProtection="1">
      <alignment horizontal="center" vertical="center" wrapText="1"/>
      <protection locked="0"/>
    </xf>
    <xf numFmtId="0" fontId="48" fillId="4" borderId="37" xfId="2" applyFont="1" applyFill="1" applyBorder="1" applyAlignment="1" applyProtection="1">
      <alignment horizontal="center" vertical="center" wrapText="1"/>
      <protection locked="0"/>
    </xf>
    <xf numFmtId="0" fontId="47" fillId="4" borderId="54" xfId="2" applyFont="1" applyFill="1" applyBorder="1" applyAlignment="1" applyProtection="1">
      <alignment horizontal="center" vertical="center" wrapText="1"/>
      <protection locked="0"/>
    </xf>
    <xf numFmtId="0" fontId="47" fillId="4" borderId="57" xfId="2" applyFont="1" applyFill="1" applyBorder="1" applyAlignment="1" applyProtection="1">
      <alignment horizontal="center" vertical="center" wrapText="1"/>
      <protection locked="0"/>
    </xf>
    <xf numFmtId="0" fontId="47" fillId="4" borderId="26" xfId="2" applyFont="1" applyFill="1" applyBorder="1" applyAlignment="1" applyProtection="1">
      <alignment horizontal="center" vertical="center" wrapText="1"/>
      <protection locked="0"/>
    </xf>
    <xf numFmtId="0" fontId="47" fillId="4" borderId="58" xfId="2" applyFont="1" applyFill="1" applyBorder="1" applyAlignment="1" applyProtection="1">
      <alignment horizontal="center" vertical="center" wrapText="1"/>
      <protection locked="0"/>
    </xf>
    <xf numFmtId="0" fontId="47" fillId="4" borderId="41" xfId="2" applyFont="1" applyFill="1" applyBorder="1" applyAlignment="1" applyProtection="1">
      <alignment horizontal="center" vertical="center" wrapText="1"/>
      <protection locked="0"/>
    </xf>
    <xf numFmtId="0" fontId="47" fillId="4" borderId="49" xfId="2" applyFont="1" applyFill="1" applyBorder="1" applyAlignment="1" applyProtection="1">
      <alignment horizontal="center" vertical="center" wrapText="1"/>
      <protection locked="0"/>
    </xf>
    <xf numFmtId="0" fontId="47" fillId="4" borderId="10" xfId="2" applyFont="1" applyFill="1" applyBorder="1" applyAlignment="1" applyProtection="1">
      <alignment horizontal="center" vertical="center" wrapText="1"/>
      <protection locked="0"/>
    </xf>
    <xf numFmtId="0" fontId="47" fillId="4" borderId="12" xfId="2" applyFont="1" applyFill="1" applyBorder="1" applyAlignment="1" applyProtection="1">
      <alignment horizontal="center" vertical="center" wrapText="1"/>
      <protection locked="0"/>
    </xf>
    <xf numFmtId="0" fontId="47" fillId="4" borderId="27" xfId="2" applyFont="1" applyFill="1" applyBorder="1" applyAlignment="1" applyProtection="1">
      <alignment horizontal="center" vertical="center" wrapText="1"/>
      <protection locked="0"/>
    </xf>
    <xf numFmtId="0" fontId="47" fillId="4" borderId="11" xfId="2" applyFont="1" applyFill="1" applyBorder="1" applyAlignment="1" applyProtection="1">
      <alignment horizontal="center" vertical="center" wrapText="1"/>
      <protection locked="0"/>
    </xf>
    <xf numFmtId="0" fontId="47" fillId="4" borderId="4" xfId="2" applyFont="1" applyFill="1" applyBorder="1" applyAlignment="1" applyProtection="1">
      <alignment horizontal="center" vertical="center" wrapText="1"/>
      <protection locked="0"/>
    </xf>
    <xf numFmtId="0" fontId="47" fillId="4" borderId="56" xfId="2" applyFont="1" applyFill="1" applyBorder="1" applyAlignment="1" applyProtection="1">
      <alignment horizontal="center" vertical="center" wrapText="1"/>
      <protection locked="0"/>
    </xf>
    <xf numFmtId="0" fontId="7" fillId="4" borderId="33" xfId="2" applyFont="1" applyFill="1" applyBorder="1" applyAlignment="1" applyProtection="1">
      <alignment horizontal="center" vertical="center"/>
      <protection locked="0"/>
    </xf>
    <xf numFmtId="0" fontId="7" fillId="4" borderId="35" xfId="2" applyFont="1" applyFill="1" applyBorder="1" applyAlignment="1" applyProtection="1">
      <alignment horizontal="center" vertical="center"/>
      <protection locked="0"/>
    </xf>
    <xf numFmtId="0" fontId="7" fillId="4" borderId="36" xfId="2" applyFont="1" applyFill="1" applyBorder="1" applyAlignment="1" applyProtection="1">
      <alignment horizontal="center" vertical="center"/>
      <protection locked="0"/>
    </xf>
    <xf numFmtId="0" fontId="5" fillId="4" borderId="18" xfId="2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  <xf numFmtId="0" fontId="66" fillId="4" borderId="19" xfId="2" applyFont="1" applyFill="1" applyBorder="1" applyAlignment="1" applyProtection="1">
      <alignment horizontal="left" vertical="center"/>
      <protection locked="0"/>
    </xf>
    <xf numFmtId="0" fontId="66" fillId="4" borderId="20" xfId="2" applyFont="1" applyFill="1" applyBorder="1" applyAlignment="1" applyProtection="1">
      <alignment horizontal="left" vertical="center"/>
      <protection locked="0"/>
    </xf>
    <xf numFmtId="0" fontId="66" fillId="4" borderId="4" xfId="2" applyFont="1" applyFill="1" applyBorder="1" applyAlignment="1" applyProtection="1">
      <alignment horizontal="left" vertical="center"/>
      <protection locked="0"/>
    </xf>
    <xf numFmtId="0" fontId="66" fillId="4" borderId="56" xfId="2" applyFont="1" applyFill="1" applyBorder="1" applyAlignment="1" applyProtection="1">
      <alignment horizontal="left" vertical="center"/>
      <protection locked="0"/>
    </xf>
    <xf numFmtId="0" fontId="66" fillId="4" borderId="6" xfId="2" applyFont="1" applyFill="1" applyBorder="1" applyAlignment="1" applyProtection="1">
      <alignment horizontal="left" vertical="center"/>
      <protection locked="0"/>
    </xf>
    <xf numFmtId="0" fontId="66" fillId="4" borderId="12" xfId="2" applyFont="1" applyFill="1" applyBorder="1" applyAlignment="1" applyProtection="1">
      <alignment horizontal="left" vertical="center"/>
      <protection locked="0"/>
    </xf>
    <xf numFmtId="0" fontId="5" fillId="4" borderId="10" xfId="2" applyFont="1" applyFill="1" applyBorder="1" applyAlignment="1">
      <alignment horizontal="left" vertical="center" wrapText="1"/>
    </xf>
    <xf numFmtId="0" fontId="5" fillId="4" borderId="6" xfId="2" applyFont="1" applyFill="1" applyBorder="1" applyAlignment="1">
      <alignment horizontal="left" vertical="center" wrapText="1"/>
    </xf>
    <xf numFmtId="0" fontId="5" fillId="4" borderId="12" xfId="2" applyFont="1" applyFill="1" applyBorder="1" applyAlignment="1">
      <alignment horizontal="left" vertical="center" wrapText="1"/>
    </xf>
    <xf numFmtId="0" fontId="5" fillId="4" borderId="28" xfId="2" applyFont="1" applyFill="1" applyBorder="1" applyAlignment="1">
      <alignment horizontal="left" vertical="center" wrapText="1"/>
    </xf>
    <xf numFmtId="0" fontId="5" fillId="4" borderId="30" xfId="2" applyFont="1" applyFill="1" applyBorder="1" applyAlignment="1">
      <alignment horizontal="left" vertical="center" wrapText="1"/>
    </xf>
    <xf numFmtId="0" fontId="5" fillId="4" borderId="31" xfId="2" applyFont="1" applyFill="1" applyBorder="1" applyAlignment="1">
      <alignment horizontal="left" vertical="center" wrapText="1"/>
    </xf>
    <xf numFmtId="3" fontId="47" fillId="0" borderId="54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57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26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58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38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70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27" xfId="2" applyNumberFormat="1" applyFont="1" applyBorder="1" applyAlignment="1">
      <alignment horizontal="left" vertical="center" wrapText="1"/>
    </xf>
    <xf numFmtId="3" fontId="48" fillId="0" borderId="9" xfId="2" applyNumberFormat="1" applyFont="1" applyBorder="1" applyAlignment="1" applyProtection="1">
      <alignment horizontal="center" vertical="center"/>
      <protection locked="0"/>
    </xf>
    <xf numFmtId="3" fontId="48" fillId="0" borderId="71" xfId="2" applyNumberFormat="1" applyFont="1" applyBorder="1" applyAlignment="1" applyProtection="1">
      <alignment horizontal="center" vertical="center"/>
      <protection locked="0"/>
    </xf>
    <xf numFmtId="3" fontId="47" fillId="0" borderId="62" xfId="2" applyNumberFormat="1" applyFont="1" applyFill="1" applyBorder="1" applyAlignment="1">
      <alignment horizontal="center" vertical="center" wrapText="1"/>
    </xf>
    <xf numFmtId="3" fontId="47" fillId="0" borderId="44" xfId="2" applyNumberFormat="1" applyFont="1" applyFill="1" applyBorder="1" applyAlignment="1">
      <alignment horizontal="center" vertical="center" wrapText="1"/>
    </xf>
    <xf numFmtId="3" fontId="47" fillId="0" borderId="18" xfId="2" applyNumberFormat="1" applyFont="1" applyFill="1" applyBorder="1" applyAlignment="1">
      <alignment horizontal="center" vertical="center" wrapText="1"/>
    </xf>
    <xf numFmtId="3" fontId="49" fillId="0" borderId="50" xfId="2" applyNumberFormat="1" applyFont="1" applyFill="1" applyBorder="1" applyAlignment="1" applyProtection="1">
      <alignment horizontal="left" vertical="center"/>
      <protection locked="0"/>
    </xf>
    <xf numFmtId="3" fontId="49" fillId="0" borderId="60" xfId="2" applyNumberFormat="1" applyFont="1" applyFill="1" applyBorder="1" applyAlignment="1" applyProtection="1">
      <alignment horizontal="left" vertical="center"/>
      <protection locked="0"/>
    </xf>
    <xf numFmtId="3" fontId="49" fillId="0" borderId="53" xfId="2" applyNumberFormat="1" applyFont="1" applyFill="1" applyBorder="1" applyAlignment="1" applyProtection="1">
      <alignment horizontal="left" vertical="center"/>
      <protection locked="0"/>
    </xf>
    <xf numFmtId="3" fontId="47" fillId="0" borderId="27" xfId="2" applyNumberFormat="1" applyFont="1" applyFill="1" applyBorder="1" applyAlignment="1">
      <alignment horizontal="left" vertical="center" wrapText="1"/>
    </xf>
    <xf numFmtId="3" fontId="47" fillId="0" borderId="53" xfId="2" applyNumberFormat="1" applyFont="1" applyFill="1" applyBorder="1" applyAlignment="1">
      <alignment horizontal="left" vertical="center" wrapText="1"/>
    </xf>
    <xf numFmtId="3" fontId="47" fillId="0" borderId="45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47" fillId="0" borderId="4" xfId="2" applyNumberFormat="1" applyFont="1" applyFill="1" applyBorder="1" applyAlignment="1" applyProtection="1">
      <alignment horizontal="left" vertical="center" wrapText="1"/>
      <protection locked="0"/>
    </xf>
    <xf numFmtId="3" fontId="47" fillId="0" borderId="56" xfId="2" applyNumberFormat="1" applyFont="1" applyFill="1" applyBorder="1" applyAlignment="1" applyProtection="1">
      <alignment horizontal="left" vertical="center" wrapText="1"/>
      <protection locked="0"/>
    </xf>
    <xf numFmtId="3" fontId="47" fillId="0" borderId="75" xfId="2" applyNumberFormat="1" applyFont="1" applyFill="1" applyBorder="1" applyAlignment="1">
      <alignment horizontal="left" vertical="center" wrapText="1"/>
    </xf>
    <xf numFmtId="3" fontId="47" fillId="0" borderId="69" xfId="2" applyNumberFormat="1" applyFont="1" applyFill="1" applyBorder="1" applyAlignment="1">
      <alignment horizontal="left" vertical="center" wrapText="1"/>
    </xf>
    <xf numFmtId="3" fontId="47" fillId="0" borderId="56" xfId="2" applyNumberFormat="1" applyFont="1" applyBorder="1" applyAlignment="1">
      <alignment horizontal="left" vertical="center" wrapText="1"/>
    </xf>
    <xf numFmtId="3" fontId="47" fillId="0" borderId="73" xfId="2" applyNumberFormat="1" applyFont="1" applyBorder="1" applyAlignment="1">
      <alignment horizontal="left" vertical="center" wrapText="1"/>
    </xf>
    <xf numFmtId="3" fontId="47" fillId="0" borderId="74" xfId="2" applyNumberFormat="1" applyFont="1" applyBorder="1" applyAlignment="1">
      <alignment horizontal="left" vertical="center" wrapText="1"/>
    </xf>
    <xf numFmtId="0" fontId="48" fillId="0" borderId="59" xfId="2" applyFont="1" applyFill="1" applyBorder="1" applyAlignment="1" applyProtection="1">
      <alignment horizontal="center" vertical="center" wrapText="1"/>
      <protection locked="0"/>
    </xf>
    <xf numFmtId="0" fontId="48" fillId="0" borderId="60" xfId="2" applyFont="1" applyFill="1" applyBorder="1" applyAlignment="1" applyProtection="1">
      <alignment horizontal="center" vertical="center" wrapText="1"/>
      <protection locked="0"/>
    </xf>
    <xf numFmtId="0" fontId="48" fillId="0" borderId="61" xfId="2" applyFont="1" applyFill="1" applyBorder="1" applyAlignment="1" applyProtection="1">
      <alignment horizontal="center" vertical="center" wrapText="1"/>
      <protection locked="0"/>
    </xf>
    <xf numFmtId="0" fontId="48" fillId="0" borderId="54" xfId="2" applyFont="1" applyFill="1" applyBorder="1" applyAlignment="1" applyProtection="1">
      <alignment horizontal="center" vertical="center" wrapText="1"/>
      <protection locked="0"/>
    </xf>
    <xf numFmtId="0" fontId="48" fillId="0" borderId="57" xfId="2" applyFont="1" applyFill="1" applyBorder="1" applyAlignment="1" applyProtection="1">
      <alignment horizontal="center" vertical="center" wrapText="1"/>
      <protection locked="0"/>
    </xf>
    <xf numFmtId="0" fontId="48" fillId="0" borderId="26" xfId="2" applyFont="1" applyFill="1" applyBorder="1" applyAlignment="1" applyProtection="1">
      <alignment horizontal="center" vertical="center" wrapText="1"/>
      <protection locked="0"/>
    </xf>
    <xf numFmtId="0" fontId="48" fillId="0" borderId="58" xfId="2" applyFont="1" applyFill="1" applyBorder="1" applyAlignment="1" applyProtection="1">
      <alignment horizontal="center" vertical="center" wrapText="1"/>
      <protection locked="0"/>
    </xf>
    <xf numFmtId="0" fontId="48" fillId="5" borderId="41" xfId="2" applyFont="1" applyFill="1" applyBorder="1" applyAlignment="1" applyProtection="1">
      <alignment horizontal="center" vertical="center" wrapText="1"/>
      <protection locked="0"/>
    </xf>
    <xf numFmtId="0" fontId="48" fillId="5" borderId="49" xfId="2" applyFont="1" applyFill="1" applyBorder="1" applyAlignment="1" applyProtection="1">
      <alignment horizontal="center" vertical="center" wrapText="1"/>
      <protection locked="0"/>
    </xf>
    <xf numFmtId="0" fontId="48" fillId="5" borderId="10" xfId="2" applyFont="1" applyFill="1" applyBorder="1" applyAlignment="1" applyProtection="1">
      <alignment horizontal="center" vertical="center" wrapText="1"/>
      <protection locked="0"/>
    </xf>
    <xf numFmtId="0" fontId="48" fillId="5" borderId="12" xfId="2" applyFont="1" applyFill="1" applyBorder="1" applyAlignment="1" applyProtection="1">
      <alignment horizontal="center" vertical="center" wrapText="1"/>
      <protection locked="0"/>
    </xf>
    <xf numFmtId="0" fontId="48" fillId="0" borderId="59" xfId="2" applyFont="1" applyFill="1" applyBorder="1" applyAlignment="1" applyProtection="1">
      <alignment horizontal="center" vertical="center"/>
      <protection locked="0"/>
    </xf>
    <xf numFmtId="0" fontId="48" fillId="0" borderId="60" xfId="2" applyFont="1" applyFill="1" applyBorder="1" applyAlignment="1" applyProtection="1">
      <alignment horizontal="center" vertical="center"/>
      <protection locked="0"/>
    </xf>
    <xf numFmtId="0" fontId="48" fillId="0" borderId="61" xfId="2" applyFont="1" applyFill="1" applyBorder="1" applyAlignment="1" applyProtection="1">
      <alignment horizontal="center" vertical="center"/>
      <protection locked="0"/>
    </xf>
    <xf numFmtId="165" fontId="50" fillId="8" borderId="33" xfId="2" applyNumberFormat="1" applyFont="1" applyFill="1" applyBorder="1" applyAlignment="1" applyProtection="1">
      <alignment horizontal="center" vertical="center"/>
      <protection locked="0"/>
    </xf>
    <xf numFmtId="165" fontId="50" fillId="8" borderId="35" xfId="2" applyNumberFormat="1" applyFont="1" applyFill="1" applyBorder="1" applyAlignment="1" applyProtection="1">
      <alignment horizontal="center" vertical="center"/>
      <protection locked="0"/>
    </xf>
    <xf numFmtId="165" fontId="50" fillId="8" borderId="36" xfId="2" applyNumberFormat="1" applyFont="1" applyFill="1" applyBorder="1" applyAlignment="1" applyProtection="1">
      <alignment horizontal="center" vertical="center"/>
      <protection locked="0"/>
    </xf>
    <xf numFmtId="0" fontId="47" fillId="0" borderId="59" xfId="2" applyFont="1" applyFill="1" applyBorder="1" applyAlignment="1" applyProtection="1">
      <protection locked="0"/>
    </xf>
    <xf numFmtId="0" fontId="47" fillId="0" borderId="60" xfId="2" applyFont="1" applyFill="1" applyBorder="1" applyAlignment="1" applyProtection="1">
      <protection locked="0"/>
    </xf>
    <xf numFmtId="0" fontId="47" fillId="0" borderId="61" xfId="2" applyFont="1" applyFill="1" applyBorder="1" applyAlignment="1" applyProtection="1">
      <protection locked="0"/>
    </xf>
    <xf numFmtId="0" fontId="47" fillId="0" borderId="59" xfId="2" applyFont="1" applyFill="1" applyBorder="1" applyAlignment="1" applyProtection="1">
      <alignment wrapText="1"/>
      <protection locked="0"/>
    </xf>
    <xf numFmtId="0" fontId="47" fillId="0" borderId="60" xfId="2" applyFont="1" applyFill="1" applyBorder="1" applyAlignment="1" applyProtection="1">
      <alignment wrapText="1"/>
      <protection locked="0"/>
    </xf>
    <xf numFmtId="0" fontId="47" fillId="0" borderId="61" xfId="2" applyFont="1" applyFill="1" applyBorder="1" applyAlignment="1" applyProtection="1">
      <alignment wrapText="1"/>
      <protection locked="0"/>
    </xf>
    <xf numFmtId="0" fontId="48" fillId="8" borderId="71" xfId="2" applyFont="1" applyFill="1" applyBorder="1" applyAlignment="1" applyProtection="1">
      <alignment horizontal="center" vertical="center"/>
      <protection locked="0"/>
    </xf>
    <xf numFmtId="0" fontId="47" fillId="0" borderId="75" xfId="2" applyFont="1" applyBorder="1" applyAlignment="1">
      <alignment horizontal="left" vertical="center" wrapText="1"/>
    </xf>
    <xf numFmtId="0" fontId="48" fillId="0" borderId="71" xfId="2" applyFont="1" applyBorder="1" applyAlignment="1" applyProtection="1">
      <alignment horizontal="center" vertical="center"/>
      <protection locked="0"/>
    </xf>
  </cellXfs>
  <cellStyles count="5">
    <cellStyle name="Čárka" xfId="1" builtinId="3"/>
    <cellStyle name="Normální" xfId="0" builtinId="0"/>
    <cellStyle name="normální 2" xfId="2"/>
    <cellStyle name="normální 2 2" xfId="3"/>
    <cellStyle name="normální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9"/>
  <sheetViews>
    <sheetView zoomScale="70" zoomScaleNormal="70" workbookViewId="0"/>
  </sheetViews>
  <sheetFormatPr defaultRowHeight="12.75"/>
  <cols>
    <col min="1" max="1" width="3.85546875" style="3" customWidth="1"/>
    <col min="2" max="2" width="6.42578125" style="27" customWidth="1"/>
    <col min="3" max="3" width="10.85546875" style="27" customWidth="1"/>
    <col min="4" max="4" width="16.28515625" style="27" customWidth="1"/>
    <col min="5" max="8" width="13.28515625" style="27" customWidth="1"/>
    <col min="9" max="24" width="13.28515625" style="3" customWidth="1"/>
    <col min="25" max="16384" width="9.140625" style="3"/>
  </cols>
  <sheetData>
    <row r="1" spans="1:40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3"/>
      <c r="P1" s="13"/>
      <c r="Q1" s="13"/>
      <c r="R1" s="13"/>
      <c r="S1" s="13"/>
      <c r="T1" s="13"/>
      <c r="U1" s="2"/>
      <c r="V1" s="2"/>
    </row>
    <row r="2" spans="1:40" s="48" customFormat="1" ht="15" customHeight="1"/>
    <row r="3" spans="1:40" s="48" customFormat="1" ht="15" customHeight="1">
      <c r="A3" s="49" t="s">
        <v>57</v>
      </c>
    </row>
    <row r="4" spans="1:40" s="48" customFormat="1" ht="15" customHeight="1" thickBot="1">
      <c r="P4" s="17"/>
      <c r="X4" s="65" t="s">
        <v>4</v>
      </c>
    </row>
    <row r="5" spans="1:40" ht="28.5" customHeight="1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30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13"/>
      <c r="AK5" s="2"/>
      <c r="AL5" s="2"/>
    </row>
    <row r="6" spans="1:40" ht="19.5" customHeight="1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2"/>
      <c r="Q6" s="1424" t="s">
        <v>18</v>
      </c>
      <c r="R6" s="1425"/>
      <c r="S6" s="1424" t="s">
        <v>5</v>
      </c>
      <c r="T6" s="1425"/>
      <c r="U6" s="1424" t="s">
        <v>21</v>
      </c>
      <c r="V6" s="1425"/>
      <c r="W6" s="1455" t="s">
        <v>17</v>
      </c>
      <c r="X6" s="1456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13"/>
      <c r="AM6" s="2"/>
      <c r="AN6" s="2"/>
    </row>
    <row r="7" spans="1:40" ht="19.5" customHeight="1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39</v>
      </c>
      <c r="J7" s="1420"/>
      <c r="K7" s="1416" t="s">
        <v>29</v>
      </c>
      <c r="L7" s="1417"/>
      <c r="M7" s="1419" t="s">
        <v>59</v>
      </c>
      <c r="N7" s="1420"/>
      <c r="O7" s="1416" t="s">
        <v>31</v>
      </c>
      <c r="P7" s="1417"/>
      <c r="Q7" s="1426"/>
      <c r="R7" s="1427"/>
      <c r="S7" s="1426"/>
      <c r="T7" s="1427"/>
      <c r="U7" s="1426"/>
      <c r="V7" s="1427"/>
      <c r="W7" s="1457"/>
      <c r="X7" s="145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13"/>
      <c r="AL7" s="2"/>
      <c r="AM7" s="2"/>
    </row>
    <row r="8" spans="1:40" ht="19.5" customHeight="1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 t="s">
        <v>6</v>
      </c>
      <c r="P8" s="44" t="s">
        <v>38</v>
      </c>
      <c r="Q8" s="15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62" t="s">
        <v>52</v>
      </c>
      <c r="X8" s="63" t="s">
        <v>38</v>
      </c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13"/>
      <c r="AL8" s="2"/>
      <c r="AM8" s="2"/>
    </row>
    <row r="9" spans="1:40" s="11" customFormat="1" ht="18.75" customHeight="1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>
        <v>11</v>
      </c>
      <c r="P9" s="44">
        <v>12</v>
      </c>
      <c r="Q9" s="15">
        <v>13</v>
      </c>
      <c r="R9" s="44">
        <v>14</v>
      </c>
      <c r="S9" s="15">
        <v>15</v>
      </c>
      <c r="T9" s="44">
        <v>16</v>
      </c>
      <c r="U9" s="15">
        <v>17</v>
      </c>
      <c r="V9" s="44">
        <v>18</v>
      </c>
      <c r="W9" s="62">
        <v>19</v>
      </c>
      <c r="X9" s="63">
        <v>20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8"/>
      <c r="AL9" s="10"/>
      <c r="AM9" s="10"/>
    </row>
    <row r="10" spans="1:40" ht="15" customHeight="1">
      <c r="A10" s="30">
        <v>1</v>
      </c>
      <c r="B10" s="1395" t="s">
        <v>30</v>
      </c>
      <c r="C10" s="1452" t="s">
        <v>16</v>
      </c>
      <c r="D10" s="1453"/>
      <c r="E10" s="68">
        <f>SUM(UK:VŠTE!E10)</f>
        <v>6076659.9534</v>
      </c>
      <c r="F10" s="71">
        <f>SUM(UK:VŠTE!F10)</f>
        <v>216630.80998000002</v>
      </c>
      <c r="G10" s="69">
        <f>SUM(UK:VŠTE!G10)</f>
        <v>2180314.9415999996</v>
      </c>
      <c r="H10" s="70">
        <f>SUM(UK:VŠTE!H10)</f>
        <v>13302.995739999998</v>
      </c>
      <c r="I10" s="68">
        <f>SUM(UK:VŠTE!I10)</f>
        <v>731519.78551000007</v>
      </c>
      <c r="J10" s="69">
        <f>SUM(UK:VŠTE!J10)</f>
        <v>25573.333000000002</v>
      </c>
      <c r="K10" s="69">
        <f>SUM(UK:VŠTE!K10)</f>
        <v>87835.974739999991</v>
      </c>
      <c r="L10" s="70">
        <f>SUM(UK:VŠTE!L10)</f>
        <v>8311.5120000000006</v>
      </c>
      <c r="M10" s="68">
        <f>SUM(UK:VŠTE!M10)+SUM(UK:VŠTE!O10)</f>
        <v>173822.67825</v>
      </c>
      <c r="N10" s="69">
        <f>SUM(UK:VŠTE!N10)+SUM(UK:VŠTE!P10)</f>
        <v>20516.162</v>
      </c>
      <c r="O10" s="69">
        <f>SUM(UK:VŠTE!Q10)</f>
        <v>27698.765749999999</v>
      </c>
      <c r="P10" s="70">
        <f>SUM(UK:VŠTE!R10)</f>
        <v>8142.6840000000002</v>
      </c>
      <c r="Q10" s="68">
        <f>SUM(UK:VŠTE!S10)</f>
        <v>116679.03855999988</v>
      </c>
      <c r="R10" s="70">
        <f>SUM(UK:VŠTE!T10)</f>
        <v>1537.2369999999999</v>
      </c>
      <c r="S10" s="68">
        <f>SUM(UK:VŠTE!U10)</f>
        <v>146555.34509000002</v>
      </c>
      <c r="T10" s="70">
        <f>SUM(UK:VŠTE!V10)</f>
        <v>31873.931300000004</v>
      </c>
      <c r="U10" s="1214">
        <f>SUM(UK:VŠTE!W10)</f>
        <v>682650.34710000025</v>
      </c>
      <c r="V10" s="1215">
        <f>SUM(UK:VŠTE!X10)</f>
        <v>78166.272979999994</v>
      </c>
      <c r="W10" s="806">
        <f t="shared" ref="W10:X14" si="0">E10+G10+I10+K10+M10+O10+Q10+S10+U10</f>
        <v>10223736.83</v>
      </c>
      <c r="X10" s="1216">
        <f t="shared" si="0"/>
        <v>404054.93800000008</v>
      </c>
      <c r="Y10" s="48"/>
      <c r="Z10" s="48"/>
      <c r="AA10" s="48"/>
      <c r="AB10" s="48"/>
      <c r="AC10" s="48"/>
      <c r="AD10" s="48"/>
      <c r="AE10" s="13"/>
      <c r="AF10" s="2"/>
      <c r="AG10" s="2"/>
    </row>
    <row r="11" spans="1:40" ht="15" customHeight="1">
      <c r="A11" s="30">
        <v>2</v>
      </c>
      <c r="B11" s="1418"/>
      <c r="C11" s="1461" t="s">
        <v>9</v>
      </c>
      <c r="D11" s="1462"/>
      <c r="E11" s="72">
        <f>SUM(UK:VŠTE!E11)</f>
        <v>225170.05489999996</v>
      </c>
      <c r="F11" s="75">
        <f>SUM(UK:VŠTE!F11)</f>
        <v>36427.570199999995</v>
      </c>
      <c r="G11" s="67">
        <f>SUM(UK:VŠTE!G11)</f>
        <v>560232.8101</v>
      </c>
      <c r="H11" s="74">
        <f>SUM(UK:VŠTE!H11)</f>
        <v>40239.515890000002</v>
      </c>
      <c r="I11" s="72">
        <f>SUM(UK:VŠTE!I11)</f>
        <v>611245.13243999984</v>
      </c>
      <c r="J11" s="67">
        <f>SUM(UK:VŠTE!J11)</f>
        <v>116029.75999999999</v>
      </c>
      <c r="K11" s="67">
        <f>SUM(UK:VŠTE!K11)</f>
        <v>96999.684729999994</v>
      </c>
      <c r="L11" s="74">
        <f>SUM(UK:VŠTE!L11)</f>
        <v>10375.424999999999</v>
      </c>
      <c r="M11" s="72">
        <f>SUM(UK:VŠTE!M11)+SUM(UK:VŠTE!O11)</f>
        <v>93903.773449999993</v>
      </c>
      <c r="N11" s="67">
        <f>SUM(UK:VŠTE!N11)+SUM(UK:VŠTE!P11)</f>
        <v>11229.882</v>
      </c>
      <c r="O11" s="67">
        <f>SUM(UK:VŠTE!Q11)</f>
        <v>70476.298980000007</v>
      </c>
      <c r="P11" s="74">
        <f>SUM(UK:VŠTE!R11)</f>
        <v>10124.154999999999</v>
      </c>
      <c r="Q11" s="72">
        <f>SUM(UK:VŠTE!S11)</f>
        <v>16645.453860000001</v>
      </c>
      <c r="R11" s="74">
        <f>SUM(UK:VŠTE!T11)</f>
        <v>4280.38</v>
      </c>
      <c r="S11" s="72">
        <f>SUM(UK:VŠTE!U11)</f>
        <v>86090.754520000002</v>
      </c>
      <c r="T11" s="74">
        <f>SUM(UK:VŠTE!V11)</f>
        <v>31163.049160000002</v>
      </c>
      <c r="U11" s="1217">
        <f>SUM(UK:VŠTE!W11)</f>
        <v>150944.05102000001</v>
      </c>
      <c r="V11" s="1218">
        <f>SUM(UK:VŠTE!X11)</f>
        <v>25263.998749999999</v>
      </c>
      <c r="W11" s="810">
        <f t="shared" si="0"/>
        <v>1911708.014</v>
      </c>
      <c r="X11" s="1219">
        <f t="shared" si="0"/>
        <v>285133.73600000003</v>
      </c>
      <c r="Y11" s="48"/>
      <c r="Z11" s="48"/>
      <c r="AA11" s="48"/>
      <c r="AB11" s="48"/>
      <c r="AC11" s="48"/>
      <c r="AD11" s="48"/>
      <c r="AE11" s="13"/>
      <c r="AF11" s="2"/>
      <c r="AG11" s="2"/>
    </row>
    <row r="12" spans="1:40" ht="15" customHeight="1">
      <c r="A12" s="33">
        <v>3</v>
      </c>
      <c r="B12" s="1418"/>
      <c r="C12" s="1405" t="s">
        <v>2</v>
      </c>
      <c r="D12" s="1406"/>
      <c r="E12" s="72">
        <f>SUM(UK:VŠTE!E12)</f>
        <v>3834954.1526999995</v>
      </c>
      <c r="F12" s="75">
        <f>SUM(UK:VŠTE!F12)</f>
        <v>234885.99682</v>
      </c>
      <c r="G12" s="67">
        <f>SUM(UK:VŠTE!G12)</f>
        <v>626526.88329999999</v>
      </c>
      <c r="H12" s="74">
        <f>SUM(UK:VŠTE!H12)</f>
        <v>49679.532370000001</v>
      </c>
      <c r="I12" s="72">
        <f>SUM(UK:VŠTE!I12)</f>
        <v>271229.92840999999</v>
      </c>
      <c r="J12" s="67">
        <f>SUM(UK:VŠTE!J12)</f>
        <v>84928.531920000009</v>
      </c>
      <c r="K12" s="67">
        <f>SUM(UK:VŠTE!K12)</f>
        <v>31967.724790000004</v>
      </c>
      <c r="L12" s="74">
        <f>SUM(UK:VŠTE!L12)</f>
        <v>8428.3819999999996</v>
      </c>
      <c r="M12" s="72">
        <f>SUM(UK:VŠTE!M12)+SUM(UK:VŠTE!O12)</f>
        <v>167022.97036000001</v>
      </c>
      <c r="N12" s="67">
        <f>SUM(UK:VŠTE!N12)+SUM(UK:VŠTE!P12)</f>
        <v>47571.95336</v>
      </c>
      <c r="O12" s="67">
        <f>SUM(UK:VŠTE!Q12)</f>
        <v>52402.422829999989</v>
      </c>
      <c r="P12" s="74">
        <f>SUM(UK:VŠTE!R12)</f>
        <v>8553.3204000000005</v>
      </c>
      <c r="Q12" s="72">
        <f>SUM(UK:VŠTE!S12)</f>
        <v>107202.27179999999</v>
      </c>
      <c r="R12" s="74">
        <f>SUM(UK:VŠTE!T12)</f>
        <v>5933.2899500000003</v>
      </c>
      <c r="S12" s="72">
        <f>SUM(UK:VŠTE!U12)</f>
        <v>248004.29339000001</v>
      </c>
      <c r="T12" s="74">
        <f>SUM(UK:VŠTE!V12)</f>
        <v>78893.630539999998</v>
      </c>
      <c r="U12" s="1217">
        <f>SUM(UK:VŠTE!W12)</f>
        <v>468164.79358000035</v>
      </c>
      <c r="V12" s="1218">
        <f>SUM(UK:VŠTE!X12)</f>
        <v>87606.395640000002</v>
      </c>
      <c r="W12" s="810">
        <f t="shared" si="0"/>
        <v>5807475.4411599999</v>
      </c>
      <c r="X12" s="1219">
        <f t="shared" si="0"/>
        <v>606481.03300000005</v>
      </c>
      <c r="Y12" s="48"/>
      <c r="Z12" s="48"/>
      <c r="AA12" s="48"/>
      <c r="AB12" s="48"/>
      <c r="AC12" s="48"/>
      <c r="AD12" s="48"/>
      <c r="AE12" s="13"/>
      <c r="AF12" s="2"/>
      <c r="AG12" s="2"/>
    </row>
    <row r="13" spans="1:40" ht="15" customHeight="1">
      <c r="A13" s="33">
        <v>4</v>
      </c>
      <c r="B13" s="1463" t="s">
        <v>8</v>
      </c>
      <c r="C13" s="1464"/>
      <c r="D13" s="1465"/>
      <c r="E13" s="72">
        <f>SUM(UK:VŠTE!E13)</f>
        <v>184803.61799999999</v>
      </c>
      <c r="F13" s="75">
        <f>SUM(UK:VŠTE!F13)</f>
        <v>2923.5899999999997</v>
      </c>
      <c r="G13" s="67">
        <f>SUM(UK:VŠTE!G13)</f>
        <v>0</v>
      </c>
      <c r="H13" s="74">
        <f>SUM(UK:VŠTE!H13)</f>
        <v>0</v>
      </c>
      <c r="I13" s="72">
        <f>SUM(UK:VŠTE!I13)</f>
        <v>0</v>
      </c>
      <c r="J13" s="67">
        <f>SUM(UK:VŠTE!J13)</f>
        <v>0</v>
      </c>
      <c r="K13" s="67">
        <f>SUM(UK:VŠTE!K13)</f>
        <v>0</v>
      </c>
      <c r="L13" s="74">
        <f>SUM(UK:VŠTE!L13)</f>
        <v>0</v>
      </c>
      <c r="M13" s="72">
        <f>SUM(UK:VŠTE!M13)+SUM(UK:VŠTE!O13)</f>
        <v>0</v>
      </c>
      <c r="N13" s="67">
        <f>SUM(UK:VŠTE!N13)+SUM(UK:VŠTE!P13)</f>
        <v>0</v>
      </c>
      <c r="O13" s="67">
        <f>SUM(UK:VŠTE!Q13)</f>
        <v>0</v>
      </c>
      <c r="P13" s="74">
        <f>SUM(UK:VŠTE!R13)</f>
        <v>0</v>
      </c>
      <c r="Q13" s="72">
        <f>SUM(UK:VŠTE!S13)</f>
        <v>2372</v>
      </c>
      <c r="R13" s="74">
        <f>SUM(UK:VŠTE!T13)</f>
        <v>0</v>
      </c>
      <c r="S13" s="72">
        <f>SUM(UK:VŠTE!U13)</f>
        <v>152414.17199999999</v>
      </c>
      <c r="T13" s="74">
        <f>SUM(UK:VŠTE!V13)</f>
        <v>7504.1620000000003</v>
      </c>
      <c r="U13" s="1217">
        <f>SUM(UK:VŠTE!W13)</f>
        <v>224649.54084000003</v>
      </c>
      <c r="V13" s="1218">
        <f>SUM(UK:VŠTE!X13)</f>
        <v>9690.8289999999997</v>
      </c>
      <c r="W13" s="810">
        <f t="shared" si="0"/>
        <v>564239.33083999995</v>
      </c>
      <c r="X13" s="1219">
        <f t="shared" si="0"/>
        <v>20118.580999999998</v>
      </c>
      <c r="Y13" s="48"/>
      <c r="Z13" s="48"/>
      <c r="AA13" s="48"/>
      <c r="AB13" s="48"/>
      <c r="AC13" s="48"/>
      <c r="AD13" s="48"/>
      <c r="AE13" s="13"/>
      <c r="AF13" s="2"/>
      <c r="AG13" s="2"/>
    </row>
    <row r="14" spans="1:40" ht="15" customHeight="1" thickBot="1">
      <c r="A14" s="36">
        <v>5</v>
      </c>
      <c r="B14" s="1421" t="s">
        <v>25</v>
      </c>
      <c r="C14" s="1422"/>
      <c r="D14" s="1423"/>
      <c r="E14" s="104">
        <f>SUM(UK:VŠTE!E14)</f>
        <v>2063</v>
      </c>
      <c r="F14" s="719">
        <f>SUM(UK:VŠTE!F14)</f>
        <v>195</v>
      </c>
      <c r="G14" s="105">
        <f>SUM(UK:VŠTE!G14)</f>
        <v>0</v>
      </c>
      <c r="H14" s="106">
        <f>SUM(UK:VŠTE!H14)</f>
        <v>0</v>
      </c>
      <c r="I14" s="104">
        <f>SUM(UK:VŠTE!I14)</f>
        <v>0</v>
      </c>
      <c r="J14" s="105">
        <f>SUM(UK:VŠTE!J14)</f>
        <v>0</v>
      </c>
      <c r="K14" s="105">
        <f>SUM(UK:VŠTE!K14)</f>
        <v>0</v>
      </c>
      <c r="L14" s="106">
        <f>SUM(UK:VŠTE!L14)</f>
        <v>0</v>
      </c>
      <c r="M14" s="104">
        <f>SUM(UK:VŠTE!M14)+SUM(UK:VŠTE!O14)</f>
        <v>0</v>
      </c>
      <c r="N14" s="105">
        <f>SUM(UK:VŠTE!N14)+SUM(UK:VŠTE!P14)</f>
        <v>0</v>
      </c>
      <c r="O14" s="105">
        <f>SUM(UK:VŠTE!Q14)</f>
        <v>0</v>
      </c>
      <c r="P14" s="106">
        <f>SUM(UK:VŠTE!R14)</f>
        <v>0</v>
      </c>
      <c r="Q14" s="406">
        <f>SUM(UK:VŠTE!S14)</f>
        <v>0</v>
      </c>
      <c r="R14" s="407">
        <f>SUM(UK:VŠTE!T14)</f>
        <v>0</v>
      </c>
      <c r="S14" s="408">
        <f>SUM(UK:VŠTE!U14)</f>
        <v>201526.55499999999</v>
      </c>
      <c r="T14" s="409">
        <f>SUM(UK:VŠTE!V14)</f>
        <v>11253.671</v>
      </c>
      <c r="U14" s="1220">
        <f>SUM(UK:VŠTE!W14)</f>
        <v>2402.54</v>
      </c>
      <c r="V14" s="407">
        <f>SUM(UK:VŠTE!X14)</f>
        <v>400.44400000000002</v>
      </c>
      <c r="W14" s="815">
        <f t="shared" si="0"/>
        <v>205992.095</v>
      </c>
      <c r="X14" s="1221">
        <f t="shared" si="0"/>
        <v>11849.115</v>
      </c>
      <c r="Y14" s="48"/>
      <c r="Z14" s="48"/>
      <c r="AA14" s="48"/>
      <c r="AB14" s="48"/>
      <c r="AC14" s="13"/>
      <c r="AD14" s="2"/>
      <c r="AE14" s="2"/>
    </row>
    <row r="15" spans="1:40" s="16" customFormat="1" ht="15" customHeight="1" thickBot="1">
      <c r="A15" s="37">
        <v>6</v>
      </c>
      <c r="B15" s="1399" t="s">
        <v>17</v>
      </c>
      <c r="C15" s="1400"/>
      <c r="D15" s="1401"/>
      <c r="E15" s="118">
        <f>SUM(E10:E14)</f>
        <v>10323650.778999999</v>
      </c>
      <c r="F15" s="720">
        <f t="shared" ref="F15:X15" si="1">SUM(F10:F14)</f>
        <v>491062.967</v>
      </c>
      <c r="G15" s="119">
        <f t="shared" si="1"/>
        <v>3367074.6349999993</v>
      </c>
      <c r="H15" s="120">
        <f t="shared" si="1"/>
        <v>103222.04399999999</v>
      </c>
      <c r="I15" s="118">
        <f t="shared" si="1"/>
        <v>1613994.8463599999</v>
      </c>
      <c r="J15" s="119">
        <f t="shared" si="1"/>
        <v>226531.62492</v>
      </c>
      <c r="K15" s="119">
        <f t="shared" si="1"/>
        <v>216803.38425999999</v>
      </c>
      <c r="L15" s="120">
        <f t="shared" si="1"/>
        <v>27115.318999999996</v>
      </c>
      <c r="M15" s="118">
        <f t="shared" si="1"/>
        <v>434749.42206000001</v>
      </c>
      <c r="N15" s="119">
        <f t="shared" si="1"/>
        <v>79317.997360000008</v>
      </c>
      <c r="O15" s="119">
        <f t="shared" si="1"/>
        <v>150577.48756000001</v>
      </c>
      <c r="P15" s="120">
        <f t="shared" si="1"/>
        <v>26820.1594</v>
      </c>
      <c r="Q15" s="1224">
        <f t="shared" si="1"/>
        <v>242898.76421999987</v>
      </c>
      <c r="R15" s="1225">
        <f t="shared" si="1"/>
        <v>11750.906950000001</v>
      </c>
      <c r="S15" s="1224">
        <f t="shared" si="1"/>
        <v>834591.12000000011</v>
      </c>
      <c r="T15" s="1225">
        <f t="shared" si="1"/>
        <v>160688.44400000002</v>
      </c>
      <c r="U15" s="1358">
        <f t="shared" si="1"/>
        <v>1528811.2725400007</v>
      </c>
      <c r="V15" s="1225">
        <f t="shared" si="1"/>
        <v>201127.94036999997</v>
      </c>
      <c r="W15" s="820">
        <f t="shared" si="1"/>
        <v>18713151.710999999</v>
      </c>
      <c r="X15" s="1347">
        <f t="shared" si="1"/>
        <v>1327637.4030000002</v>
      </c>
      <c r="Y15" s="50"/>
      <c r="Z15" s="50"/>
      <c r="AA15" s="50"/>
      <c r="AB15" s="50"/>
      <c r="AC15" s="35"/>
      <c r="AD15" s="9"/>
      <c r="AE15" s="9"/>
    </row>
    <row r="16" spans="1:40" s="48" customFormat="1" ht="15" customHeight="1">
      <c r="E16" s="495">
        <f>SUM(UK:VŠTE!E15)</f>
        <v>10323650.778999999</v>
      </c>
      <c r="F16" s="495">
        <f>SUM(UK:VŠTE!F15)</f>
        <v>491062.967</v>
      </c>
      <c r="G16" s="495">
        <f>SUM(UK:VŠTE!G15)</f>
        <v>3367074.6349999998</v>
      </c>
      <c r="H16" s="495">
        <f>SUM(UK:VŠTE!H15)</f>
        <v>103222.04400000001</v>
      </c>
      <c r="I16" s="495">
        <f>SUM(UK:VŠTE!I15)</f>
        <v>1613994.8463600001</v>
      </c>
      <c r="J16" s="495">
        <f>SUM(UK:VŠTE!J15)</f>
        <v>226531.62492000003</v>
      </c>
      <c r="K16" s="495">
        <f>SUM(UK:VŠTE!K15)</f>
        <v>216803.38426000002</v>
      </c>
      <c r="L16" s="495">
        <f>SUM(UK:VŠTE!L15)</f>
        <v>27115.318999999996</v>
      </c>
      <c r="M16" s="104">
        <f>SUM(UK:VŠTE!M15)+SUM(UK:VŠTE!O15)</f>
        <v>434749.42205999995</v>
      </c>
      <c r="N16" s="104">
        <f>SUM(UK:VŠTE!N15)+SUM(UK:VŠTE!P15)</f>
        <v>79317.997359999979</v>
      </c>
      <c r="O16" s="105">
        <f>SUM(UK:VŠTE!Q15)</f>
        <v>150577.48756000001</v>
      </c>
      <c r="P16" s="495">
        <f>SUM(UK:VŠTE!R15)</f>
        <v>26820.1594</v>
      </c>
      <c r="Q16" s="495">
        <f>SUM(UK:VŠTE!S15)</f>
        <v>242898.7642199999</v>
      </c>
      <c r="R16" s="495">
        <f>SUM(UK:VŠTE!T15)</f>
        <v>11750.906949999999</v>
      </c>
      <c r="S16" s="495">
        <f>SUM(UK:VŠTE!U15)</f>
        <v>834591.12</v>
      </c>
      <c r="T16" s="495">
        <f>SUM(UK:VŠTE!V15)</f>
        <v>160688.44399999999</v>
      </c>
      <c r="U16" s="495">
        <f>SUM(UK:VŠTE!W15)</f>
        <v>1528811.2725400003</v>
      </c>
      <c r="V16" s="495">
        <f>SUM(UK:VŠTE!X15)</f>
        <v>201127.94037</v>
      </c>
      <c r="W16" s="495">
        <f>SUM(UK:VŠTE!Y15)</f>
        <v>18713151.710999999</v>
      </c>
      <c r="X16" s="495">
        <f>SUM(UK:VŠTE!Z15)</f>
        <v>1327637.4029999999</v>
      </c>
    </row>
    <row r="17" spans="1:31" ht="14.25" customHeight="1">
      <c r="A17" s="49"/>
      <c r="B17" s="32"/>
      <c r="C17" s="32"/>
      <c r="D17" s="32"/>
      <c r="E17" s="743">
        <f>E16-E15</f>
        <v>0</v>
      </c>
      <c r="F17" s="743">
        <f t="shared" ref="F17:X17" si="2">F16-F15</f>
        <v>0</v>
      </c>
      <c r="G17" s="743">
        <f t="shared" si="2"/>
        <v>0</v>
      </c>
      <c r="H17" s="743">
        <f t="shared" si="2"/>
        <v>0</v>
      </c>
      <c r="I17" s="743">
        <f t="shared" si="2"/>
        <v>0</v>
      </c>
      <c r="J17" s="743">
        <f t="shared" si="2"/>
        <v>0</v>
      </c>
      <c r="K17" s="743">
        <f t="shared" si="2"/>
        <v>0</v>
      </c>
      <c r="L17" s="743">
        <f t="shared" si="2"/>
        <v>0</v>
      </c>
      <c r="M17" s="743">
        <f t="shared" si="2"/>
        <v>0</v>
      </c>
      <c r="N17" s="743">
        <f t="shared" si="2"/>
        <v>0</v>
      </c>
      <c r="O17" s="743">
        <f t="shared" si="2"/>
        <v>0</v>
      </c>
      <c r="P17" s="743">
        <f t="shared" si="2"/>
        <v>0</v>
      </c>
      <c r="Q17" s="743">
        <f t="shared" si="2"/>
        <v>0</v>
      </c>
      <c r="R17" s="743">
        <f t="shared" si="2"/>
        <v>0</v>
      </c>
      <c r="S17" s="743">
        <f t="shared" si="2"/>
        <v>0</v>
      </c>
      <c r="T17" s="725">
        <f t="shared" si="2"/>
        <v>0</v>
      </c>
      <c r="U17" s="725">
        <f t="shared" si="2"/>
        <v>0</v>
      </c>
      <c r="V17" s="725">
        <f t="shared" si="2"/>
        <v>0</v>
      </c>
      <c r="W17" s="726">
        <f t="shared" si="2"/>
        <v>0</v>
      </c>
      <c r="X17" s="726">
        <f t="shared" si="2"/>
        <v>0</v>
      </c>
    </row>
    <row r="18" spans="1:31" ht="14.25" customHeight="1" thickBot="1">
      <c r="A18" s="49" t="s">
        <v>58</v>
      </c>
      <c r="B18" s="32"/>
      <c r="C18" s="32"/>
      <c r="D18" s="32"/>
      <c r="E18" s="743"/>
      <c r="F18" s="743"/>
      <c r="G18" s="743"/>
      <c r="H18" s="743"/>
      <c r="I18" s="743"/>
      <c r="J18" s="743"/>
      <c r="K18" s="743"/>
      <c r="L18" s="743"/>
      <c r="M18" s="744" t="s">
        <v>4</v>
      </c>
      <c r="N18" s="495"/>
      <c r="O18" s="495"/>
      <c r="P18" s="495"/>
      <c r="Q18" s="495"/>
      <c r="R18" s="495"/>
      <c r="S18" s="495"/>
      <c r="T18" s="495"/>
      <c r="U18" s="725"/>
      <c r="V18" s="725"/>
      <c r="W18" s="726"/>
      <c r="X18" s="726"/>
    </row>
    <row r="19" spans="1:31" ht="28.5" customHeight="1">
      <c r="A19" s="1449" t="s">
        <v>1</v>
      </c>
      <c r="B19" s="1446" t="s">
        <v>7</v>
      </c>
      <c r="C19" s="1446"/>
      <c r="D19" s="1446"/>
      <c r="E19" s="1396" t="s">
        <v>32</v>
      </c>
      <c r="F19" s="1397"/>
      <c r="G19" s="1398"/>
      <c r="H19" s="1402" t="s">
        <v>34</v>
      </c>
      <c r="I19" s="1403"/>
      <c r="J19" s="1404"/>
      <c r="K19" s="1397" t="s">
        <v>17</v>
      </c>
      <c r="L19" s="1397"/>
      <c r="M19" s="1398"/>
      <c r="N19" s="495"/>
      <c r="O19" s="495"/>
      <c r="P19" s="495"/>
      <c r="Q19" s="495"/>
      <c r="R19" s="495"/>
      <c r="S19" s="495"/>
      <c r="T19" s="495"/>
      <c r="U19" s="725"/>
      <c r="V19" s="725"/>
      <c r="W19" s="726"/>
      <c r="X19" s="726"/>
    </row>
    <row r="20" spans="1:31" ht="44.25" customHeight="1">
      <c r="A20" s="1450"/>
      <c r="B20" s="1447"/>
      <c r="C20" s="1447"/>
      <c r="D20" s="1447"/>
      <c r="E20" s="745" t="s">
        <v>40</v>
      </c>
      <c r="F20" s="746" t="s">
        <v>33</v>
      </c>
      <c r="G20" s="747" t="s">
        <v>23</v>
      </c>
      <c r="H20" s="745" t="s">
        <v>22</v>
      </c>
      <c r="I20" s="746" t="s">
        <v>33</v>
      </c>
      <c r="J20" s="747" t="s">
        <v>23</v>
      </c>
      <c r="K20" s="748" t="s">
        <v>22</v>
      </c>
      <c r="L20" s="749" t="s">
        <v>33</v>
      </c>
      <c r="M20" s="747" t="s">
        <v>23</v>
      </c>
      <c r="N20" s="495"/>
      <c r="O20" s="1454"/>
      <c r="P20" s="1454"/>
      <c r="Q20" s="1454"/>
      <c r="R20" s="1454"/>
      <c r="S20" s="1454"/>
      <c r="T20" s="1454"/>
      <c r="U20" s="1454"/>
      <c r="V20" s="1454"/>
      <c r="W20" s="1454"/>
      <c r="X20" s="1454"/>
      <c r="Y20" s="48"/>
      <c r="Z20" s="48"/>
      <c r="AA20" s="48"/>
      <c r="AB20" s="48"/>
      <c r="AC20" s="48"/>
      <c r="AD20" s="48"/>
      <c r="AE20" s="48"/>
    </row>
    <row r="21" spans="1:31" s="11" customFormat="1" ht="25.5" customHeight="1" thickBot="1">
      <c r="A21" s="1451"/>
      <c r="B21" s="1448"/>
      <c r="C21" s="1448"/>
      <c r="D21" s="1448"/>
      <c r="E21" s="729">
        <v>1</v>
      </c>
      <c r="F21" s="731">
        <v>2</v>
      </c>
      <c r="G21" s="732" t="s">
        <v>47</v>
      </c>
      <c r="H21" s="729">
        <v>4</v>
      </c>
      <c r="I21" s="731">
        <v>5</v>
      </c>
      <c r="J21" s="732" t="s">
        <v>48</v>
      </c>
      <c r="K21" s="730">
        <v>7</v>
      </c>
      <c r="L21" s="750">
        <v>8</v>
      </c>
      <c r="M21" s="732" t="s">
        <v>49</v>
      </c>
      <c r="N21" s="751"/>
      <c r="O21" s="1454"/>
      <c r="P21" s="1454"/>
      <c r="Q21" s="1454"/>
      <c r="R21" s="1454"/>
      <c r="S21" s="1454"/>
      <c r="T21" s="1454"/>
      <c r="U21" s="1454"/>
      <c r="V21" s="1454"/>
      <c r="W21" s="1454"/>
      <c r="X21" s="1454"/>
      <c r="Y21" s="51"/>
      <c r="Z21" s="51"/>
      <c r="AA21" s="51"/>
      <c r="AB21" s="51"/>
      <c r="AC21" s="51"/>
      <c r="AD21" s="51"/>
      <c r="AE21" s="51"/>
    </row>
    <row r="22" spans="1:31" ht="13.5" customHeight="1">
      <c r="A22" s="34">
        <v>1</v>
      </c>
      <c r="B22" s="1393" t="s">
        <v>26</v>
      </c>
      <c r="C22" s="1459" t="s">
        <v>42</v>
      </c>
      <c r="D22" s="38" t="s">
        <v>11</v>
      </c>
      <c r="E22" s="68">
        <f>SUM(UK:VŠTE!E22)</f>
        <v>1719.8270000000002</v>
      </c>
      <c r="F22" s="69">
        <f>SUM(UK:VŠTE!F22)</f>
        <v>1542366.3729999997</v>
      </c>
      <c r="G22" s="70">
        <f>F22/12/E22*1000</f>
        <v>74734.569862743927</v>
      </c>
      <c r="H22" s="68">
        <f>SUM(UK:VŠTE!H22)</f>
        <v>324.50399999999996</v>
      </c>
      <c r="I22" s="69">
        <f>SUM(UK:VŠTE!I22)</f>
        <v>372635.82699999999</v>
      </c>
      <c r="J22" s="70">
        <f t="shared" ref="J22:J33" si="3">I22/12/H22*1000</f>
        <v>95693.691243662135</v>
      </c>
      <c r="K22" s="71">
        <f>E22+H22</f>
        <v>2044.3310000000001</v>
      </c>
      <c r="L22" s="69">
        <f>F22+I22</f>
        <v>1915002.1999999997</v>
      </c>
      <c r="M22" s="70">
        <f t="shared" ref="M22:M33" si="4">L22/12/K22*1000</f>
        <v>78061.486455308186</v>
      </c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8"/>
      <c r="Z22" s="48"/>
      <c r="AA22" s="48"/>
      <c r="AB22" s="48"/>
      <c r="AC22" s="48"/>
      <c r="AD22" s="48"/>
      <c r="AE22" s="48"/>
    </row>
    <row r="23" spans="1:31" ht="14.25" customHeight="1">
      <c r="A23" s="21">
        <v>2</v>
      </c>
      <c r="B23" s="1394"/>
      <c r="C23" s="1459"/>
      <c r="D23" s="29" t="s">
        <v>12</v>
      </c>
      <c r="E23" s="72">
        <f>SUM(UK:VŠTE!E23)</f>
        <v>3306.5310000000004</v>
      </c>
      <c r="F23" s="67">
        <f>SUM(UK:VŠTE!F23)</f>
        <v>2269345.0750000002</v>
      </c>
      <c r="G23" s="74">
        <f t="shared" ref="G23:G33" si="5">F23/12/E23*1000</f>
        <v>57193.50267193422</v>
      </c>
      <c r="H23" s="72">
        <f>SUM(UK:VŠTE!H23)</f>
        <v>557.2940000000001</v>
      </c>
      <c r="I23" s="67">
        <f>SUM(UK:VŠTE!I23)</f>
        <v>502257.34899999993</v>
      </c>
      <c r="J23" s="74">
        <f t="shared" si="3"/>
        <v>75103.588201798921</v>
      </c>
      <c r="K23" s="75">
        <f t="shared" ref="K23:K32" si="6">E23+H23</f>
        <v>3863.8250000000007</v>
      </c>
      <c r="L23" s="67">
        <f t="shared" ref="L23:L32" si="7">F23+I23</f>
        <v>2771602.4240000001</v>
      </c>
      <c r="M23" s="74">
        <f t="shared" si="4"/>
        <v>59776.741613987862</v>
      </c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8"/>
      <c r="Z23" s="48"/>
      <c r="AA23" s="48"/>
      <c r="AB23" s="48"/>
      <c r="AC23" s="48"/>
      <c r="AD23" s="48"/>
      <c r="AE23" s="48"/>
    </row>
    <row r="24" spans="1:31" ht="15" customHeight="1">
      <c r="A24" s="21">
        <v>3</v>
      </c>
      <c r="B24" s="1394"/>
      <c r="C24" s="1459"/>
      <c r="D24" s="29" t="s">
        <v>13</v>
      </c>
      <c r="E24" s="72">
        <f>SUM(UK:VŠTE!E24)</f>
        <v>7974.7119999999986</v>
      </c>
      <c r="F24" s="67">
        <f>SUM(UK:VŠTE!F24)</f>
        <v>3285872.7620000001</v>
      </c>
      <c r="G24" s="74">
        <f t="shared" si="5"/>
        <v>34336.378563472477</v>
      </c>
      <c r="H24" s="72">
        <f>SUM(UK:VŠTE!H24)</f>
        <v>1241.3360000000002</v>
      </c>
      <c r="I24" s="67">
        <f>SUM(UK:VŠTE!I24)</f>
        <v>1210827.28</v>
      </c>
      <c r="J24" s="74">
        <f t="shared" si="3"/>
        <v>81285.222802958509</v>
      </c>
      <c r="K24" s="75">
        <f t="shared" si="6"/>
        <v>9216.0479999999989</v>
      </c>
      <c r="L24" s="67">
        <f t="shared" si="7"/>
        <v>4496700.0420000004</v>
      </c>
      <c r="M24" s="74">
        <f t="shared" si="4"/>
        <v>40660.053365607484</v>
      </c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8"/>
      <c r="Z24" s="48"/>
      <c r="AA24" s="48"/>
      <c r="AB24" s="48"/>
      <c r="AC24" s="48"/>
      <c r="AD24" s="48"/>
      <c r="AE24" s="48"/>
    </row>
    <row r="25" spans="1:31" ht="15" customHeight="1">
      <c r="A25" s="21">
        <v>4</v>
      </c>
      <c r="B25" s="1394"/>
      <c r="C25" s="1459"/>
      <c r="D25" s="29" t="s">
        <v>14</v>
      </c>
      <c r="E25" s="72">
        <f>SUM(UK:VŠTE!E25)</f>
        <v>1017.5749999999999</v>
      </c>
      <c r="F25" s="67">
        <f>SUM(UK:VŠTE!F25)</f>
        <v>372026.065</v>
      </c>
      <c r="G25" s="74">
        <f t="shared" si="5"/>
        <v>30466.719488326005</v>
      </c>
      <c r="H25" s="72">
        <f>SUM(UK:VŠTE!H25)</f>
        <v>150.65299999999999</v>
      </c>
      <c r="I25" s="67">
        <f>SUM(UK:VŠTE!I25)</f>
        <v>59051.132400000002</v>
      </c>
      <c r="J25" s="74">
        <f t="shared" si="3"/>
        <v>32663.987441338712</v>
      </c>
      <c r="K25" s="75">
        <f t="shared" si="6"/>
        <v>1168.2279999999998</v>
      </c>
      <c r="L25" s="67">
        <f t="shared" si="7"/>
        <v>431077.1974</v>
      </c>
      <c r="M25" s="74">
        <f t="shared" si="4"/>
        <v>30750.075998292574</v>
      </c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5"/>
      <c r="Y25" s="48"/>
      <c r="Z25" s="48"/>
      <c r="AA25" s="48"/>
      <c r="AB25" s="48"/>
      <c r="AC25" s="48"/>
      <c r="AD25" s="48"/>
      <c r="AE25" s="48"/>
    </row>
    <row r="26" spans="1:31" ht="15" customHeight="1">
      <c r="A26" s="21">
        <v>5</v>
      </c>
      <c r="B26" s="1394"/>
      <c r="C26" s="1459"/>
      <c r="D26" s="29" t="s">
        <v>15</v>
      </c>
      <c r="E26" s="72">
        <f>SUM(UK:VŠTE!E26)</f>
        <v>645.2120000000001</v>
      </c>
      <c r="F26" s="67">
        <f>SUM(UK:VŠTE!F26)</f>
        <v>244616.84580000004</v>
      </c>
      <c r="G26" s="74">
        <f t="shared" si="5"/>
        <v>31593.859305158618</v>
      </c>
      <c r="H26" s="72">
        <f>SUM(UK:VŠTE!H26)</f>
        <v>88.521999999999977</v>
      </c>
      <c r="I26" s="67">
        <f>SUM(UK:VŠTE!I26)</f>
        <v>53275.48720000001</v>
      </c>
      <c r="J26" s="74">
        <f t="shared" si="3"/>
        <v>50152.774828103022</v>
      </c>
      <c r="K26" s="75">
        <f t="shared" si="6"/>
        <v>733.73400000000004</v>
      </c>
      <c r="L26" s="67">
        <f t="shared" si="7"/>
        <v>297892.33300000004</v>
      </c>
      <c r="M26" s="74">
        <f t="shared" si="4"/>
        <v>33832.916402038529</v>
      </c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8"/>
      <c r="Z26" s="48"/>
      <c r="AA26" s="48"/>
      <c r="AB26" s="48"/>
      <c r="AC26" s="48"/>
      <c r="AD26" s="48"/>
      <c r="AE26" s="48"/>
    </row>
    <row r="27" spans="1:31" ht="15" customHeight="1">
      <c r="A27" s="21"/>
      <c r="B27" s="1394"/>
      <c r="C27" s="1459"/>
      <c r="D27" s="133" t="s">
        <v>69</v>
      </c>
      <c r="E27" s="72">
        <f>SUM(UK:VŠTE!E27)</f>
        <v>381.40500000000003</v>
      </c>
      <c r="F27" s="67">
        <f>SUM(UK:VŠTE!F27)</f>
        <v>225181.62</v>
      </c>
      <c r="G27" s="74">
        <f t="shared" si="5"/>
        <v>49200.023596963852</v>
      </c>
      <c r="H27" s="72">
        <f>SUM(UK:VŠTE!H27)</f>
        <v>176.11699999999999</v>
      </c>
      <c r="I27" s="67">
        <f>SUM(UK:VŠTE!I27)</f>
        <v>81718.412999999986</v>
      </c>
      <c r="J27" s="74">
        <f t="shared" si="3"/>
        <v>38666.725812953882</v>
      </c>
      <c r="K27" s="75">
        <f>E27+H27</f>
        <v>557.52200000000005</v>
      </c>
      <c r="L27" s="67">
        <f>F27+I27</f>
        <v>306900.033</v>
      </c>
      <c r="M27" s="74">
        <f>L27/12/K27*1000</f>
        <v>45872.63417407743</v>
      </c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8"/>
      <c r="Z27" s="48"/>
      <c r="AA27" s="48"/>
      <c r="AB27" s="48"/>
      <c r="AC27" s="48"/>
      <c r="AD27" s="48"/>
      <c r="AE27" s="48"/>
    </row>
    <row r="28" spans="1:31" ht="15" customHeight="1">
      <c r="A28" s="21">
        <v>6</v>
      </c>
      <c r="B28" s="1394"/>
      <c r="C28" s="1460"/>
      <c r="D28" s="53" t="s">
        <v>17</v>
      </c>
      <c r="E28" s="72">
        <f>SUM(E22:E27)</f>
        <v>15045.262000000001</v>
      </c>
      <c r="F28" s="67">
        <f>SUM(F22:F27)</f>
        <v>7939408.7408000007</v>
      </c>
      <c r="G28" s="74">
        <f t="shared" si="5"/>
        <v>43975.132840270031</v>
      </c>
      <c r="H28" s="72">
        <f>SUM(H22:H27)</f>
        <v>2538.4259999999999</v>
      </c>
      <c r="I28" s="67">
        <f>SUM(I22:I27)</f>
        <v>2279765.4885999998</v>
      </c>
      <c r="J28" s="74">
        <f t="shared" si="3"/>
        <v>74841.834027595585</v>
      </c>
      <c r="K28" s="75">
        <f>SUM(K22:K27)</f>
        <v>17583.687999999998</v>
      </c>
      <c r="L28" s="67">
        <f>SUM(L22:L27)</f>
        <v>10219174.229400001</v>
      </c>
      <c r="M28" s="74">
        <f t="shared" si="4"/>
        <v>48431.12846690639</v>
      </c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8"/>
      <c r="Z28" s="48"/>
      <c r="AA28" s="48"/>
      <c r="AB28" s="48"/>
      <c r="AC28" s="48"/>
      <c r="AD28" s="48"/>
      <c r="AE28" s="48"/>
    </row>
    <row r="29" spans="1:31" ht="15" customHeight="1">
      <c r="A29" s="21">
        <v>7</v>
      </c>
      <c r="B29" s="1394"/>
      <c r="C29" s="1411" t="s">
        <v>43</v>
      </c>
      <c r="D29" s="1412"/>
      <c r="E29" s="72">
        <f>SUM(UK:VŠTE!E29)</f>
        <v>1619.4780000000001</v>
      </c>
      <c r="F29" s="67">
        <f>SUM(UK:VŠTE!F29)</f>
        <v>786335.34900000005</v>
      </c>
      <c r="G29" s="74">
        <f t="shared" si="5"/>
        <v>40462.387108685638</v>
      </c>
      <c r="H29" s="72">
        <f>SUM(UK:VŠTE!H29)</f>
        <v>2294.009</v>
      </c>
      <c r="I29" s="67">
        <f>SUM(UK:VŠTE!I29)</f>
        <v>1128303.0170000002</v>
      </c>
      <c r="J29" s="74">
        <f t="shared" si="3"/>
        <v>40987.307118963647</v>
      </c>
      <c r="K29" s="75">
        <f t="shared" si="6"/>
        <v>3913.4870000000001</v>
      </c>
      <c r="L29" s="67">
        <f t="shared" si="7"/>
        <v>1914638.3660000004</v>
      </c>
      <c r="M29" s="74">
        <f t="shared" si="4"/>
        <v>40770.084879971932</v>
      </c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8"/>
      <c r="Z29" s="48"/>
      <c r="AA29" s="48"/>
      <c r="AB29" s="48"/>
      <c r="AC29" s="48"/>
      <c r="AD29" s="48"/>
      <c r="AE29" s="48"/>
    </row>
    <row r="30" spans="1:31" ht="15" customHeight="1">
      <c r="A30" s="21">
        <v>8</v>
      </c>
      <c r="B30" s="1395"/>
      <c r="C30" s="1409" t="s">
        <v>44</v>
      </c>
      <c r="D30" s="1410"/>
      <c r="E30" s="72">
        <f>SUM(UK:VŠTE!E30)</f>
        <v>12567.178999999998</v>
      </c>
      <c r="F30" s="67">
        <f>SUM(UK:VŠTE!F30)</f>
        <v>4462317.4040000001</v>
      </c>
      <c r="G30" s="74">
        <f t="shared" si="5"/>
        <v>29589.757865839798</v>
      </c>
      <c r="H30" s="72">
        <f>SUM(UK:VŠTE!H30)</f>
        <v>2970.8629999999998</v>
      </c>
      <c r="I30" s="67">
        <f>SUM(UK:VŠTE!I30)</f>
        <v>1349075.4611599999</v>
      </c>
      <c r="J30" s="74">
        <f t="shared" si="3"/>
        <v>37841.851036775064</v>
      </c>
      <c r="K30" s="75">
        <f t="shared" si="6"/>
        <v>15538.041999999998</v>
      </c>
      <c r="L30" s="67">
        <f t="shared" si="7"/>
        <v>5811392.8651599996</v>
      </c>
      <c r="M30" s="74">
        <f t="shared" si="4"/>
        <v>31167.552434427282</v>
      </c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8"/>
      <c r="Z30" s="48"/>
      <c r="AA30" s="48"/>
      <c r="AB30" s="48"/>
      <c r="AC30" s="48"/>
      <c r="AD30" s="48"/>
      <c r="AE30" s="48"/>
    </row>
    <row r="31" spans="1:31" ht="15" customHeight="1">
      <c r="A31" s="21">
        <v>9</v>
      </c>
      <c r="B31" s="1414" t="s">
        <v>8</v>
      </c>
      <c r="C31" s="1414"/>
      <c r="D31" s="1414"/>
      <c r="E31" s="72">
        <f>SUM(UK:VŠTE!E31)</f>
        <v>784.62100000000009</v>
      </c>
      <c r="F31" s="67">
        <f>SUM(UK:VŠTE!F31)</f>
        <v>184802.85799999998</v>
      </c>
      <c r="G31" s="74">
        <f t="shared" si="5"/>
        <v>19627.614054003989</v>
      </c>
      <c r="H31" s="72">
        <f>SUM(UK:VŠTE!H31)</f>
        <v>1405.0750000000003</v>
      </c>
      <c r="I31" s="67">
        <f>SUM(UK:VŠTE!I31)</f>
        <v>377150.34084000002</v>
      </c>
      <c r="J31" s="74">
        <f t="shared" si="3"/>
        <v>22368.339818159173</v>
      </c>
      <c r="K31" s="75">
        <f t="shared" si="6"/>
        <v>2189.6960000000004</v>
      </c>
      <c r="L31" s="67">
        <f t="shared" si="7"/>
        <v>561953.19883999997</v>
      </c>
      <c r="M31" s="74">
        <f t="shared" si="4"/>
        <v>21386.271535713935</v>
      </c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8"/>
      <c r="Z31" s="48"/>
      <c r="AA31" s="48"/>
      <c r="AB31" s="48"/>
      <c r="AC31" s="48"/>
      <c r="AD31" s="48"/>
      <c r="AE31" s="48"/>
    </row>
    <row r="32" spans="1:31" ht="15" customHeight="1" thickBot="1">
      <c r="A32" s="46">
        <v>10</v>
      </c>
      <c r="B32" s="1392" t="s">
        <v>25</v>
      </c>
      <c r="C32" s="1392"/>
      <c r="D32" s="1392"/>
      <c r="E32" s="80">
        <f>SUM(UK:VŠTE!E32)</f>
        <v>6</v>
      </c>
      <c r="F32" s="78">
        <f>SUM(UK:VŠTE!F32)</f>
        <v>2063.0000000099999</v>
      </c>
      <c r="G32" s="79">
        <f t="shared" si="5"/>
        <v>28652.777777916664</v>
      </c>
      <c r="H32" s="80">
        <f>SUM(UK:VŠTE!H32)</f>
        <v>713.000001</v>
      </c>
      <c r="I32" s="78">
        <f>SUM(UK:VŠTE!I32)</f>
        <v>203929</v>
      </c>
      <c r="J32" s="79">
        <f t="shared" si="3"/>
        <v>23834.618947403524</v>
      </c>
      <c r="K32" s="81">
        <f t="shared" si="6"/>
        <v>719.000001</v>
      </c>
      <c r="L32" s="78">
        <f t="shared" si="7"/>
        <v>205992.00000001001</v>
      </c>
      <c r="M32" s="79">
        <f t="shared" si="4"/>
        <v>23874.826114222538</v>
      </c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8"/>
      <c r="Z32" s="48"/>
      <c r="AA32" s="48"/>
      <c r="AB32" s="48"/>
      <c r="AC32" s="48"/>
      <c r="AD32" s="48"/>
      <c r="AE32" s="48"/>
    </row>
    <row r="33" spans="1:31" s="16" customFormat="1" ht="15" customHeight="1" thickBot="1">
      <c r="A33" s="45">
        <v>11</v>
      </c>
      <c r="B33" s="1413" t="s">
        <v>17</v>
      </c>
      <c r="C33" s="1413"/>
      <c r="D33" s="1413"/>
      <c r="E33" s="84">
        <f>E28+E29+E30+E31+E32</f>
        <v>30022.54</v>
      </c>
      <c r="F33" s="82">
        <f t="shared" ref="F33:L33" si="8">F28+F29+F30+F31+F32</f>
        <v>13374927.351800008</v>
      </c>
      <c r="G33" s="83">
        <f t="shared" si="5"/>
        <v>37124.682965420885</v>
      </c>
      <c r="H33" s="84">
        <f t="shared" si="8"/>
        <v>9921.3730009999999</v>
      </c>
      <c r="I33" s="82">
        <f t="shared" si="8"/>
        <v>5338223.3075999999</v>
      </c>
      <c r="J33" s="83">
        <f t="shared" si="3"/>
        <v>44837.739923210451</v>
      </c>
      <c r="K33" s="85">
        <f t="shared" si="8"/>
        <v>39943.913001000001</v>
      </c>
      <c r="L33" s="82">
        <f t="shared" si="8"/>
        <v>18713150.659400012</v>
      </c>
      <c r="M33" s="83">
        <f t="shared" si="4"/>
        <v>39040.472113426324</v>
      </c>
      <c r="N33" s="495"/>
      <c r="O33" s="495"/>
      <c r="P33" s="495"/>
      <c r="Q33" s="495"/>
      <c r="R33" s="495"/>
      <c r="S33" s="495"/>
      <c r="T33" s="495"/>
      <c r="U33" s="758"/>
      <c r="V33" s="758"/>
      <c r="W33" s="758"/>
      <c r="X33" s="758"/>
      <c r="Y33" s="50"/>
      <c r="Z33" s="50"/>
      <c r="AA33" s="50"/>
      <c r="AB33" s="50"/>
      <c r="AC33" s="50"/>
      <c r="AD33" s="50"/>
      <c r="AE33" s="50"/>
    </row>
    <row r="34" spans="1:31" s="48" customFormat="1" ht="15" customHeight="1">
      <c r="E34" s="1158">
        <f>SUM(UK:VŠTE!E33)</f>
        <v>30023.54</v>
      </c>
      <c r="F34" s="495">
        <f>SUM(UK:VŠTE!F33)</f>
        <v>13374927.351800011</v>
      </c>
      <c r="G34" s="495"/>
      <c r="H34" s="495">
        <f>SUM(UK:VŠTE!H33)</f>
        <v>9924.6070009999985</v>
      </c>
      <c r="I34" s="495">
        <f>SUM(UK:VŠTE!I33)</f>
        <v>5338223.3062000005</v>
      </c>
      <c r="J34" s="495"/>
      <c r="K34" s="495">
        <f>SUM(UK:VŠTE!K33)</f>
        <v>39944.575000999997</v>
      </c>
      <c r="L34" s="495">
        <f>SUM(UK:VŠTE!L33)</f>
        <v>18713150.83200001</v>
      </c>
      <c r="M34" s="495"/>
    </row>
    <row r="35" spans="1:31" s="52" customFormat="1" ht="12.75" customHeight="1">
      <c r="A35" s="52" t="s">
        <v>36</v>
      </c>
      <c r="E35" s="1158">
        <f>E34-E33</f>
        <v>1</v>
      </c>
      <c r="F35" s="1158">
        <f>F34-F33</f>
        <v>0</v>
      </c>
      <c r="G35" s="1158"/>
      <c r="H35" s="1158">
        <f>H34-H33</f>
        <v>3.2339999999985594</v>
      </c>
      <c r="I35" s="1158">
        <f>I34-I33</f>
        <v>-1.3999994844198227E-3</v>
      </c>
      <c r="J35" s="1158"/>
      <c r="K35" s="1158">
        <f>K34-K33</f>
        <v>0.66199999999662396</v>
      </c>
      <c r="L35" s="1158">
        <f>L34-L33</f>
        <v>0.17259999737143517</v>
      </c>
      <c r="M35" s="1158"/>
    </row>
    <row r="36" spans="1:31" s="52" customFormat="1" ht="42" customHeight="1">
      <c r="A36" s="1407" t="s">
        <v>50</v>
      </c>
      <c r="B36" s="1408"/>
      <c r="C36" s="1408"/>
      <c r="D36" s="1408"/>
      <c r="E36" s="1408"/>
      <c r="F36" s="1408"/>
      <c r="G36" s="1408"/>
      <c r="H36" s="1408"/>
      <c r="I36" s="1408"/>
      <c r="J36" s="1408"/>
      <c r="K36" s="1408"/>
      <c r="L36" s="1408"/>
      <c r="M36" s="1408"/>
    </row>
    <row r="37" spans="1:31" s="52" customFormat="1" ht="15.75" customHeight="1">
      <c r="A37" s="1407" t="s">
        <v>46</v>
      </c>
      <c r="B37" s="1408"/>
      <c r="C37" s="1408"/>
      <c r="D37" s="1408"/>
      <c r="E37" s="1408"/>
      <c r="F37" s="1408"/>
      <c r="G37" s="1408"/>
      <c r="H37" s="1408"/>
      <c r="I37" s="1408"/>
      <c r="J37" s="1408"/>
      <c r="K37" s="1408"/>
      <c r="L37" s="1408"/>
      <c r="M37" s="1408"/>
    </row>
    <row r="38" spans="1:31" s="52" customFormat="1" ht="43.5" customHeight="1">
      <c r="A38" s="1407" t="s">
        <v>41</v>
      </c>
      <c r="B38" s="1408"/>
      <c r="C38" s="1408"/>
      <c r="D38" s="1408"/>
      <c r="E38" s="1408"/>
      <c r="F38" s="1408"/>
      <c r="G38" s="1408"/>
      <c r="H38" s="1408"/>
      <c r="I38" s="1408"/>
      <c r="J38" s="1408"/>
      <c r="K38" s="1408"/>
      <c r="L38" s="1408"/>
      <c r="M38" s="1408"/>
    </row>
    <row r="39" spans="1:31" s="52" customFormat="1" ht="105.75" customHeight="1">
      <c r="A39" s="1407" t="s">
        <v>56</v>
      </c>
      <c r="B39" s="1408"/>
      <c r="C39" s="1408"/>
      <c r="D39" s="1408"/>
      <c r="E39" s="1408"/>
      <c r="F39" s="1408"/>
      <c r="G39" s="1408"/>
      <c r="H39" s="1408"/>
      <c r="I39" s="1408"/>
      <c r="J39" s="1408"/>
      <c r="K39" s="1408"/>
      <c r="L39" s="1408"/>
      <c r="M39" s="1408"/>
    </row>
    <row r="40" spans="1:31" s="52" customFormat="1" ht="15.75" customHeight="1">
      <c r="A40" s="1407" t="s">
        <v>45</v>
      </c>
      <c r="B40" s="1408"/>
      <c r="C40" s="1408"/>
      <c r="D40" s="1408"/>
      <c r="E40" s="1408"/>
      <c r="F40" s="1408"/>
      <c r="G40" s="1408"/>
      <c r="H40" s="1408"/>
      <c r="I40" s="1408"/>
      <c r="J40" s="1408"/>
      <c r="K40" s="1408"/>
      <c r="L40" s="1408"/>
      <c r="M40" s="1408"/>
    </row>
    <row r="41" spans="1:31" s="52" customFormat="1" ht="29.25" customHeight="1">
      <c r="A41" s="1407" t="s">
        <v>55</v>
      </c>
      <c r="B41" s="1408"/>
      <c r="C41" s="1408"/>
      <c r="D41" s="1408"/>
      <c r="E41" s="1408"/>
      <c r="F41" s="1408"/>
      <c r="G41" s="1408"/>
      <c r="H41" s="1408"/>
      <c r="I41" s="1408"/>
      <c r="J41" s="1408"/>
      <c r="K41" s="1408"/>
      <c r="L41" s="1408"/>
      <c r="M41" s="1408"/>
    </row>
    <row r="42" spans="1:31" s="52" customFormat="1" ht="16.5" customHeight="1">
      <c r="A42" s="1407" t="s">
        <v>53</v>
      </c>
      <c r="B42" s="1408"/>
      <c r="C42" s="1408"/>
      <c r="D42" s="1408"/>
      <c r="E42" s="1408"/>
      <c r="F42" s="1408"/>
      <c r="G42" s="1408"/>
      <c r="H42" s="1408"/>
      <c r="I42" s="1408"/>
      <c r="J42" s="1408"/>
      <c r="K42" s="1408"/>
      <c r="L42" s="1408"/>
      <c r="M42" s="1408"/>
    </row>
    <row r="43" spans="1:31" s="52" customFormat="1" ht="27" customHeight="1">
      <c r="A43" s="1407" t="s">
        <v>60</v>
      </c>
      <c r="B43" s="1408"/>
      <c r="C43" s="1408"/>
      <c r="D43" s="1408"/>
      <c r="E43" s="1408"/>
      <c r="F43" s="1408"/>
      <c r="G43" s="1408"/>
      <c r="H43" s="1408"/>
      <c r="I43" s="1408"/>
      <c r="J43" s="1408"/>
      <c r="K43" s="1408"/>
      <c r="L43" s="1408"/>
      <c r="M43" s="1408"/>
    </row>
    <row r="44" spans="1:31" s="48" customFormat="1" ht="15" customHeight="1"/>
    <row r="45" spans="1:31" s="48" customFormat="1" ht="15"/>
    <row r="46" spans="1:31" s="48" customFormat="1" ht="12.75" customHeight="1"/>
    <row r="47" spans="1:31" s="48" customFormat="1" ht="15.75" customHeight="1"/>
    <row r="48" spans="1:31" s="48" customFormat="1" ht="24.75" customHeight="1"/>
    <row r="49" spans="1:22" s="48" customFormat="1" ht="24" customHeight="1"/>
    <row r="50" spans="1:22" s="48" customFormat="1" ht="37.5" customHeight="1"/>
    <row r="51" spans="1:22" s="48" customFormat="1" ht="15.75" customHeight="1"/>
    <row r="52" spans="1:22" s="48" customFormat="1" ht="15.75" customHeight="1"/>
    <row r="53" spans="1:22" s="48" customFormat="1" ht="15" customHeight="1"/>
    <row r="54" spans="1:22" s="48" customFormat="1" ht="14.25" customHeight="1"/>
    <row r="55" spans="1:22" s="48" customFormat="1" ht="16.5" customHeight="1"/>
    <row r="56" spans="1:22" s="48" customFormat="1" ht="18.75" customHeight="1"/>
    <row r="57" spans="1:22">
      <c r="A57" s="19"/>
      <c r="B57" s="22"/>
      <c r="C57" s="22"/>
      <c r="D57" s="22"/>
      <c r="E57" s="22"/>
      <c r="F57" s="22"/>
      <c r="G57" s="22"/>
      <c r="H57" s="22"/>
      <c r="I57" s="12"/>
      <c r="J57" s="12"/>
      <c r="K57" s="12"/>
      <c r="L57" s="12"/>
      <c r="M57" s="12"/>
      <c r="N57" s="12"/>
      <c r="O57" s="2"/>
      <c r="P57" s="2"/>
      <c r="Q57" s="2"/>
      <c r="R57" s="2"/>
      <c r="S57" s="2"/>
      <c r="T57" s="2"/>
      <c r="U57" s="2"/>
      <c r="V57" s="2"/>
    </row>
    <row r="58" spans="1:22" ht="15.75" customHeight="1">
      <c r="A58" s="1415"/>
      <c r="B58" s="1415"/>
      <c r="C58" s="1415"/>
      <c r="D58" s="1415"/>
      <c r="E58" s="1415"/>
      <c r="F58" s="1415"/>
      <c r="G58" s="1415"/>
      <c r="H58" s="1415"/>
      <c r="I58" s="1415"/>
      <c r="J58" s="1415"/>
      <c r="K58" s="1415"/>
      <c r="L58" s="1415"/>
      <c r="M58" s="1415"/>
      <c r="N58" s="1415"/>
      <c r="O58" s="1415"/>
      <c r="P58" s="1415"/>
      <c r="Q58" s="1415"/>
      <c r="R58" s="1415"/>
      <c r="S58" s="1415"/>
      <c r="T58" s="2"/>
      <c r="U58" s="2"/>
      <c r="V58" s="2"/>
    </row>
    <row r="59" spans="1:22" ht="15.75">
      <c r="A59" s="23"/>
      <c r="B59" s="24"/>
      <c r="C59" s="24"/>
      <c r="D59" s="24"/>
      <c r="E59" s="24"/>
      <c r="F59" s="24"/>
      <c r="G59" s="24"/>
      <c r="H59" s="24"/>
      <c r="I59" s="13"/>
      <c r="J59" s="13"/>
      <c r="K59" s="13"/>
      <c r="L59" s="13"/>
      <c r="M59" s="13"/>
      <c r="N59" s="13"/>
    </row>
    <row r="60" spans="1:22">
      <c r="A60" s="13"/>
      <c r="B60" s="24"/>
      <c r="C60" s="24"/>
      <c r="D60" s="24"/>
      <c r="E60" s="24"/>
      <c r="F60" s="24"/>
      <c r="G60" s="24"/>
      <c r="H60" s="24"/>
      <c r="I60" s="13"/>
      <c r="J60" s="13"/>
      <c r="K60" s="13"/>
      <c r="L60" s="13"/>
      <c r="M60" s="13"/>
      <c r="N60" s="13"/>
    </row>
    <row r="61" spans="1:22">
      <c r="A61" s="25"/>
      <c r="B61" s="26"/>
      <c r="C61" s="26"/>
      <c r="D61" s="26"/>
      <c r="E61" s="26"/>
      <c r="F61" s="26"/>
      <c r="G61" s="26"/>
      <c r="H61" s="26"/>
      <c r="I61" s="25"/>
      <c r="J61" s="25"/>
      <c r="K61" s="25"/>
      <c r="L61" s="25"/>
      <c r="M61" s="25"/>
      <c r="N61" s="25"/>
    </row>
    <row r="62" spans="1:22">
      <c r="A62" s="25"/>
      <c r="B62" s="26"/>
      <c r="C62" s="26"/>
      <c r="D62" s="26"/>
      <c r="E62" s="26"/>
      <c r="F62" s="26"/>
      <c r="G62" s="26"/>
      <c r="H62" s="26"/>
      <c r="I62" s="25"/>
      <c r="J62" s="25"/>
      <c r="K62" s="25"/>
      <c r="L62" s="25"/>
      <c r="M62" s="25"/>
      <c r="N62" s="25"/>
    </row>
    <row r="63" spans="1:22">
      <c r="A63" s="25"/>
      <c r="B63" s="26"/>
      <c r="C63" s="26"/>
      <c r="D63" s="26"/>
      <c r="E63" s="26"/>
      <c r="F63" s="26"/>
      <c r="G63" s="26"/>
      <c r="H63" s="26"/>
      <c r="I63" s="25"/>
      <c r="J63" s="25"/>
      <c r="K63" s="25"/>
      <c r="L63" s="25"/>
      <c r="M63" s="25"/>
      <c r="N63" s="25"/>
    </row>
    <row r="64" spans="1:22">
      <c r="A64" s="25"/>
      <c r="B64" s="26"/>
      <c r="C64" s="26"/>
      <c r="D64" s="26"/>
      <c r="E64" s="26"/>
      <c r="F64" s="26"/>
      <c r="G64" s="26"/>
      <c r="H64" s="26"/>
      <c r="I64" s="25"/>
      <c r="J64" s="25"/>
      <c r="K64" s="25"/>
      <c r="L64" s="25"/>
      <c r="M64" s="25"/>
      <c r="N64" s="25"/>
    </row>
    <row r="65" spans="1:14">
      <c r="A65" s="25"/>
      <c r="B65" s="26"/>
      <c r="C65" s="26"/>
      <c r="D65" s="26"/>
      <c r="E65" s="26"/>
      <c r="F65" s="26"/>
      <c r="G65" s="26"/>
      <c r="H65" s="26"/>
      <c r="I65" s="25"/>
      <c r="J65" s="25"/>
      <c r="K65" s="25"/>
      <c r="L65" s="25"/>
      <c r="M65" s="25"/>
      <c r="N65" s="25"/>
    </row>
    <row r="66" spans="1:14">
      <c r="A66" s="25"/>
      <c r="B66" s="26"/>
      <c r="C66" s="26"/>
      <c r="D66" s="26"/>
      <c r="E66" s="26"/>
      <c r="F66" s="26"/>
      <c r="G66" s="26"/>
      <c r="H66" s="26"/>
      <c r="I66" s="25"/>
      <c r="J66" s="25"/>
      <c r="K66" s="25"/>
      <c r="L66" s="25"/>
      <c r="M66" s="25"/>
      <c r="N66" s="25"/>
    </row>
    <row r="67" spans="1:14">
      <c r="A67" s="25"/>
      <c r="B67" s="26"/>
      <c r="C67" s="26"/>
      <c r="D67" s="26"/>
      <c r="E67" s="26"/>
      <c r="F67" s="26"/>
      <c r="G67" s="26"/>
      <c r="H67" s="26"/>
      <c r="I67" s="25"/>
      <c r="J67" s="25"/>
      <c r="K67" s="25"/>
      <c r="L67" s="25"/>
      <c r="M67" s="25"/>
      <c r="N67" s="25"/>
    </row>
    <row r="68" spans="1:14">
      <c r="A68" s="25"/>
      <c r="B68" s="26"/>
      <c r="C68" s="26"/>
      <c r="D68" s="26"/>
      <c r="E68" s="26"/>
      <c r="F68" s="26"/>
      <c r="G68" s="26"/>
      <c r="H68" s="26"/>
      <c r="I68" s="25"/>
      <c r="J68" s="25"/>
      <c r="K68" s="25"/>
      <c r="L68" s="25"/>
      <c r="M68" s="25"/>
      <c r="N68" s="25"/>
    </row>
    <row r="69" spans="1:14">
      <c r="A69" s="25"/>
      <c r="B69" s="26"/>
      <c r="C69" s="26"/>
      <c r="D69" s="26"/>
      <c r="E69" s="26"/>
      <c r="F69" s="26"/>
      <c r="G69" s="26"/>
      <c r="H69" s="26"/>
      <c r="I69" s="25"/>
      <c r="J69" s="25"/>
      <c r="K69" s="25"/>
      <c r="L69" s="25"/>
      <c r="M69" s="25"/>
      <c r="N69" s="25"/>
    </row>
  </sheetData>
  <customSheetViews>
    <customSheetView guid="{2AF6EA2A-E5C5-45EB-B6C4-875AD1E4E056}" fitToPage="1">
      <pageMargins left="0.23622047244094491" right="0.27559055118110237" top="0.98425196850393704" bottom="0.98425196850393704" header="0.51181102362204722" footer="0.51181102362204722"/>
      <printOptions horizontalCentered="1"/>
      <pageSetup paperSize="9" scale="59" orientation="landscape" cellComments="asDisplayed" r:id="rId1"/>
      <headerFooter alignWithMargins="0"/>
    </customSheetView>
  </customSheetViews>
  <mergeCells count="45">
    <mergeCell ref="W6:X7"/>
    <mergeCell ref="C22:C28"/>
    <mergeCell ref="C11:D11"/>
    <mergeCell ref="G7:H7"/>
    <mergeCell ref="B13:D13"/>
    <mergeCell ref="U6:V7"/>
    <mergeCell ref="M6:P6"/>
    <mergeCell ref="I7:J7"/>
    <mergeCell ref="K19:M19"/>
    <mergeCell ref="E5:X5"/>
    <mergeCell ref="B5:D9"/>
    <mergeCell ref="I6:L6"/>
    <mergeCell ref="A5:A9"/>
    <mergeCell ref="B19:D21"/>
    <mergeCell ref="A19:A21"/>
    <mergeCell ref="S6:T7"/>
    <mergeCell ref="C10:D10"/>
    <mergeCell ref="E6:H6"/>
    <mergeCell ref="O20:X21"/>
    <mergeCell ref="A58:S58"/>
    <mergeCell ref="K7:L7"/>
    <mergeCell ref="A39:M39"/>
    <mergeCell ref="B10:B12"/>
    <mergeCell ref="M7:N7"/>
    <mergeCell ref="B14:D14"/>
    <mergeCell ref="O7:P7"/>
    <mergeCell ref="E7:F7"/>
    <mergeCell ref="Q6:R7"/>
    <mergeCell ref="A37:M37"/>
    <mergeCell ref="A43:M43"/>
    <mergeCell ref="A40:M40"/>
    <mergeCell ref="A41:M41"/>
    <mergeCell ref="A36:M36"/>
    <mergeCell ref="C30:D30"/>
    <mergeCell ref="C29:D29"/>
    <mergeCell ref="A38:M38"/>
    <mergeCell ref="A42:M42"/>
    <mergeCell ref="B33:D33"/>
    <mergeCell ref="B31:D31"/>
    <mergeCell ref="B32:D32"/>
    <mergeCell ref="B22:B30"/>
    <mergeCell ref="E19:G19"/>
    <mergeCell ref="B15:D15"/>
    <mergeCell ref="H19:J19"/>
    <mergeCell ref="C12:D12"/>
  </mergeCells>
  <printOptions horizontalCentered="1"/>
  <pageMargins left="0.23622047244094491" right="0.27559055118110237" top="0.98425196850393704" bottom="0.98425196850393704" header="0.51181102362204722" footer="0.51181102362204722"/>
  <pageSetup paperSize="9" scale="47" orientation="landscape" cellComments="asDisplayed" r:id="rId2"/>
  <headerFooter alignWithMargins="0"/>
  <ignoredErrors>
    <ignoredError sqref="L22 L23:L26 L29 L31:L32 K22:K26 L30 K30:K32 K29 E15:I15 E33 F33 H33:I33 K33:L3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>
      <selection sqref="A1:X1"/>
    </sheetView>
  </sheetViews>
  <sheetFormatPr defaultRowHeight="15"/>
  <cols>
    <col min="1" max="1" width="5.7109375" customWidth="1"/>
    <col min="2" max="2" width="6.7109375" customWidth="1"/>
    <col min="3" max="3" width="10.7109375" customWidth="1"/>
    <col min="4" max="4" width="21.7109375" customWidth="1"/>
    <col min="5" max="9" width="11.5703125" customWidth="1"/>
    <col min="10" max="10" width="12.42578125" customWidth="1"/>
    <col min="11" max="14" width="11.5703125" customWidth="1"/>
    <col min="15" max="16" width="11.5703125" style="28" customWidth="1"/>
    <col min="17" max="26" width="11.5703125" customWidth="1"/>
  </cols>
  <sheetData>
    <row r="1" spans="1:26">
      <c r="A1" s="1728" t="s">
        <v>131</v>
      </c>
      <c r="B1" s="1728"/>
      <c r="C1" s="1728"/>
      <c r="D1" s="1728"/>
      <c r="E1" s="1728"/>
      <c r="F1" s="1728"/>
      <c r="G1" s="1728"/>
      <c r="H1" s="1728"/>
      <c r="I1" s="1728"/>
      <c r="J1" s="1728"/>
      <c r="K1" s="1728"/>
      <c r="L1" s="1728"/>
      <c r="M1" s="1728"/>
      <c r="N1" s="1728"/>
      <c r="O1" s="1728"/>
      <c r="P1" s="1728"/>
      <c r="Q1" s="1728"/>
      <c r="R1" s="1728"/>
      <c r="S1" s="1728"/>
      <c r="T1" s="1728"/>
      <c r="U1" s="1728"/>
      <c r="V1" s="1728"/>
      <c r="W1" s="1728"/>
      <c r="X1" s="1728"/>
      <c r="Y1" s="304"/>
      <c r="Z1" s="304"/>
    </row>
    <row r="2" spans="1:26" s="28" customFormat="1">
      <c r="A2" s="676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304"/>
      <c r="Z2" s="304"/>
    </row>
    <row r="3" spans="1:26" s="28" customFormat="1">
      <c r="A3" s="676"/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676"/>
      <c r="U3" s="676"/>
      <c r="V3" s="676"/>
      <c r="W3" s="676"/>
      <c r="X3" s="676"/>
      <c r="Y3" s="304"/>
      <c r="Z3" s="304"/>
    </row>
    <row r="4" spans="1:26" s="28" customFormat="1">
      <c r="A4" s="676"/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304"/>
      <c r="Z4" s="304"/>
    </row>
    <row r="5" spans="1:26">
      <c r="A5" s="1729" t="s">
        <v>132</v>
      </c>
      <c r="B5" s="1730" t="s">
        <v>7</v>
      </c>
      <c r="C5" s="1730"/>
      <c r="D5" s="1730"/>
      <c r="E5" s="1729" t="s">
        <v>35</v>
      </c>
      <c r="F5" s="1729"/>
      <c r="G5" s="1729"/>
      <c r="H5" s="1729"/>
      <c r="I5" s="1729"/>
      <c r="J5" s="1729"/>
      <c r="K5" s="1729"/>
      <c r="L5" s="1729"/>
      <c r="M5" s="1729"/>
      <c r="N5" s="1729"/>
      <c r="O5" s="1729"/>
      <c r="P5" s="1729"/>
      <c r="Q5" s="1729"/>
      <c r="R5" s="1729"/>
      <c r="S5" s="1729"/>
      <c r="T5" s="1729"/>
      <c r="U5" s="1729"/>
      <c r="V5" s="1729"/>
      <c r="W5" s="1729"/>
      <c r="X5" s="1729"/>
      <c r="Y5" s="1729"/>
      <c r="Z5" s="1729"/>
    </row>
    <row r="6" spans="1:26" s="28" customFormat="1">
      <c r="A6" s="1729"/>
      <c r="B6" s="1730"/>
      <c r="C6" s="1730"/>
      <c r="D6" s="1730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  <c r="P6" s="677"/>
      <c r="Q6" s="677"/>
      <c r="R6" s="677"/>
      <c r="S6" s="677"/>
      <c r="T6" s="677"/>
      <c r="U6" s="677"/>
      <c r="V6" s="677"/>
      <c r="W6" s="677"/>
      <c r="X6" s="677"/>
      <c r="Y6" s="677"/>
      <c r="Z6" s="677"/>
    </row>
    <row r="7" spans="1:26">
      <c r="A7" s="1729"/>
      <c r="B7" s="1730"/>
      <c r="C7" s="1730"/>
      <c r="D7" s="1730"/>
      <c r="E7" s="1729" t="s">
        <v>24</v>
      </c>
      <c r="F7" s="1729"/>
      <c r="G7" s="1729"/>
      <c r="H7" s="1729"/>
      <c r="I7" s="1729" t="s">
        <v>133</v>
      </c>
      <c r="J7" s="1729"/>
      <c r="K7" s="1729"/>
      <c r="L7" s="1729"/>
      <c r="M7" s="1729" t="s">
        <v>20</v>
      </c>
      <c r="N7" s="1729"/>
      <c r="O7" s="1729"/>
      <c r="P7" s="1729"/>
      <c r="Q7" s="1729"/>
      <c r="R7" s="1729"/>
      <c r="S7" s="1729" t="s">
        <v>18</v>
      </c>
      <c r="T7" s="1729"/>
      <c r="U7" s="1729" t="s">
        <v>5</v>
      </c>
      <c r="V7" s="1729"/>
      <c r="W7" s="1729" t="s">
        <v>21</v>
      </c>
      <c r="X7" s="1729"/>
      <c r="Y7" s="1729" t="s">
        <v>3</v>
      </c>
      <c r="Z7" s="1729"/>
    </row>
    <row r="8" spans="1:26">
      <c r="A8" s="1729"/>
      <c r="B8" s="1730"/>
      <c r="C8" s="1730"/>
      <c r="D8" s="1730"/>
      <c r="E8" s="1729" t="s">
        <v>19</v>
      </c>
      <c r="F8" s="1729"/>
      <c r="G8" s="1729" t="s">
        <v>27</v>
      </c>
      <c r="H8" s="1729"/>
      <c r="I8" s="1729" t="s">
        <v>134</v>
      </c>
      <c r="J8" s="1729"/>
      <c r="K8" s="1729" t="s">
        <v>29</v>
      </c>
      <c r="L8" s="1729"/>
      <c r="M8" s="1729" t="s">
        <v>64</v>
      </c>
      <c r="N8" s="1729"/>
      <c r="O8" s="677"/>
      <c r="P8" s="677"/>
      <c r="Q8" s="1729" t="s">
        <v>31</v>
      </c>
      <c r="R8" s="1729"/>
      <c r="S8" s="1729"/>
      <c r="T8" s="1729"/>
      <c r="U8" s="1729"/>
      <c r="V8" s="1729"/>
      <c r="W8" s="1729"/>
      <c r="X8" s="1729"/>
      <c r="Y8" s="1729"/>
      <c r="Z8" s="1729"/>
    </row>
    <row r="9" spans="1:26">
      <c r="A9" s="1729"/>
      <c r="B9" s="1730"/>
      <c r="C9" s="1730"/>
      <c r="D9" s="1730"/>
      <c r="E9" s="677" t="s">
        <v>6</v>
      </c>
      <c r="F9" s="677" t="s">
        <v>38</v>
      </c>
      <c r="G9" s="677" t="s">
        <v>6</v>
      </c>
      <c r="H9" s="677" t="s">
        <v>38</v>
      </c>
      <c r="I9" s="677" t="s">
        <v>6</v>
      </c>
      <c r="J9" s="677" t="s">
        <v>38</v>
      </c>
      <c r="K9" s="677" t="s">
        <v>6</v>
      </c>
      <c r="L9" s="677" t="s">
        <v>38</v>
      </c>
      <c r="M9" s="677" t="s">
        <v>6</v>
      </c>
      <c r="N9" s="677" t="s">
        <v>38</v>
      </c>
      <c r="O9" s="677"/>
      <c r="P9" s="677"/>
      <c r="Q9" s="677" t="s">
        <v>6</v>
      </c>
      <c r="R9" s="677" t="s">
        <v>38</v>
      </c>
      <c r="S9" s="677" t="s">
        <v>6</v>
      </c>
      <c r="T9" s="677" t="s">
        <v>38</v>
      </c>
      <c r="U9" s="677" t="s">
        <v>6</v>
      </c>
      <c r="V9" s="677" t="s">
        <v>38</v>
      </c>
      <c r="W9" s="677" t="s">
        <v>6</v>
      </c>
      <c r="X9" s="677" t="s">
        <v>38</v>
      </c>
      <c r="Y9" s="677" t="s">
        <v>6</v>
      </c>
      <c r="Z9" s="677" t="s">
        <v>38</v>
      </c>
    </row>
    <row r="10" spans="1:26">
      <c r="A10" s="678">
        <v>1</v>
      </c>
      <c r="B10" s="1735" t="s">
        <v>135</v>
      </c>
      <c r="C10" s="1736" t="s">
        <v>16</v>
      </c>
      <c r="D10" s="1736"/>
      <c r="E10" s="679">
        <v>77717</v>
      </c>
      <c r="F10" s="679">
        <v>5749</v>
      </c>
      <c r="G10" s="679">
        <v>32857</v>
      </c>
      <c r="H10" s="679">
        <v>659</v>
      </c>
      <c r="I10" s="679">
        <v>2884</v>
      </c>
      <c r="J10" s="679">
        <v>85</v>
      </c>
      <c r="K10" s="679">
        <v>0</v>
      </c>
      <c r="L10" s="679">
        <v>0</v>
      </c>
      <c r="M10" s="679">
        <v>5045</v>
      </c>
      <c r="N10" s="679">
        <v>379</v>
      </c>
      <c r="O10" s="679"/>
      <c r="P10" s="679"/>
      <c r="Q10" s="679">
        <v>0</v>
      </c>
      <c r="R10" s="679">
        <v>0</v>
      </c>
      <c r="S10" s="679">
        <v>371</v>
      </c>
      <c r="T10" s="679">
        <v>15</v>
      </c>
      <c r="U10" s="679">
        <v>31</v>
      </c>
      <c r="V10" s="679">
        <v>39</v>
      </c>
      <c r="W10" s="680">
        <v>1263</v>
      </c>
      <c r="X10" s="680">
        <v>827</v>
      </c>
      <c r="Y10" s="681">
        <f t="shared" ref="Y10:Z15" si="0">E10+G10+I10+K10+M10+Q10+S10+U10+W10</f>
        <v>120168</v>
      </c>
      <c r="Z10" s="681">
        <f t="shared" si="0"/>
        <v>7753</v>
      </c>
    </row>
    <row r="11" spans="1:26">
      <c r="A11" s="678">
        <v>2</v>
      </c>
      <c r="B11" s="1735"/>
      <c r="C11" s="1736" t="s">
        <v>9</v>
      </c>
      <c r="D11" s="1736"/>
      <c r="E11" s="679">
        <v>469</v>
      </c>
      <c r="F11" s="679">
        <v>36</v>
      </c>
      <c r="G11" s="679">
        <v>1038</v>
      </c>
      <c r="H11" s="679">
        <v>91</v>
      </c>
      <c r="I11" s="679">
        <v>2207</v>
      </c>
      <c r="J11" s="679">
        <v>281</v>
      </c>
      <c r="K11" s="679">
        <v>0</v>
      </c>
      <c r="L11" s="679">
        <v>0</v>
      </c>
      <c r="M11" s="679">
        <v>60</v>
      </c>
      <c r="N11" s="679">
        <v>0</v>
      </c>
      <c r="O11" s="679"/>
      <c r="P11" s="679"/>
      <c r="Q11" s="679">
        <v>0</v>
      </c>
      <c r="R11" s="679">
        <v>0</v>
      </c>
      <c r="S11" s="679">
        <v>0</v>
      </c>
      <c r="T11" s="679">
        <v>0</v>
      </c>
      <c r="U11" s="679">
        <v>76</v>
      </c>
      <c r="V11" s="679">
        <v>0</v>
      </c>
      <c r="W11" s="680">
        <v>405</v>
      </c>
      <c r="X11" s="680">
        <v>16</v>
      </c>
      <c r="Y11" s="681">
        <f t="shared" si="0"/>
        <v>4255</v>
      </c>
      <c r="Z11" s="681">
        <f t="shared" si="0"/>
        <v>424</v>
      </c>
    </row>
    <row r="12" spans="1:26">
      <c r="A12" s="678">
        <v>3</v>
      </c>
      <c r="B12" s="1735"/>
      <c r="C12" s="1736" t="s">
        <v>2</v>
      </c>
      <c r="D12" s="1736"/>
      <c r="E12" s="679">
        <v>68992</v>
      </c>
      <c r="F12" s="679">
        <v>2060</v>
      </c>
      <c r="G12" s="679">
        <v>1066</v>
      </c>
      <c r="H12" s="679">
        <v>224</v>
      </c>
      <c r="I12" s="679">
        <v>70</v>
      </c>
      <c r="J12" s="679">
        <v>78</v>
      </c>
      <c r="K12" s="679">
        <v>0</v>
      </c>
      <c r="L12" s="679">
        <v>0</v>
      </c>
      <c r="M12" s="679">
        <v>7366</v>
      </c>
      <c r="N12" s="679">
        <v>4587</v>
      </c>
      <c r="O12" s="679"/>
      <c r="P12" s="679"/>
      <c r="Q12" s="679">
        <v>0</v>
      </c>
      <c r="R12" s="679">
        <v>0</v>
      </c>
      <c r="S12" s="679">
        <v>207</v>
      </c>
      <c r="T12" s="679">
        <v>42</v>
      </c>
      <c r="U12" s="679">
        <v>1151</v>
      </c>
      <c r="V12" s="679">
        <v>236</v>
      </c>
      <c r="W12" s="680">
        <v>750</v>
      </c>
      <c r="X12" s="680">
        <v>447</v>
      </c>
      <c r="Y12" s="681">
        <f t="shared" si="0"/>
        <v>79602</v>
      </c>
      <c r="Z12" s="681">
        <f t="shared" si="0"/>
        <v>7674</v>
      </c>
    </row>
    <row r="13" spans="1:26">
      <c r="A13" s="678">
        <v>4</v>
      </c>
      <c r="B13" s="1737" t="s">
        <v>8</v>
      </c>
      <c r="C13" s="1737"/>
      <c r="D13" s="1737"/>
      <c r="E13" s="679">
        <v>2486</v>
      </c>
      <c r="F13" s="679">
        <v>23</v>
      </c>
      <c r="G13" s="679">
        <v>0</v>
      </c>
      <c r="H13" s="679">
        <v>0</v>
      </c>
      <c r="I13" s="679">
        <v>0</v>
      </c>
      <c r="J13" s="679">
        <v>0</v>
      </c>
      <c r="K13" s="679">
        <v>0</v>
      </c>
      <c r="L13" s="679">
        <v>0</v>
      </c>
      <c r="M13" s="679">
        <v>0</v>
      </c>
      <c r="N13" s="679">
        <v>0</v>
      </c>
      <c r="O13" s="679"/>
      <c r="P13" s="679"/>
      <c r="Q13" s="679">
        <v>0</v>
      </c>
      <c r="R13" s="679">
        <v>0</v>
      </c>
      <c r="S13" s="679">
        <v>0</v>
      </c>
      <c r="T13" s="679">
        <v>0</v>
      </c>
      <c r="U13" s="679">
        <v>0</v>
      </c>
      <c r="V13" s="679">
        <v>0</v>
      </c>
      <c r="W13" s="680">
        <v>0</v>
      </c>
      <c r="X13" s="680">
        <v>0</v>
      </c>
      <c r="Y13" s="681">
        <f t="shared" si="0"/>
        <v>2486</v>
      </c>
      <c r="Z13" s="681">
        <f t="shared" si="0"/>
        <v>23</v>
      </c>
    </row>
    <row r="14" spans="1:26">
      <c r="A14" s="678">
        <v>5</v>
      </c>
      <c r="B14" s="1737" t="s">
        <v>25</v>
      </c>
      <c r="C14" s="1737"/>
      <c r="D14" s="1737"/>
      <c r="E14" s="679">
        <v>0</v>
      </c>
      <c r="F14" s="679">
        <v>0</v>
      </c>
      <c r="G14" s="679">
        <v>0</v>
      </c>
      <c r="H14" s="679">
        <v>0</v>
      </c>
      <c r="I14" s="679">
        <v>0</v>
      </c>
      <c r="J14" s="679">
        <v>0</v>
      </c>
      <c r="K14" s="679">
        <v>0</v>
      </c>
      <c r="L14" s="679">
        <v>0</v>
      </c>
      <c r="M14" s="679">
        <v>0</v>
      </c>
      <c r="N14" s="679">
        <v>0</v>
      </c>
      <c r="O14" s="679"/>
      <c r="P14" s="679"/>
      <c r="Q14" s="679">
        <v>0</v>
      </c>
      <c r="R14" s="679">
        <v>0</v>
      </c>
      <c r="S14" s="679">
        <v>0</v>
      </c>
      <c r="T14" s="679">
        <v>0</v>
      </c>
      <c r="U14" s="680">
        <v>0</v>
      </c>
      <c r="V14" s="680">
        <v>0</v>
      </c>
      <c r="W14" s="680">
        <v>0</v>
      </c>
      <c r="X14" s="680">
        <v>0</v>
      </c>
      <c r="Y14" s="681">
        <f t="shared" si="0"/>
        <v>0</v>
      </c>
      <c r="Z14" s="681">
        <f t="shared" si="0"/>
        <v>0</v>
      </c>
    </row>
    <row r="15" spans="1:26">
      <c r="A15" s="677">
        <v>6</v>
      </c>
      <c r="B15" s="1731" t="s">
        <v>3</v>
      </c>
      <c r="C15" s="1731"/>
      <c r="D15" s="1731"/>
      <c r="E15" s="682">
        <f t="shared" ref="E15:J15" si="1">SUM(E10:E14)</f>
        <v>149664</v>
      </c>
      <c r="F15" s="682">
        <f t="shared" si="1"/>
        <v>7868</v>
      </c>
      <c r="G15" s="682">
        <f t="shared" si="1"/>
        <v>34961</v>
      </c>
      <c r="H15" s="682">
        <f t="shared" si="1"/>
        <v>974</v>
      </c>
      <c r="I15" s="682">
        <f t="shared" si="1"/>
        <v>5161</v>
      </c>
      <c r="J15" s="682">
        <f t="shared" si="1"/>
        <v>444</v>
      </c>
      <c r="K15" s="682">
        <v>0</v>
      </c>
      <c r="L15" s="682">
        <v>0</v>
      </c>
      <c r="M15" s="682">
        <f>SUM(M10:M14)</f>
        <v>12471</v>
      </c>
      <c r="N15" s="682">
        <f>SUM(N10:N14)</f>
        <v>4966</v>
      </c>
      <c r="O15" s="682"/>
      <c r="P15" s="682"/>
      <c r="Q15" s="682">
        <f>SUM(Q10:Q14)</f>
        <v>0</v>
      </c>
      <c r="R15" s="682">
        <f t="shared" ref="R15:X15" si="2">SUM(R10:R14)</f>
        <v>0</v>
      </c>
      <c r="S15" s="683">
        <f t="shared" si="2"/>
        <v>578</v>
      </c>
      <c r="T15" s="683">
        <f t="shared" si="2"/>
        <v>57</v>
      </c>
      <c r="U15" s="683">
        <f t="shared" si="2"/>
        <v>1258</v>
      </c>
      <c r="V15" s="683">
        <f t="shared" si="2"/>
        <v>275</v>
      </c>
      <c r="W15" s="683">
        <f t="shared" si="2"/>
        <v>2418</v>
      </c>
      <c r="X15" s="683">
        <f t="shared" si="2"/>
        <v>1290</v>
      </c>
      <c r="Y15" s="684">
        <f t="shared" si="0"/>
        <v>206511</v>
      </c>
      <c r="Z15" s="684">
        <f t="shared" si="0"/>
        <v>15874</v>
      </c>
    </row>
    <row r="16" spans="1:26">
      <c r="A16" s="1732" t="s">
        <v>136</v>
      </c>
      <c r="B16" s="1732"/>
      <c r="C16" s="1732"/>
      <c r="D16" s="1732"/>
      <c r="E16" s="1732"/>
      <c r="F16" s="1732"/>
      <c r="G16" s="1732"/>
      <c r="H16" s="1732"/>
      <c r="I16" s="1732"/>
      <c r="J16" s="1732"/>
      <c r="K16" s="1732"/>
      <c r="L16" s="1732"/>
      <c r="M16" s="1732"/>
      <c r="N16" s="1732"/>
      <c r="O16" s="1732"/>
      <c r="P16" s="1732"/>
      <c r="Q16" s="1732"/>
      <c r="R16" s="1732"/>
      <c r="S16" s="1732"/>
      <c r="T16" s="1732"/>
      <c r="U16" s="1732"/>
      <c r="V16" s="1732"/>
      <c r="W16" s="1732"/>
      <c r="X16" s="1732"/>
      <c r="Y16" s="1732"/>
      <c r="Z16" s="1732"/>
    </row>
    <row r="17" spans="1:26">
      <c r="A17" s="685"/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5"/>
      <c r="N17" s="685"/>
      <c r="O17" s="685"/>
      <c r="P17" s="685"/>
      <c r="Q17" s="685"/>
      <c r="R17" s="685"/>
      <c r="S17" s="685"/>
      <c r="T17" s="685"/>
      <c r="U17" s="685"/>
      <c r="V17" s="685"/>
      <c r="W17" s="685"/>
      <c r="X17" s="685"/>
      <c r="Y17" s="685"/>
      <c r="Z17" s="685"/>
    </row>
    <row r="18" spans="1:26">
      <c r="A18" s="1733" t="s">
        <v>137</v>
      </c>
      <c r="B18" s="1733"/>
      <c r="C18" s="1733"/>
      <c r="D18" s="1733"/>
      <c r="E18" s="1733"/>
      <c r="F18" s="1733"/>
      <c r="G18" s="1733"/>
      <c r="H18" s="1733"/>
      <c r="I18" s="1733"/>
      <c r="J18" s="1733"/>
      <c r="K18" s="1734" t="s">
        <v>54</v>
      </c>
      <c r="L18" s="1734"/>
      <c r="M18" s="1734"/>
      <c r="N18" s="686"/>
      <c r="O18" s="686"/>
      <c r="P18" s="686"/>
      <c r="Q18" s="687"/>
      <c r="R18" s="688"/>
      <c r="S18" s="689" t="s">
        <v>138</v>
      </c>
      <c r="T18" s="688"/>
      <c r="U18" s="688"/>
      <c r="V18" s="688"/>
      <c r="W18" s="690"/>
      <c r="X18" s="691"/>
      <c r="Y18" s="687"/>
      <c r="Z18" s="687"/>
    </row>
    <row r="19" spans="1:26">
      <c r="A19" s="1729" t="s">
        <v>132</v>
      </c>
      <c r="B19" s="1729" t="s">
        <v>7</v>
      </c>
      <c r="C19" s="1729"/>
      <c r="D19" s="1729"/>
      <c r="E19" s="1730" t="s">
        <v>24</v>
      </c>
      <c r="F19" s="1730"/>
      <c r="G19" s="1730"/>
      <c r="H19" s="1729" t="s">
        <v>139</v>
      </c>
      <c r="I19" s="1729"/>
      <c r="J19" s="1729"/>
      <c r="K19" s="1730" t="s">
        <v>3</v>
      </c>
      <c r="L19" s="1730"/>
      <c r="M19" s="1730"/>
      <c r="N19" s="692"/>
      <c r="O19" s="692"/>
      <c r="P19" s="692"/>
      <c r="Q19" s="693"/>
      <c r="R19" s="693"/>
      <c r="S19" s="694"/>
      <c r="T19" s="694"/>
      <c r="U19" s="694"/>
      <c r="V19" s="694"/>
      <c r="W19" s="694"/>
      <c r="X19" s="694"/>
      <c r="Y19" s="694"/>
      <c r="Z19" s="694"/>
    </row>
    <row r="20" spans="1:26" ht="38.25">
      <c r="A20" s="1729"/>
      <c r="B20" s="1729"/>
      <c r="C20" s="1729"/>
      <c r="D20" s="1729"/>
      <c r="E20" s="677" t="s">
        <v>140</v>
      </c>
      <c r="F20" s="677" t="s">
        <v>33</v>
      </c>
      <c r="G20" s="677" t="s">
        <v>141</v>
      </c>
      <c r="H20" s="677" t="s">
        <v>140</v>
      </c>
      <c r="I20" s="677" t="s">
        <v>33</v>
      </c>
      <c r="J20" s="677" t="s">
        <v>141</v>
      </c>
      <c r="K20" s="677" t="s">
        <v>140</v>
      </c>
      <c r="L20" s="695" t="s">
        <v>33</v>
      </c>
      <c r="M20" s="677" t="s">
        <v>141</v>
      </c>
      <c r="N20" s="692"/>
      <c r="O20" s="692"/>
      <c r="P20" s="692"/>
      <c r="Q20" s="692"/>
      <c r="R20" s="692"/>
      <c r="S20" s="333"/>
      <c r="T20" s="333"/>
      <c r="U20" s="333"/>
      <c r="V20" s="333"/>
      <c r="W20" s="333"/>
      <c r="X20" s="694"/>
      <c r="Y20" s="694"/>
      <c r="Z20" s="694"/>
    </row>
    <row r="21" spans="1:26" ht="25.5">
      <c r="A21" s="1729"/>
      <c r="B21" s="1729"/>
      <c r="C21" s="1729"/>
      <c r="D21" s="1729"/>
      <c r="E21" s="696">
        <v>1</v>
      </c>
      <c r="F21" s="696">
        <v>2</v>
      </c>
      <c r="G21" s="696" t="s">
        <v>142</v>
      </c>
      <c r="H21" s="696">
        <v>4</v>
      </c>
      <c r="I21" s="696">
        <v>5</v>
      </c>
      <c r="J21" s="696" t="s">
        <v>143</v>
      </c>
      <c r="K21" s="696">
        <v>7</v>
      </c>
      <c r="L21" s="697">
        <v>8</v>
      </c>
      <c r="M21" s="696" t="s">
        <v>144</v>
      </c>
      <c r="N21" s="698"/>
      <c r="O21" s="698"/>
      <c r="P21" s="698"/>
      <c r="Q21" s="698"/>
      <c r="R21" s="698"/>
      <c r="S21" s="699"/>
      <c r="T21" s="699"/>
      <c r="U21" s="699"/>
      <c r="V21" s="699"/>
      <c r="W21" s="699"/>
      <c r="X21" s="700"/>
      <c r="Y21" s="700"/>
      <c r="Z21" s="700"/>
    </row>
    <row r="22" spans="1:26">
      <c r="A22" s="678">
        <v>1</v>
      </c>
      <c r="B22" s="1737" t="s">
        <v>135</v>
      </c>
      <c r="C22" s="1738" t="s">
        <v>145</v>
      </c>
      <c r="D22" s="701" t="s">
        <v>11</v>
      </c>
      <c r="E22" s="679">
        <v>12</v>
      </c>
      <c r="F22" s="679">
        <v>10608</v>
      </c>
      <c r="G22" s="679">
        <f>+F22/12/E22*1000</f>
        <v>73666.666666666672</v>
      </c>
      <c r="H22" s="679">
        <v>1</v>
      </c>
      <c r="I22" s="679">
        <v>527</v>
      </c>
      <c r="J22" s="679">
        <f>+I22/12/H22*1000</f>
        <v>43916.666666666664</v>
      </c>
      <c r="K22" s="679">
        <f>E22+H22</f>
        <v>13</v>
      </c>
      <c r="L22" s="679">
        <f>F22+I22</f>
        <v>11135</v>
      </c>
      <c r="M22" s="679">
        <f>L22/12/K22*1000</f>
        <v>71378.205128205125</v>
      </c>
      <c r="N22" s="685"/>
      <c r="O22" s="685"/>
      <c r="P22" s="685"/>
      <c r="Q22" s="685"/>
      <c r="R22" s="685"/>
      <c r="S22" s="304"/>
      <c r="T22" s="304"/>
      <c r="U22" s="304"/>
      <c r="V22" s="304"/>
      <c r="W22" s="304"/>
      <c r="X22" s="322"/>
      <c r="Y22" s="322"/>
      <c r="Z22" s="322"/>
    </row>
    <row r="23" spans="1:26">
      <c r="A23" s="678">
        <v>2</v>
      </c>
      <c r="B23" s="1737"/>
      <c r="C23" s="1738"/>
      <c r="D23" s="702" t="s">
        <v>12</v>
      </c>
      <c r="E23" s="679">
        <v>38</v>
      </c>
      <c r="F23" s="679">
        <v>21957</v>
      </c>
      <c r="G23" s="679">
        <f t="shared" ref="G23:G33" si="3">+F23/12/E23*1000</f>
        <v>48151.315789473687</v>
      </c>
      <c r="H23" s="679">
        <v>2</v>
      </c>
      <c r="I23" s="679">
        <v>1023</v>
      </c>
      <c r="J23" s="679">
        <f t="shared" ref="J23:J33" si="4">+I23/12/H23*1000</f>
        <v>42625</v>
      </c>
      <c r="K23" s="679">
        <f t="shared" ref="K23:L33" si="5">E23+H23</f>
        <v>40</v>
      </c>
      <c r="L23" s="679">
        <f t="shared" si="5"/>
        <v>22980</v>
      </c>
      <c r="M23" s="679">
        <f t="shared" ref="M23:M33" si="6">L23/12/K23*1000</f>
        <v>47875</v>
      </c>
      <c r="N23" s="685"/>
      <c r="O23" s="685"/>
      <c r="P23" s="685"/>
      <c r="Q23" s="685"/>
      <c r="R23" s="685"/>
      <c r="S23" s="304"/>
      <c r="T23" s="304"/>
      <c r="U23" s="304"/>
      <c r="V23" s="304"/>
      <c r="W23" s="304"/>
      <c r="X23" s="322"/>
      <c r="Y23" s="322"/>
      <c r="Z23" s="322"/>
    </row>
    <row r="24" spans="1:26">
      <c r="A24" s="678">
        <v>3</v>
      </c>
      <c r="B24" s="1737"/>
      <c r="C24" s="1738"/>
      <c r="D24" s="702" t="s">
        <v>13</v>
      </c>
      <c r="E24" s="679">
        <v>102</v>
      </c>
      <c r="F24" s="679">
        <v>42356</v>
      </c>
      <c r="G24" s="679">
        <f t="shared" si="3"/>
        <v>34604.575163398695</v>
      </c>
      <c r="H24" s="679">
        <v>5</v>
      </c>
      <c r="I24" s="679">
        <v>3204</v>
      </c>
      <c r="J24" s="679">
        <f t="shared" si="4"/>
        <v>53400</v>
      </c>
      <c r="K24" s="679">
        <f t="shared" si="5"/>
        <v>107</v>
      </c>
      <c r="L24" s="679">
        <f t="shared" si="5"/>
        <v>45560</v>
      </c>
      <c r="M24" s="679">
        <f t="shared" si="6"/>
        <v>35482.866043613707</v>
      </c>
      <c r="N24" s="685"/>
      <c r="O24" s="685"/>
      <c r="P24" s="685"/>
      <c r="Q24" s="685"/>
      <c r="R24" s="685"/>
      <c r="S24" s="304"/>
      <c r="T24" s="304"/>
      <c r="U24" s="304"/>
      <c r="V24" s="304"/>
      <c r="W24" s="304"/>
      <c r="X24" s="322"/>
      <c r="Y24" s="322"/>
      <c r="Z24" s="322"/>
    </row>
    <row r="25" spans="1:26">
      <c r="A25" s="678">
        <v>4</v>
      </c>
      <c r="B25" s="1737"/>
      <c r="C25" s="1738"/>
      <c r="D25" s="702" t="s">
        <v>14</v>
      </c>
      <c r="E25" s="679">
        <v>42</v>
      </c>
      <c r="F25" s="679">
        <v>12134</v>
      </c>
      <c r="G25" s="679">
        <f t="shared" si="3"/>
        <v>24075.396825396827</v>
      </c>
      <c r="H25" s="679">
        <v>1</v>
      </c>
      <c r="I25" s="679">
        <v>469</v>
      </c>
      <c r="J25" s="679">
        <f t="shared" si="4"/>
        <v>39083.333333333336</v>
      </c>
      <c r="K25" s="679">
        <f t="shared" si="5"/>
        <v>43</v>
      </c>
      <c r="L25" s="679">
        <f t="shared" si="5"/>
        <v>12603</v>
      </c>
      <c r="M25" s="679">
        <f t="shared" si="6"/>
        <v>24424.41860465116</v>
      </c>
      <c r="N25" s="685"/>
      <c r="O25" s="685"/>
      <c r="P25" s="685"/>
      <c r="Q25" s="685"/>
      <c r="R25" s="685"/>
      <c r="S25" s="304"/>
      <c r="T25" s="304"/>
      <c r="U25" s="304"/>
      <c r="V25" s="304"/>
      <c r="W25" s="304"/>
      <c r="X25" s="322"/>
      <c r="Y25" s="322"/>
      <c r="Z25" s="322"/>
    </row>
    <row r="26" spans="1:26">
      <c r="A26" s="678">
        <v>5</v>
      </c>
      <c r="B26" s="1737"/>
      <c r="C26" s="1738"/>
      <c r="D26" s="702" t="s">
        <v>15</v>
      </c>
      <c r="E26" s="679">
        <v>11</v>
      </c>
      <c r="F26" s="679">
        <v>2498</v>
      </c>
      <c r="G26" s="679">
        <f t="shared" si="3"/>
        <v>18924.24242424242</v>
      </c>
      <c r="H26" s="679">
        <v>0</v>
      </c>
      <c r="I26" s="679">
        <v>0</v>
      </c>
      <c r="J26" s="679">
        <v>0</v>
      </c>
      <c r="K26" s="679">
        <f t="shared" si="5"/>
        <v>11</v>
      </c>
      <c r="L26" s="679">
        <f t="shared" si="5"/>
        <v>2498</v>
      </c>
      <c r="M26" s="679">
        <f t="shared" si="6"/>
        <v>18924.24242424242</v>
      </c>
      <c r="N26" s="685"/>
      <c r="O26" s="685"/>
      <c r="P26" s="685"/>
      <c r="Q26" s="685"/>
      <c r="R26" s="685"/>
      <c r="S26" s="304"/>
      <c r="T26" s="304"/>
      <c r="U26" s="304"/>
      <c r="V26" s="304"/>
      <c r="W26" s="304"/>
      <c r="X26" s="322"/>
      <c r="Y26" s="322"/>
      <c r="Z26" s="322"/>
    </row>
    <row r="27" spans="1:26">
      <c r="A27" s="678">
        <v>6</v>
      </c>
      <c r="B27" s="1737"/>
      <c r="C27" s="1738"/>
      <c r="D27" s="702" t="s">
        <v>146</v>
      </c>
      <c r="E27" s="679">
        <v>42</v>
      </c>
      <c r="F27" s="679">
        <v>23620</v>
      </c>
      <c r="G27" s="679">
        <f t="shared" si="3"/>
        <v>46865.079365079357</v>
      </c>
      <c r="H27" s="679">
        <v>4</v>
      </c>
      <c r="I27" s="679">
        <v>1772</v>
      </c>
      <c r="J27" s="679">
        <f t="shared" si="4"/>
        <v>36916.666666666664</v>
      </c>
      <c r="K27" s="679">
        <f t="shared" si="5"/>
        <v>46</v>
      </c>
      <c r="L27" s="679">
        <f t="shared" si="5"/>
        <v>25392</v>
      </c>
      <c r="M27" s="679">
        <f t="shared" si="6"/>
        <v>46000</v>
      </c>
      <c r="N27" s="685"/>
      <c r="O27" s="685"/>
      <c r="P27" s="685"/>
      <c r="Q27" s="685"/>
      <c r="R27" s="685"/>
      <c r="S27" s="304"/>
      <c r="T27" s="304"/>
      <c r="U27" s="304"/>
      <c r="V27" s="304"/>
      <c r="W27" s="304"/>
      <c r="X27" s="322"/>
      <c r="Y27" s="322"/>
      <c r="Z27" s="322"/>
    </row>
    <row r="28" spans="1:26">
      <c r="A28" s="678">
        <v>7</v>
      </c>
      <c r="B28" s="1737"/>
      <c r="C28" s="1738"/>
      <c r="D28" s="702" t="s">
        <v>10</v>
      </c>
      <c r="E28" s="679">
        <f>SUM(E22:E27)</f>
        <v>247</v>
      </c>
      <c r="F28" s="679">
        <f>SUM(F22:F27)</f>
        <v>113173</v>
      </c>
      <c r="G28" s="679">
        <f t="shared" si="3"/>
        <v>38182.523616734143</v>
      </c>
      <c r="H28" s="679">
        <f>SUM(H22:H27)</f>
        <v>13</v>
      </c>
      <c r="I28" s="679">
        <f>SUM(I22:I27)</f>
        <v>6995</v>
      </c>
      <c r="J28" s="679">
        <f t="shared" si="4"/>
        <v>44839.743589743586</v>
      </c>
      <c r="K28" s="679">
        <f t="shared" si="5"/>
        <v>260</v>
      </c>
      <c r="L28" s="679">
        <f>F28+I28</f>
        <v>120168</v>
      </c>
      <c r="M28" s="679">
        <f>L28/12/K28*1000</f>
        <v>38515.384615384617</v>
      </c>
      <c r="N28" s="685"/>
      <c r="O28" s="685"/>
      <c r="P28" s="685"/>
      <c r="Q28" s="685"/>
      <c r="R28" s="685"/>
      <c r="S28" s="304"/>
      <c r="T28" s="304"/>
      <c r="U28" s="304"/>
      <c r="V28" s="304"/>
      <c r="W28" s="304"/>
      <c r="X28" s="322"/>
      <c r="Y28" s="322"/>
      <c r="Z28" s="322"/>
    </row>
    <row r="29" spans="1:26">
      <c r="A29" s="678">
        <v>8</v>
      </c>
      <c r="B29" s="1737"/>
      <c r="C29" s="1738" t="s">
        <v>147</v>
      </c>
      <c r="D29" s="1738"/>
      <c r="E29" s="679">
        <v>4</v>
      </c>
      <c r="F29" s="679">
        <v>1547</v>
      </c>
      <c r="G29" s="679">
        <f t="shared" si="3"/>
        <v>32229.166666666664</v>
      </c>
      <c r="H29" s="679">
        <v>6</v>
      </c>
      <c r="I29" s="679">
        <v>2708</v>
      </c>
      <c r="J29" s="679">
        <f t="shared" si="4"/>
        <v>37611.111111111109</v>
      </c>
      <c r="K29" s="679">
        <f t="shared" si="5"/>
        <v>10</v>
      </c>
      <c r="L29" s="679">
        <f t="shared" si="5"/>
        <v>4255</v>
      </c>
      <c r="M29" s="679">
        <f t="shared" si="6"/>
        <v>35458.333333333328</v>
      </c>
      <c r="N29" s="685"/>
      <c r="O29" s="685"/>
      <c r="P29" s="685"/>
      <c r="Q29" s="685"/>
      <c r="R29" s="685"/>
      <c r="S29" s="304"/>
      <c r="T29" s="304"/>
      <c r="U29" s="304"/>
      <c r="V29" s="304"/>
      <c r="W29" s="304"/>
      <c r="X29" s="322"/>
      <c r="Y29" s="322"/>
      <c r="Z29" s="322"/>
    </row>
    <row r="30" spans="1:26">
      <c r="A30" s="678">
        <v>9</v>
      </c>
      <c r="B30" s="1737"/>
      <c r="C30" s="1739" t="s">
        <v>148</v>
      </c>
      <c r="D30" s="1739"/>
      <c r="E30" s="679">
        <v>234</v>
      </c>
      <c r="F30" s="679">
        <v>67419.399999999994</v>
      </c>
      <c r="G30" s="679">
        <f t="shared" si="3"/>
        <v>24009.757834757831</v>
      </c>
      <c r="H30" s="679">
        <v>30</v>
      </c>
      <c r="I30" s="679">
        <v>12182.3</v>
      </c>
      <c r="J30" s="679">
        <f t="shared" si="4"/>
        <v>33839.722222222219</v>
      </c>
      <c r="K30" s="679">
        <f t="shared" si="5"/>
        <v>264</v>
      </c>
      <c r="L30" s="679">
        <f t="shared" si="5"/>
        <v>79601.7</v>
      </c>
      <c r="M30" s="679">
        <f t="shared" si="6"/>
        <v>25126.79924242424</v>
      </c>
      <c r="N30" s="685"/>
      <c r="O30" s="685"/>
      <c r="P30" s="685"/>
      <c r="Q30" s="685"/>
      <c r="R30" s="685"/>
      <c r="S30" s="304"/>
      <c r="T30" s="304"/>
      <c r="U30" s="304"/>
      <c r="V30" s="304"/>
      <c r="W30" s="304"/>
      <c r="X30" s="322"/>
      <c r="Y30" s="322"/>
      <c r="Z30" s="322"/>
    </row>
    <row r="31" spans="1:26">
      <c r="A31" s="678">
        <v>10</v>
      </c>
      <c r="B31" s="1740" t="s">
        <v>8</v>
      </c>
      <c r="C31" s="1741"/>
      <c r="D31" s="1742"/>
      <c r="E31" s="679">
        <v>13</v>
      </c>
      <c r="F31" s="679">
        <v>2486</v>
      </c>
      <c r="G31" s="679">
        <f t="shared" si="3"/>
        <v>15935.897435897434</v>
      </c>
      <c r="H31" s="679">
        <v>0</v>
      </c>
      <c r="I31" s="679">
        <v>0</v>
      </c>
      <c r="J31" s="679">
        <v>0</v>
      </c>
      <c r="K31" s="679">
        <f>E31+H31</f>
        <v>13</v>
      </c>
      <c r="L31" s="679">
        <f>F31+I31</f>
        <v>2486</v>
      </c>
      <c r="M31" s="679">
        <f t="shared" si="6"/>
        <v>15935.897435897434</v>
      </c>
      <c r="N31" s="685"/>
      <c r="O31" s="685"/>
      <c r="P31" s="685"/>
      <c r="Q31" s="333"/>
      <c r="R31" s="333"/>
      <c r="S31" s="333"/>
      <c r="T31" s="333"/>
      <c r="U31" s="333"/>
      <c r="V31" s="333"/>
      <c r="W31" s="333"/>
      <c r="X31" s="694"/>
      <c r="Y31" s="694"/>
      <c r="Z31" s="694"/>
    </row>
    <row r="32" spans="1:26">
      <c r="A32" s="678">
        <v>11</v>
      </c>
      <c r="B32" s="1740" t="s">
        <v>25</v>
      </c>
      <c r="C32" s="1741"/>
      <c r="D32" s="1742"/>
      <c r="E32" s="679">
        <v>0</v>
      </c>
      <c r="F32" s="679">
        <v>0</v>
      </c>
      <c r="G32" s="679">
        <v>0</v>
      </c>
      <c r="H32" s="679">
        <v>0</v>
      </c>
      <c r="I32" s="679">
        <v>0</v>
      </c>
      <c r="J32" s="679">
        <v>0</v>
      </c>
      <c r="K32" s="679">
        <f>E32+H32</f>
        <v>0</v>
      </c>
      <c r="L32" s="679">
        <f>F32+I32</f>
        <v>0</v>
      </c>
      <c r="M32" s="679">
        <v>0</v>
      </c>
      <c r="N32" s="685"/>
      <c r="O32" s="685"/>
      <c r="P32" s="685"/>
      <c r="Q32" s="703"/>
      <c r="R32" s="703"/>
      <c r="S32" s="703"/>
      <c r="T32" s="703"/>
      <c r="U32" s="703"/>
      <c r="V32" s="703"/>
      <c r="W32" s="703"/>
      <c r="X32" s="703"/>
      <c r="Y32" s="703"/>
      <c r="Z32" s="703"/>
    </row>
    <row r="33" spans="1:26">
      <c r="A33" s="704">
        <v>12</v>
      </c>
      <c r="B33" s="1743" t="s">
        <v>3</v>
      </c>
      <c r="C33" s="1743"/>
      <c r="D33" s="1743"/>
      <c r="E33" s="682">
        <f>SUM(E28:E32)</f>
        <v>498</v>
      </c>
      <c r="F33" s="682">
        <f>SUM(F28:F32)</f>
        <v>184625.4</v>
      </c>
      <c r="G33" s="682">
        <f t="shared" si="3"/>
        <v>30894.477911646583</v>
      </c>
      <c r="H33" s="682">
        <f>SUM(H28:H32)</f>
        <v>49</v>
      </c>
      <c r="I33" s="682">
        <f>SUM(I28:I32)</f>
        <v>21885.3</v>
      </c>
      <c r="J33" s="682">
        <f t="shared" si="4"/>
        <v>37219.897959183669</v>
      </c>
      <c r="K33" s="682">
        <f t="shared" si="5"/>
        <v>547</v>
      </c>
      <c r="L33" s="682">
        <f t="shared" si="5"/>
        <v>206510.69999999998</v>
      </c>
      <c r="M33" s="682">
        <f t="shared" si="6"/>
        <v>31461.106032906762</v>
      </c>
      <c r="N33" s="685"/>
      <c r="O33" s="685"/>
      <c r="P33" s="685"/>
      <c r="Q33" s="1372"/>
      <c r="R33" s="705"/>
      <c r="S33" s="706"/>
      <c r="T33" s="705"/>
      <c r="U33" s="705"/>
      <c r="V33" s="705"/>
      <c r="W33" s="705"/>
      <c r="X33" s="705"/>
      <c r="Y33" s="1367"/>
      <c r="Z33" s="703"/>
    </row>
  </sheetData>
  <mergeCells count="39">
    <mergeCell ref="B31:D31"/>
    <mergeCell ref="B32:D32"/>
    <mergeCell ref="B33:D33"/>
    <mergeCell ref="A19:A21"/>
    <mergeCell ref="B19:D21"/>
    <mergeCell ref="E19:G19"/>
    <mergeCell ref="H19:J19"/>
    <mergeCell ref="K19:M19"/>
    <mergeCell ref="B22:B30"/>
    <mergeCell ref="C22:C28"/>
    <mergeCell ref="C29:D29"/>
    <mergeCell ref="C30:D30"/>
    <mergeCell ref="B15:D15"/>
    <mergeCell ref="A16:Z16"/>
    <mergeCell ref="A18:J18"/>
    <mergeCell ref="K18:M18"/>
    <mergeCell ref="B10:B12"/>
    <mergeCell ref="C10:D10"/>
    <mergeCell ref="C11:D11"/>
    <mergeCell ref="C12:D12"/>
    <mergeCell ref="B13:D13"/>
    <mergeCell ref="B14:D14"/>
    <mergeCell ref="Y7:Z8"/>
    <mergeCell ref="E8:F8"/>
    <mergeCell ref="G8:H8"/>
    <mergeCell ref="I8:J8"/>
    <mergeCell ref="K8:L8"/>
    <mergeCell ref="M8:N8"/>
    <mergeCell ref="Q8:R8"/>
    <mergeCell ref="A1:X1"/>
    <mergeCell ref="A5:A9"/>
    <mergeCell ref="B5:D9"/>
    <mergeCell ref="E5:Z5"/>
    <mergeCell ref="E7:H7"/>
    <mergeCell ref="I7:L7"/>
    <mergeCell ref="M7:R7"/>
    <mergeCell ref="S7:T8"/>
    <mergeCell ref="U7:V8"/>
    <mergeCell ref="W7:X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4" max="4" width="16.85546875" customWidth="1"/>
    <col min="5" max="5" width="13.42578125" customWidth="1"/>
    <col min="6" max="6" width="14.85546875" customWidth="1"/>
    <col min="7" max="7" width="13.7109375" customWidth="1"/>
    <col min="8" max="8" width="10.28515625" customWidth="1"/>
    <col min="9" max="9" width="13.140625" customWidth="1"/>
    <col min="10" max="10" width="12.7109375" customWidth="1"/>
    <col min="11" max="11" width="13.5703125" customWidth="1"/>
    <col min="12" max="12" width="11.85546875" customWidth="1"/>
    <col min="13" max="13" width="13.7109375" customWidth="1"/>
    <col min="25" max="25" width="11.7109375" customWidth="1"/>
    <col min="26" max="26" width="13.42578125" customWidth="1"/>
  </cols>
  <sheetData>
    <row r="1" spans="1:26" ht="15.75">
      <c r="A1" s="721" t="s">
        <v>51</v>
      </c>
      <c r="B1" s="722"/>
      <c r="C1" s="722"/>
      <c r="D1" s="722"/>
      <c r="E1" s="722"/>
      <c r="F1" s="722"/>
      <c r="G1" s="722"/>
      <c r="H1" s="722"/>
      <c r="I1" s="723"/>
      <c r="J1" s="723"/>
      <c r="K1" s="723"/>
      <c r="L1" s="723"/>
      <c r="M1" s="723"/>
      <c r="N1" s="723"/>
      <c r="O1" s="723"/>
      <c r="P1" s="724"/>
      <c r="Q1" s="724"/>
      <c r="R1" s="724"/>
      <c r="S1" s="724"/>
      <c r="T1" s="724"/>
      <c r="U1" s="724"/>
      <c r="V1" s="724"/>
      <c r="W1" s="725"/>
      <c r="X1" s="725"/>
      <c r="Y1" s="726"/>
      <c r="Z1" s="726"/>
    </row>
    <row r="2" spans="1:26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</row>
    <row r="3" spans="1:26">
      <c r="A3" s="727" t="s">
        <v>152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</row>
    <row r="4" spans="1:26" ht="15.75" thickBot="1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723"/>
      <c r="S4" s="495"/>
      <c r="T4" s="495"/>
      <c r="U4" s="495"/>
      <c r="V4" s="495"/>
      <c r="W4" s="495"/>
      <c r="X4" s="495"/>
      <c r="Y4" s="495"/>
      <c r="Z4" s="728" t="s">
        <v>4</v>
      </c>
    </row>
    <row r="5" spans="1:26" ht="15.75" thickBot="1">
      <c r="A5" s="1744" t="s">
        <v>1</v>
      </c>
      <c r="B5" s="1747" t="s">
        <v>7</v>
      </c>
      <c r="C5" s="1748"/>
      <c r="D5" s="1749"/>
      <c r="E5" s="1756" t="s">
        <v>35</v>
      </c>
      <c r="F5" s="1757"/>
      <c r="G5" s="1757"/>
      <c r="H5" s="1757"/>
      <c r="I5" s="1757"/>
      <c r="J5" s="1757"/>
      <c r="K5" s="1757"/>
      <c r="L5" s="1757"/>
      <c r="M5" s="1757"/>
      <c r="N5" s="1757"/>
      <c r="O5" s="1757"/>
      <c r="P5" s="1757"/>
      <c r="Q5" s="1757"/>
      <c r="R5" s="1757"/>
      <c r="S5" s="1757"/>
      <c r="T5" s="1757"/>
      <c r="U5" s="1757"/>
      <c r="V5" s="1757"/>
      <c r="W5" s="1757"/>
      <c r="X5" s="1757"/>
      <c r="Y5" s="1757"/>
      <c r="Z5" s="1758"/>
    </row>
    <row r="6" spans="1:26" s="28" customFormat="1" ht="15.75" thickBot="1">
      <c r="A6" s="1745"/>
      <c r="B6" s="1750"/>
      <c r="C6" s="1751"/>
      <c r="D6" s="1752"/>
      <c r="E6" s="1373"/>
      <c r="F6" s="1374"/>
      <c r="G6" s="1374"/>
      <c r="H6" s="1374"/>
      <c r="I6" s="1374"/>
      <c r="J6" s="1374"/>
      <c r="K6" s="1374"/>
      <c r="L6" s="1374"/>
      <c r="M6" s="1374"/>
      <c r="N6" s="1374"/>
      <c r="O6" s="1374"/>
      <c r="P6" s="1374"/>
      <c r="Q6" s="1374"/>
      <c r="R6" s="1374"/>
      <c r="S6" s="1374"/>
      <c r="T6" s="1374"/>
      <c r="U6" s="1374"/>
      <c r="V6" s="1374"/>
      <c r="W6" s="1374"/>
      <c r="X6" s="1374"/>
      <c r="Y6" s="1375"/>
      <c r="Z6" s="1376"/>
    </row>
    <row r="7" spans="1:26">
      <c r="A7" s="1745"/>
      <c r="B7" s="1750"/>
      <c r="C7" s="1751"/>
      <c r="D7" s="1752"/>
      <c r="E7" s="1402" t="s">
        <v>24</v>
      </c>
      <c r="F7" s="1403"/>
      <c r="G7" s="1403"/>
      <c r="H7" s="1404"/>
      <c r="I7" s="1759" t="s">
        <v>28</v>
      </c>
      <c r="J7" s="1760"/>
      <c r="K7" s="1760"/>
      <c r="L7" s="1761"/>
      <c r="M7" s="1759" t="s">
        <v>20</v>
      </c>
      <c r="N7" s="1760"/>
      <c r="O7" s="1760"/>
      <c r="P7" s="1760"/>
      <c r="Q7" s="1760"/>
      <c r="R7" s="1761"/>
      <c r="S7" s="1762" t="s">
        <v>18</v>
      </c>
      <c r="T7" s="1763"/>
      <c r="U7" s="1762" t="s">
        <v>5</v>
      </c>
      <c r="V7" s="1763"/>
      <c r="W7" s="1762" t="s">
        <v>21</v>
      </c>
      <c r="X7" s="1763"/>
      <c r="Y7" s="1766" t="s">
        <v>17</v>
      </c>
      <c r="Z7" s="1767"/>
    </row>
    <row r="8" spans="1:26" ht="15" customHeight="1">
      <c r="A8" s="1745"/>
      <c r="B8" s="1750"/>
      <c r="C8" s="1751"/>
      <c r="D8" s="1752"/>
      <c r="E8" s="1773" t="s">
        <v>19</v>
      </c>
      <c r="F8" s="1774"/>
      <c r="G8" s="1775" t="s">
        <v>27</v>
      </c>
      <c r="H8" s="1776"/>
      <c r="I8" s="1777" t="s">
        <v>73</v>
      </c>
      <c r="J8" s="1778"/>
      <c r="K8" s="1779" t="s">
        <v>29</v>
      </c>
      <c r="L8" s="1780"/>
      <c r="M8" s="1777" t="s">
        <v>149</v>
      </c>
      <c r="N8" s="1778"/>
      <c r="O8" s="1779" t="s">
        <v>150</v>
      </c>
      <c r="P8" s="1778"/>
      <c r="Q8" s="1779" t="s">
        <v>31</v>
      </c>
      <c r="R8" s="1780"/>
      <c r="S8" s="1764"/>
      <c r="T8" s="1765"/>
      <c r="U8" s="1764"/>
      <c r="V8" s="1765"/>
      <c r="W8" s="1764"/>
      <c r="X8" s="1765"/>
      <c r="Y8" s="1768"/>
      <c r="Z8" s="1769"/>
    </row>
    <row r="9" spans="1:26" ht="15.75" thickBot="1">
      <c r="A9" s="1746"/>
      <c r="B9" s="1753"/>
      <c r="C9" s="1754"/>
      <c r="D9" s="1755"/>
      <c r="E9" s="729" t="s">
        <v>6</v>
      </c>
      <c r="F9" s="730" t="s">
        <v>38</v>
      </c>
      <c r="G9" s="731" t="s">
        <v>6</v>
      </c>
      <c r="H9" s="732" t="s">
        <v>38</v>
      </c>
      <c r="I9" s="733" t="s">
        <v>6</v>
      </c>
      <c r="J9" s="734" t="s">
        <v>38</v>
      </c>
      <c r="K9" s="734" t="s">
        <v>6</v>
      </c>
      <c r="L9" s="735" t="s">
        <v>38</v>
      </c>
      <c r="M9" s="733" t="s">
        <v>6</v>
      </c>
      <c r="N9" s="734" t="s">
        <v>38</v>
      </c>
      <c r="O9" s="734" t="s">
        <v>6</v>
      </c>
      <c r="P9" s="734" t="s">
        <v>38</v>
      </c>
      <c r="Q9" s="734" t="s">
        <v>6</v>
      </c>
      <c r="R9" s="735" t="s">
        <v>38</v>
      </c>
      <c r="S9" s="733" t="s">
        <v>6</v>
      </c>
      <c r="T9" s="735" t="s">
        <v>38</v>
      </c>
      <c r="U9" s="733" t="s">
        <v>6</v>
      </c>
      <c r="V9" s="735" t="s">
        <v>38</v>
      </c>
      <c r="W9" s="733" t="s">
        <v>6</v>
      </c>
      <c r="X9" s="735" t="s">
        <v>38</v>
      </c>
      <c r="Y9" s="736" t="s">
        <v>80</v>
      </c>
      <c r="Z9" s="737" t="s">
        <v>38</v>
      </c>
    </row>
    <row r="10" spans="1:26">
      <c r="A10" s="738">
        <v>1</v>
      </c>
      <c r="B10" s="1790" t="s">
        <v>30</v>
      </c>
      <c r="C10" s="1792" t="s">
        <v>16</v>
      </c>
      <c r="D10" s="1793"/>
      <c r="E10" s="710">
        <v>424569</v>
      </c>
      <c r="F10" s="710">
        <v>32485</v>
      </c>
      <c r="G10" s="710">
        <v>276700</v>
      </c>
      <c r="H10" s="710">
        <v>432</v>
      </c>
      <c r="I10" s="711">
        <v>171752</v>
      </c>
      <c r="J10" s="711">
        <v>0</v>
      </c>
      <c r="K10" s="711">
        <v>47940</v>
      </c>
      <c r="L10" s="711">
        <v>2616</v>
      </c>
      <c r="M10" s="711">
        <v>10455</v>
      </c>
      <c r="N10" s="711">
        <v>2885</v>
      </c>
      <c r="O10" s="711">
        <v>41063</v>
      </c>
      <c r="P10" s="711">
        <v>0</v>
      </c>
      <c r="Q10" s="711">
        <v>1205</v>
      </c>
      <c r="R10" s="711">
        <v>0</v>
      </c>
      <c r="S10" s="711">
        <v>3588</v>
      </c>
      <c r="T10" s="711">
        <v>0</v>
      </c>
      <c r="U10" s="711">
        <v>19782</v>
      </c>
      <c r="V10" s="711">
        <v>6525</v>
      </c>
      <c r="W10" s="711">
        <v>8176</v>
      </c>
      <c r="X10" s="711">
        <v>2585</v>
      </c>
      <c r="Y10" s="712">
        <f t="shared" ref="Y10:Z14" si="0">SUM(E10,G10,I10,K10,M10,O10,Q10,S10,U10,W10)</f>
        <v>1005230</v>
      </c>
      <c r="Z10" s="712">
        <f t="shared" si="0"/>
        <v>47528</v>
      </c>
    </row>
    <row r="11" spans="1:26">
      <c r="A11" s="738">
        <v>2</v>
      </c>
      <c r="B11" s="1791"/>
      <c r="C11" s="1794" t="s">
        <v>9</v>
      </c>
      <c r="D11" s="1795"/>
      <c r="E11" s="710">
        <v>21466</v>
      </c>
      <c r="F11" s="710">
        <v>1373</v>
      </c>
      <c r="G11" s="710">
        <v>81278</v>
      </c>
      <c r="H11" s="710">
        <v>4019</v>
      </c>
      <c r="I11" s="711">
        <v>76056</v>
      </c>
      <c r="J11" s="711">
        <v>17596</v>
      </c>
      <c r="K11" s="711">
        <v>23219</v>
      </c>
      <c r="L11" s="711">
        <v>540</v>
      </c>
      <c r="M11" s="711">
        <v>6504</v>
      </c>
      <c r="N11" s="711">
        <v>327</v>
      </c>
      <c r="O11" s="711">
        <v>21052</v>
      </c>
      <c r="P11" s="711">
        <v>322</v>
      </c>
      <c r="Q11" s="711">
        <v>1300</v>
      </c>
      <c r="R11" s="711">
        <v>0</v>
      </c>
      <c r="S11" s="711">
        <v>41</v>
      </c>
      <c r="T11" s="711">
        <v>0</v>
      </c>
      <c r="U11" s="711">
        <v>35631</v>
      </c>
      <c r="V11" s="711">
        <v>5244</v>
      </c>
      <c r="W11" s="711">
        <v>2112</v>
      </c>
      <c r="X11" s="711">
        <v>26</v>
      </c>
      <c r="Y11" s="712">
        <f t="shared" si="0"/>
        <v>268659</v>
      </c>
      <c r="Z11" s="712">
        <f t="shared" si="0"/>
        <v>29447</v>
      </c>
    </row>
    <row r="12" spans="1:26">
      <c r="A12" s="739">
        <v>3</v>
      </c>
      <c r="B12" s="1791"/>
      <c r="C12" s="1796" t="s">
        <v>2</v>
      </c>
      <c r="D12" s="1797"/>
      <c r="E12" s="710">
        <v>395357</v>
      </c>
      <c r="F12" s="710">
        <v>17110</v>
      </c>
      <c r="G12" s="710">
        <v>33974</v>
      </c>
      <c r="H12" s="710">
        <v>5234</v>
      </c>
      <c r="I12" s="711">
        <v>19596</v>
      </c>
      <c r="J12" s="711">
        <v>5904</v>
      </c>
      <c r="K12" s="711">
        <v>5787</v>
      </c>
      <c r="L12" s="711">
        <v>2815</v>
      </c>
      <c r="M12" s="711">
        <v>11593</v>
      </c>
      <c r="N12" s="711">
        <v>127</v>
      </c>
      <c r="O12" s="711">
        <v>10698</v>
      </c>
      <c r="P12" s="711">
        <v>0</v>
      </c>
      <c r="Q12" s="711">
        <v>502</v>
      </c>
      <c r="R12" s="711">
        <v>0</v>
      </c>
      <c r="S12" s="711">
        <v>2025</v>
      </c>
      <c r="T12" s="711">
        <v>0</v>
      </c>
      <c r="U12" s="711">
        <v>55959</v>
      </c>
      <c r="V12" s="711">
        <v>13367</v>
      </c>
      <c r="W12" s="711">
        <v>21651</v>
      </c>
      <c r="X12" s="711">
        <v>428</v>
      </c>
      <c r="Y12" s="712">
        <f t="shared" si="0"/>
        <v>557142</v>
      </c>
      <c r="Z12" s="712">
        <f t="shared" si="0"/>
        <v>44985</v>
      </c>
    </row>
    <row r="13" spans="1:26">
      <c r="A13" s="739">
        <v>4</v>
      </c>
      <c r="B13" s="1770" t="s">
        <v>8</v>
      </c>
      <c r="C13" s="1771"/>
      <c r="D13" s="1772"/>
      <c r="E13" s="710">
        <v>12521</v>
      </c>
      <c r="F13" s="710">
        <v>210</v>
      </c>
      <c r="G13" s="710">
        <v>0</v>
      </c>
      <c r="H13" s="710">
        <v>0</v>
      </c>
      <c r="I13" s="711">
        <v>0</v>
      </c>
      <c r="J13" s="711">
        <v>0</v>
      </c>
      <c r="K13" s="711">
        <v>0</v>
      </c>
      <c r="L13" s="711">
        <v>0</v>
      </c>
      <c r="M13" s="711">
        <v>0</v>
      </c>
      <c r="N13" s="711">
        <v>0</v>
      </c>
      <c r="O13" s="711">
        <v>0</v>
      </c>
      <c r="P13" s="711">
        <v>0</v>
      </c>
      <c r="Q13" s="711">
        <v>0</v>
      </c>
      <c r="R13" s="711">
        <v>0</v>
      </c>
      <c r="S13" s="711">
        <v>0</v>
      </c>
      <c r="T13" s="711">
        <v>0</v>
      </c>
      <c r="U13" s="711">
        <v>71192</v>
      </c>
      <c r="V13" s="711">
        <v>2359</v>
      </c>
      <c r="W13" s="711">
        <v>345</v>
      </c>
      <c r="X13" s="711"/>
      <c r="Y13" s="712">
        <f t="shared" si="0"/>
        <v>84058</v>
      </c>
      <c r="Z13" s="712">
        <f t="shared" si="0"/>
        <v>2569</v>
      </c>
    </row>
    <row r="14" spans="1:26" ht="15.75" thickBot="1">
      <c r="A14" s="740">
        <v>5</v>
      </c>
      <c r="B14" s="1809" t="s">
        <v>25</v>
      </c>
      <c r="C14" s="1810"/>
      <c r="D14" s="1811"/>
      <c r="E14" s="710">
        <v>0</v>
      </c>
      <c r="F14" s="710">
        <v>0</v>
      </c>
      <c r="G14" s="710">
        <v>0</v>
      </c>
      <c r="H14" s="710">
        <v>0</v>
      </c>
      <c r="I14" s="711">
        <v>0</v>
      </c>
      <c r="J14" s="711">
        <v>0</v>
      </c>
      <c r="K14" s="711">
        <v>0</v>
      </c>
      <c r="L14" s="711">
        <v>0</v>
      </c>
      <c r="M14" s="711">
        <v>0</v>
      </c>
      <c r="N14" s="711">
        <v>0</v>
      </c>
      <c r="O14" s="711">
        <v>0</v>
      </c>
      <c r="P14" s="711">
        <v>0</v>
      </c>
      <c r="Q14" s="711">
        <v>0</v>
      </c>
      <c r="R14" s="711">
        <v>0</v>
      </c>
      <c r="S14" s="711">
        <v>0</v>
      </c>
      <c r="T14" s="711">
        <v>0</v>
      </c>
      <c r="U14" s="711">
        <v>0</v>
      </c>
      <c r="V14" s="711">
        <v>0</v>
      </c>
      <c r="W14" s="711">
        <v>0</v>
      </c>
      <c r="X14" s="711">
        <v>0</v>
      </c>
      <c r="Y14" s="712">
        <f t="shared" si="0"/>
        <v>0</v>
      </c>
      <c r="Z14" s="712">
        <f t="shared" si="0"/>
        <v>0</v>
      </c>
    </row>
    <row r="15" spans="1:26" ht="15.75" thickBot="1">
      <c r="A15" s="741">
        <v>6</v>
      </c>
      <c r="B15" s="1781" t="s">
        <v>17</v>
      </c>
      <c r="C15" s="1782"/>
      <c r="D15" s="1783"/>
      <c r="E15" s="713">
        <f>SUM(E10:E14)</f>
        <v>853913</v>
      </c>
      <c r="F15" s="713">
        <f t="shared" ref="F15:X15" si="1">SUM(F10:F14)</f>
        <v>51178</v>
      </c>
      <c r="G15" s="713">
        <f t="shared" si="1"/>
        <v>391952</v>
      </c>
      <c r="H15" s="713">
        <f t="shared" si="1"/>
        <v>9685</v>
      </c>
      <c r="I15" s="714">
        <f t="shared" si="1"/>
        <v>267404</v>
      </c>
      <c r="J15" s="714">
        <f t="shared" si="1"/>
        <v>23500</v>
      </c>
      <c r="K15" s="714">
        <f t="shared" si="1"/>
        <v>76946</v>
      </c>
      <c r="L15" s="714">
        <f t="shared" si="1"/>
        <v>5971</v>
      </c>
      <c r="M15" s="714">
        <f t="shared" si="1"/>
        <v>28552</v>
      </c>
      <c r="N15" s="714">
        <f t="shared" si="1"/>
        <v>3339</v>
      </c>
      <c r="O15" s="714">
        <f t="shared" si="1"/>
        <v>72813</v>
      </c>
      <c r="P15" s="714">
        <f t="shared" si="1"/>
        <v>322</v>
      </c>
      <c r="Q15" s="714">
        <f t="shared" si="1"/>
        <v>3007</v>
      </c>
      <c r="R15" s="714">
        <f t="shared" si="1"/>
        <v>0</v>
      </c>
      <c r="S15" s="714">
        <f t="shared" si="1"/>
        <v>5654</v>
      </c>
      <c r="T15" s="714">
        <f t="shared" si="1"/>
        <v>0</v>
      </c>
      <c r="U15" s="714">
        <f t="shared" si="1"/>
        <v>182564</v>
      </c>
      <c r="V15" s="714">
        <f t="shared" si="1"/>
        <v>27495</v>
      </c>
      <c r="W15" s="714">
        <f t="shared" si="1"/>
        <v>32284</v>
      </c>
      <c r="X15" s="714">
        <f t="shared" si="1"/>
        <v>3039</v>
      </c>
      <c r="Y15" s="715">
        <f>SUM(Y10:Y14)</f>
        <v>1915089</v>
      </c>
      <c r="Z15" s="715">
        <f>SUM(Z10:Z14)</f>
        <v>124529</v>
      </c>
    </row>
    <row r="16" spans="1:26">
      <c r="A16" s="495"/>
      <c r="B16" s="495"/>
      <c r="C16" s="495"/>
      <c r="D16" s="495"/>
      <c r="E16" s="495"/>
      <c r="F16" s="495"/>
      <c r="G16" s="495"/>
      <c r="H16" s="495"/>
      <c r="I16" s="495"/>
      <c r="J16" s="495"/>
      <c r="K16" s="742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</row>
    <row r="17" spans="1:26">
      <c r="A17" s="727" t="s">
        <v>121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495"/>
      <c r="P17" s="495"/>
      <c r="Q17" s="743"/>
      <c r="R17" s="743"/>
      <c r="S17" s="743"/>
      <c r="T17" s="743"/>
      <c r="U17" s="743"/>
      <c r="V17" s="725"/>
      <c r="W17" s="725"/>
      <c r="X17" s="725"/>
      <c r="Y17" s="726"/>
      <c r="Z17" s="726"/>
    </row>
    <row r="18" spans="1:26" ht="15.75" thickBot="1">
      <c r="A18" s="727"/>
      <c r="B18" s="743"/>
      <c r="C18" s="743"/>
      <c r="D18" s="743"/>
      <c r="E18" s="743"/>
      <c r="F18" s="743"/>
      <c r="G18" s="743"/>
      <c r="H18" s="743"/>
      <c r="I18" s="743"/>
      <c r="J18" s="743"/>
      <c r="K18" s="743"/>
      <c r="L18" s="743"/>
      <c r="M18" s="744" t="s">
        <v>4</v>
      </c>
      <c r="N18" s="495"/>
      <c r="O18" s="495"/>
      <c r="P18" s="495"/>
      <c r="Q18" s="495"/>
      <c r="R18" s="495"/>
      <c r="S18" s="495"/>
      <c r="T18" s="495"/>
      <c r="U18" s="495"/>
      <c r="V18" s="495"/>
      <c r="W18" s="725"/>
      <c r="X18" s="725"/>
      <c r="Y18" s="726"/>
      <c r="Z18" s="726"/>
    </row>
    <row r="19" spans="1:26">
      <c r="A19" s="1784" t="s">
        <v>1</v>
      </c>
      <c r="B19" s="1787" t="s">
        <v>7</v>
      </c>
      <c r="C19" s="1787"/>
      <c r="D19" s="1787"/>
      <c r="E19" s="1396" t="s">
        <v>32</v>
      </c>
      <c r="F19" s="1397"/>
      <c r="G19" s="1398"/>
      <c r="H19" s="1402" t="s">
        <v>34</v>
      </c>
      <c r="I19" s="1403"/>
      <c r="J19" s="1404"/>
      <c r="K19" s="1397" t="s">
        <v>17</v>
      </c>
      <c r="L19" s="1397"/>
      <c r="M19" s="1398"/>
      <c r="N19" s="495"/>
      <c r="O19" s="495"/>
      <c r="P19" s="495"/>
      <c r="Q19" s="495"/>
      <c r="R19" s="495"/>
      <c r="S19" s="495"/>
      <c r="T19" s="495"/>
      <c r="U19" s="495"/>
      <c r="V19" s="495"/>
      <c r="W19" s="725"/>
      <c r="X19" s="725"/>
      <c r="Y19" s="726"/>
      <c r="Z19" s="726"/>
    </row>
    <row r="20" spans="1:26" ht="25.5">
      <c r="A20" s="1785"/>
      <c r="B20" s="1788"/>
      <c r="C20" s="1788"/>
      <c r="D20" s="1788"/>
      <c r="E20" s="745" t="s">
        <v>75</v>
      </c>
      <c r="F20" s="746" t="s">
        <v>33</v>
      </c>
      <c r="G20" s="747" t="s">
        <v>23</v>
      </c>
      <c r="H20" s="745" t="s">
        <v>22</v>
      </c>
      <c r="I20" s="746" t="s">
        <v>33</v>
      </c>
      <c r="J20" s="747" t="s">
        <v>23</v>
      </c>
      <c r="K20" s="748" t="s">
        <v>22</v>
      </c>
      <c r="L20" s="749" t="s">
        <v>33</v>
      </c>
      <c r="M20" s="747" t="s">
        <v>23</v>
      </c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</row>
    <row r="21" spans="1:26" ht="26.25" thickBot="1">
      <c r="A21" s="1786"/>
      <c r="B21" s="1789"/>
      <c r="C21" s="1789"/>
      <c r="D21" s="1789"/>
      <c r="E21" s="729">
        <v>1</v>
      </c>
      <c r="F21" s="731">
        <v>2</v>
      </c>
      <c r="G21" s="732" t="s">
        <v>47</v>
      </c>
      <c r="H21" s="729">
        <v>4</v>
      </c>
      <c r="I21" s="731">
        <v>5</v>
      </c>
      <c r="J21" s="732" t="s">
        <v>48</v>
      </c>
      <c r="K21" s="730">
        <v>7</v>
      </c>
      <c r="L21" s="750">
        <v>8</v>
      </c>
      <c r="M21" s="732" t="s">
        <v>49</v>
      </c>
      <c r="N21" s="751"/>
      <c r="O21" s="495"/>
      <c r="P21" s="495"/>
      <c r="Q21" s="495"/>
      <c r="R21" s="495"/>
      <c r="S21" s="495"/>
      <c r="T21" s="495"/>
      <c r="U21" s="751"/>
      <c r="V21" s="751"/>
      <c r="W21" s="751"/>
      <c r="X21" s="751"/>
      <c r="Y21" s="751"/>
      <c r="Z21" s="751"/>
    </row>
    <row r="22" spans="1:26">
      <c r="A22" s="752">
        <v>1</v>
      </c>
      <c r="B22" s="1800" t="s">
        <v>26</v>
      </c>
      <c r="C22" s="1802" t="s">
        <v>76</v>
      </c>
      <c r="D22" s="753" t="s">
        <v>11</v>
      </c>
      <c r="E22" s="68">
        <v>143.72</v>
      </c>
      <c r="F22" s="69">
        <v>152464.47899999999</v>
      </c>
      <c r="G22" s="70">
        <f>F22*1000/12/E22</f>
        <v>88403.654675758415</v>
      </c>
      <c r="H22" s="68">
        <v>53</v>
      </c>
      <c r="I22" s="69">
        <f t="shared" ref="I22:I27" si="2">L22-F22</f>
        <v>57274.22100000002</v>
      </c>
      <c r="J22" s="70">
        <f>I22*1000/12/H22</f>
        <v>90053.806603773613</v>
      </c>
      <c r="K22" s="68">
        <v>197.16499999999999</v>
      </c>
      <c r="L22" s="69">
        <v>209738.7</v>
      </c>
      <c r="M22" s="70">
        <f>L22*1000/12/K22</f>
        <v>88647.706235893798</v>
      </c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</row>
    <row r="23" spans="1:26">
      <c r="A23" s="754">
        <v>2</v>
      </c>
      <c r="B23" s="1801"/>
      <c r="C23" s="1802"/>
      <c r="D23" s="755" t="s">
        <v>12</v>
      </c>
      <c r="E23" s="72">
        <v>248.77699999999999</v>
      </c>
      <c r="F23" s="67">
        <v>184629.489</v>
      </c>
      <c r="G23" s="70">
        <f t="shared" ref="G23:G31" si="3">F23*1000/12/E23</f>
        <v>61845.71222420079</v>
      </c>
      <c r="H23" s="68">
        <v>83</v>
      </c>
      <c r="I23" s="69">
        <f t="shared" si="2"/>
        <v>69004.340999999986</v>
      </c>
      <c r="J23" s="70">
        <f t="shared" ref="J23:J30" si="4">I23*1000/12/H23</f>
        <v>69281.466867469862</v>
      </c>
      <c r="K23" s="72">
        <v>332.11399999999998</v>
      </c>
      <c r="L23" s="67">
        <v>253633.83</v>
      </c>
      <c r="M23" s="70">
        <f t="shared" ref="M23:M31" si="5">L23*1000/12/K23</f>
        <v>63641.257218906765</v>
      </c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</row>
    <row r="24" spans="1:26">
      <c r="A24" s="754">
        <v>3</v>
      </c>
      <c r="B24" s="1801"/>
      <c r="C24" s="1802"/>
      <c r="D24" s="755" t="s">
        <v>13</v>
      </c>
      <c r="E24" s="72">
        <v>681.69899999999996</v>
      </c>
      <c r="F24" s="67">
        <v>336737</v>
      </c>
      <c r="G24" s="70">
        <f t="shared" si="3"/>
        <v>41163.939901139165</v>
      </c>
      <c r="H24" s="68">
        <v>216</v>
      </c>
      <c r="I24" s="69">
        <f t="shared" si="2"/>
        <v>160524</v>
      </c>
      <c r="J24" s="70">
        <f t="shared" si="4"/>
        <v>61930.555555555555</v>
      </c>
      <c r="K24" s="72">
        <v>898.005</v>
      </c>
      <c r="L24" s="67">
        <v>497261</v>
      </c>
      <c r="M24" s="70">
        <f t="shared" si="5"/>
        <v>46144.973209132091</v>
      </c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</row>
    <row r="25" spans="1:26">
      <c r="A25" s="754">
        <v>4</v>
      </c>
      <c r="B25" s="1801"/>
      <c r="C25" s="1802"/>
      <c r="D25" s="755" t="s">
        <v>14</v>
      </c>
      <c r="E25" s="72">
        <v>48.645000000000003</v>
      </c>
      <c r="F25" s="67">
        <v>19037</v>
      </c>
      <c r="G25" s="70">
        <f t="shared" si="3"/>
        <v>32612.121835063554</v>
      </c>
      <c r="H25" s="68">
        <v>25</v>
      </c>
      <c r="I25" s="69">
        <f t="shared" si="2"/>
        <v>12485.240000000002</v>
      </c>
      <c r="J25" s="70">
        <f t="shared" si="4"/>
        <v>41617.466666666674</v>
      </c>
      <c r="K25" s="72">
        <v>73.406000000000006</v>
      </c>
      <c r="L25" s="67">
        <v>31522.240000000002</v>
      </c>
      <c r="M25" s="70">
        <f t="shared" si="5"/>
        <v>35785.267326013316</v>
      </c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</row>
    <row r="26" spans="1:26">
      <c r="A26" s="754">
        <v>5</v>
      </c>
      <c r="B26" s="1801"/>
      <c r="C26" s="1802"/>
      <c r="D26" s="755" t="s">
        <v>15</v>
      </c>
      <c r="E26" s="72">
        <v>12.065</v>
      </c>
      <c r="F26" s="67">
        <v>5000.3648000000003</v>
      </c>
      <c r="G26" s="70">
        <f t="shared" si="3"/>
        <v>34537.676474651198</v>
      </c>
      <c r="H26" s="68">
        <v>1</v>
      </c>
      <c r="I26" s="69">
        <f t="shared" si="2"/>
        <v>286.83320000000003</v>
      </c>
      <c r="J26" s="70">
        <f t="shared" si="4"/>
        <v>23902.766666666666</v>
      </c>
      <c r="K26" s="72">
        <v>12.653</v>
      </c>
      <c r="L26" s="67">
        <v>5287.1980000000003</v>
      </c>
      <c r="M26" s="70">
        <f t="shared" si="5"/>
        <v>34821.768223609681</v>
      </c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</row>
    <row r="27" spans="1:26">
      <c r="A27" s="754"/>
      <c r="B27" s="1801"/>
      <c r="C27" s="1802"/>
      <c r="D27" s="755" t="s">
        <v>151</v>
      </c>
      <c r="E27" s="72">
        <v>5.6929999999999996</v>
      </c>
      <c r="F27" s="67">
        <v>3400.18</v>
      </c>
      <c r="G27" s="70">
        <f t="shared" si="3"/>
        <v>49771.356636805431</v>
      </c>
      <c r="H27" s="68">
        <v>7</v>
      </c>
      <c r="I27" s="69">
        <f t="shared" si="2"/>
        <v>4387.0709999999999</v>
      </c>
      <c r="J27" s="70">
        <f t="shared" si="4"/>
        <v>52227.035714285717</v>
      </c>
      <c r="K27" s="72">
        <v>12.493</v>
      </c>
      <c r="L27" s="67">
        <v>7787.2510000000002</v>
      </c>
      <c r="M27" s="70">
        <f t="shared" si="5"/>
        <v>51944.095360068306</v>
      </c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</row>
    <row r="28" spans="1:26">
      <c r="A28" s="754">
        <v>6</v>
      </c>
      <c r="B28" s="1801"/>
      <c r="C28" s="1803"/>
      <c r="D28" s="755" t="s">
        <v>17</v>
      </c>
      <c r="E28" s="72">
        <f>SUM(E22:E27)</f>
        <v>1140.5989999999999</v>
      </c>
      <c r="F28" s="67">
        <f>SUM(F22:F27)</f>
        <v>701268.51280000003</v>
      </c>
      <c r="G28" s="70">
        <f>F28*1000/12/E28</f>
        <v>51235.397131974816</v>
      </c>
      <c r="H28" s="68">
        <f>SUM(H22:H27)</f>
        <v>385</v>
      </c>
      <c r="I28" s="69">
        <f>SUM(I22:I27)</f>
        <v>303961.70620000002</v>
      </c>
      <c r="J28" s="70">
        <f t="shared" si="4"/>
        <v>65792.577099567105</v>
      </c>
      <c r="K28" s="72">
        <f>SUM(K22:K27)</f>
        <v>1525.836</v>
      </c>
      <c r="L28" s="67">
        <f>SUM(L22:L27)</f>
        <v>1005230.219</v>
      </c>
      <c r="M28" s="70">
        <f t="shared" si="5"/>
        <v>54900.516776813936</v>
      </c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</row>
    <row r="29" spans="1:26">
      <c r="A29" s="754">
        <v>7</v>
      </c>
      <c r="B29" s="1801"/>
      <c r="C29" s="1804" t="s">
        <v>77</v>
      </c>
      <c r="D29" s="1805"/>
      <c r="E29" s="72">
        <v>172.55699999999999</v>
      </c>
      <c r="F29" s="67">
        <v>102744.56</v>
      </c>
      <c r="G29" s="70">
        <f t="shared" si="3"/>
        <v>49618.657409822066</v>
      </c>
      <c r="H29" s="68">
        <v>296</v>
      </c>
      <c r="I29" s="69">
        <f>L29-F29</f>
        <v>165914.32</v>
      </c>
      <c r="J29" s="70">
        <f t="shared" si="4"/>
        <v>46710.112612612618</v>
      </c>
      <c r="K29" s="72">
        <v>469.084</v>
      </c>
      <c r="L29" s="67">
        <v>268658.88</v>
      </c>
      <c r="M29" s="70">
        <f t="shared" si="5"/>
        <v>47727.571181280968</v>
      </c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</row>
    <row r="30" spans="1:26">
      <c r="A30" s="754">
        <v>8</v>
      </c>
      <c r="B30" s="1790"/>
      <c r="C30" s="1806" t="s">
        <v>78</v>
      </c>
      <c r="D30" s="1807"/>
      <c r="E30" s="72">
        <v>1051</v>
      </c>
      <c r="F30" s="67">
        <v>429330</v>
      </c>
      <c r="G30" s="70">
        <f t="shared" si="3"/>
        <v>34041.38915318744</v>
      </c>
      <c r="H30" s="68">
        <v>274</v>
      </c>
      <c r="I30" s="69">
        <f>L30-F30</f>
        <v>127812</v>
      </c>
      <c r="J30" s="70">
        <f t="shared" si="4"/>
        <v>38872.262773722628</v>
      </c>
      <c r="K30" s="72">
        <v>1325</v>
      </c>
      <c r="L30" s="67">
        <v>557142</v>
      </c>
      <c r="M30" s="70">
        <f t="shared" si="5"/>
        <v>35040.377358490565</v>
      </c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</row>
    <row r="31" spans="1:26">
      <c r="A31" s="754">
        <v>9</v>
      </c>
      <c r="B31" s="1808" t="s">
        <v>8</v>
      </c>
      <c r="C31" s="1808"/>
      <c r="D31" s="1808"/>
      <c r="E31" s="72">
        <v>67</v>
      </c>
      <c r="F31" s="67">
        <v>12521.24</v>
      </c>
      <c r="G31" s="70">
        <f t="shared" si="3"/>
        <v>15573.6815920398</v>
      </c>
      <c r="H31" s="68">
        <v>194</v>
      </c>
      <c r="I31" s="69">
        <f>L31-F31</f>
        <v>71536.759999999995</v>
      </c>
      <c r="J31" s="70">
        <f>I31*1000/12/H31</f>
        <v>30728.848797250859</v>
      </c>
      <c r="K31" s="75">
        <v>261</v>
      </c>
      <c r="L31" s="67">
        <v>84058</v>
      </c>
      <c r="M31" s="70">
        <f t="shared" si="5"/>
        <v>26838.441890166028</v>
      </c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</row>
    <row r="32" spans="1:26" ht="15.75" thickBot="1">
      <c r="A32" s="756">
        <v>10</v>
      </c>
      <c r="B32" s="1798" t="s">
        <v>25</v>
      </c>
      <c r="C32" s="1798"/>
      <c r="D32" s="1798"/>
      <c r="E32" s="104">
        <v>0</v>
      </c>
      <c r="F32" s="105">
        <v>0</v>
      </c>
      <c r="G32" s="716">
        <v>0</v>
      </c>
      <c r="H32" s="717">
        <v>0</v>
      </c>
      <c r="I32" s="718">
        <v>0</v>
      </c>
      <c r="J32" s="716">
        <v>0</v>
      </c>
      <c r="K32" s="719">
        <v>0</v>
      </c>
      <c r="L32" s="105">
        <v>0</v>
      </c>
      <c r="M32" s="716">
        <v>0</v>
      </c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</row>
    <row r="33" spans="1:26" ht="15.75" thickBot="1">
      <c r="A33" s="757">
        <v>11</v>
      </c>
      <c r="B33" s="1799" t="s">
        <v>17</v>
      </c>
      <c r="C33" s="1799"/>
      <c r="D33" s="1799"/>
      <c r="E33" s="118">
        <f>E28+E29+E30+E31+E32</f>
        <v>2431.1559999999999</v>
      </c>
      <c r="F33" s="119">
        <f>F28+F29+F30+F31+F32</f>
        <v>1245864.3128</v>
      </c>
      <c r="G33" s="120">
        <f>F33*1000/E33/12</f>
        <v>42704.798074112339</v>
      </c>
      <c r="H33" s="118">
        <f>K33-E33</f>
        <v>1149.7640000000001</v>
      </c>
      <c r="I33" s="119">
        <f>L33-F33</f>
        <v>669224.78619999997</v>
      </c>
      <c r="J33" s="120">
        <f>I33*1000/H33/12</f>
        <v>48504.503692351929</v>
      </c>
      <c r="K33" s="720">
        <f>SUM(K28:K32)</f>
        <v>3580.92</v>
      </c>
      <c r="L33" s="119">
        <f>SUM(L28:L32)</f>
        <v>1915089.0989999999</v>
      </c>
      <c r="M33" s="120">
        <f>L33*1000/K33/12</f>
        <v>44566.971127531469</v>
      </c>
      <c r="N33" s="495"/>
      <c r="O33" s="495"/>
      <c r="P33" s="495"/>
      <c r="Q33" s="495"/>
      <c r="R33" s="495"/>
      <c r="S33" s="495"/>
      <c r="T33" s="495"/>
      <c r="U33" s="495"/>
      <c r="V33" s="495"/>
      <c r="W33" s="758"/>
      <c r="X33" s="758"/>
      <c r="Y33" s="758"/>
      <c r="Z33" s="758"/>
    </row>
  </sheetData>
  <mergeCells count="36">
    <mergeCell ref="B32:D32"/>
    <mergeCell ref="B33:D33"/>
    <mergeCell ref="O8:P8"/>
    <mergeCell ref="K19:M19"/>
    <mergeCell ref="B22:B30"/>
    <mergeCell ref="C22:C28"/>
    <mergeCell ref="C29:D29"/>
    <mergeCell ref="C30:D30"/>
    <mergeCell ref="B31:D31"/>
    <mergeCell ref="B14:D14"/>
    <mergeCell ref="B15:D15"/>
    <mergeCell ref="A19:A21"/>
    <mergeCell ref="B19:D21"/>
    <mergeCell ref="E19:G19"/>
    <mergeCell ref="H19:J19"/>
    <mergeCell ref="Q8:R8"/>
    <mergeCell ref="B10:B12"/>
    <mergeCell ref="C10:D10"/>
    <mergeCell ref="C11:D11"/>
    <mergeCell ref="C12:D12"/>
    <mergeCell ref="B13:D13"/>
    <mergeCell ref="E8:F8"/>
    <mergeCell ref="G8:H8"/>
    <mergeCell ref="I8:J8"/>
    <mergeCell ref="K8:L8"/>
    <mergeCell ref="M8:N8"/>
    <mergeCell ref="A5:A9"/>
    <mergeCell ref="B5:D9"/>
    <mergeCell ref="E5:Z5"/>
    <mergeCell ref="E7:H7"/>
    <mergeCell ref="I7:L7"/>
    <mergeCell ref="M7:R7"/>
    <mergeCell ref="S7:T8"/>
    <mergeCell ref="U7:V8"/>
    <mergeCell ref="W7:X8"/>
    <mergeCell ref="Y7:Z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4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10.85546875" bestFit="1" customWidth="1"/>
    <col min="6" max="6" width="12.28515625" bestFit="1" customWidth="1"/>
    <col min="7" max="7" width="10.85546875" bestFit="1" customWidth="1"/>
    <col min="8" max="8" width="9.7109375" customWidth="1"/>
    <col min="9" max="9" width="12.28515625" bestFit="1" customWidth="1"/>
    <col min="10" max="10" width="10.42578125" customWidth="1"/>
    <col min="11" max="11" width="10.28515625" bestFit="1" customWidth="1"/>
    <col min="12" max="12" width="12.28515625" bestFit="1" customWidth="1"/>
    <col min="13" max="13" width="10" customWidth="1"/>
    <col min="14" max="14" width="8.85546875" customWidth="1"/>
    <col min="15" max="15" width="8.85546875" bestFit="1" customWidth="1"/>
    <col min="16" max="16" width="9.5703125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9.85546875" bestFit="1" customWidth="1"/>
    <col min="22" max="22" width="10.42578125" bestFit="1" customWidth="1"/>
    <col min="23" max="24" width="9.28515625" bestFit="1" customWidth="1"/>
    <col min="25" max="25" width="11" bestFit="1" customWidth="1"/>
    <col min="26" max="26" width="9.85546875" bestFit="1" customWidth="1"/>
  </cols>
  <sheetData>
    <row r="1" spans="1:26" ht="15.75">
      <c r="A1" s="1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3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152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 s="28" customFormat="1" ht="15.75" thickBot="1">
      <c r="A6" s="1444"/>
      <c r="B6" s="1434"/>
      <c r="C6" s="1435"/>
      <c r="D6" s="1436"/>
      <c r="E6" s="1377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78"/>
      <c r="Z6" s="130"/>
    </row>
    <row r="7" spans="1:26">
      <c r="A7" s="1444"/>
      <c r="B7" s="1434"/>
      <c r="C7" s="1435"/>
      <c r="D7" s="1436"/>
      <c r="E7" s="1440" t="s">
        <v>24</v>
      </c>
      <c r="F7" s="1441"/>
      <c r="G7" s="1441"/>
      <c r="H7" s="1442"/>
      <c r="I7" s="1440" t="s">
        <v>28</v>
      </c>
      <c r="J7" s="1441"/>
      <c r="K7" s="1441"/>
      <c r="L7" s="1442"/>
      <c r="M7" s="1440" t="s">
        <v>20</v>
      </c>
      <c r="N7" s="1441"/>
      <c r="O7" s="1441"/>
      <c r="P7" s="1441"/>
      <c r="Q7" s="1441"/>
      <c r="R7" s="1442"/>
      <c r="S7" s="1424" t="s">
        <v>18</v>
      </c>
      <c r="T7" s="1425"/>
      <c r="U7" s="1424" t="s">
        <v>5</v>
      </c>
      <c r="V7" s="1425"/>
      <c r="W7" s="1424" t="s">
        <v>21</v>
      </c>
      <c r="X7" s="1425"/>
      <c r="Y7" s="1455" t="s">
        <v>17</v>
      </c>
      <c r="Z7" s="1456"/>
    </row>
    <row r="8" spans="1:26">
      <c r="A8" s="1444"/>
      <c r="B8" s="1434"/>
      <c r="C8" s="1435"/>
      <c r="D8" s="1436"/>
      <c r="E8" s="1419" t="s">
        <v>19</v>
      </c>
      <c r="F8" s="1420"/>
      <c r="G8" s="1416" t="s">
        <v>27</v>
      </c>
      <c r="H8" s="1417"/>
      <c r="I8" s="1419" t="s">
        <v>73</v>
      </c>
      <c r="J8" s="1420"/>
      <c r="K8" s="1416" t="s">
        <v>29</v>
      </c>
      <c r="L8" s="1417"/>
      <c r="M8" s="1419" t="s">
        <v>153</v>
      </c>
      <c r="N8" s="1420"/>
      <c r="O8" s="1416" t="s">
        <v>154</v>
      </c>
      <c r="P8" s="1420"/>
      <c r="Q8" s="1416" t="s">
        <v>31</v>
      </c>
      <c r="R8" s="1417"/>
      <c r="S8" s="1426"/>
      <c r="T8" s="1427"/>
      <c r="U8" s="1426"/>
      <c r="V8" s="1427"/>
      <c r="W8" s="1426"/>
      <c r="X8" s="1427"/>
      <c r="Y8" s="1457"/>
      <c r="Z8" s="1458"/>
    </row>
    <row r="9" spans="1:26" ht="15.75" thickBot="1">
      <c r="A9" s="1445"/>
      <c r="B9" s="1437"/>
      <c r="C9" s="1438"/>
      <c r="D9" s="1439"/>
      <c r="E9" s="15" t="s">
        <v>6</v>
      </c>
      <c r="F9" s="47" t="s">
        <v>38</v>
      </c>
      <c r="G9" s="42" t="s">
        <v>6</v>
      </c>
      <c r="H9" s="44" t="s">
        <v>38</v>
      </c>
      <c r="I9" s="15" t="s">
        <v>6</v>
      </c>
      <c r="J9" s="42" t="s">
        <v>38</v>
      </c>
      <c r="K9" s="42" t="s">
        <v>6</v>
      </c>
      <c r="L9" s="44" t="s">
        <v>38</v>
      </c>
      <c r="M9" s="15" t="s">
        <v>6</v>
      </c>
      <c r="N9" s="42" t="s">
        <v>38</v>
      </c>
      <c r="O9" s="42" t="s">
        <v>6</v>
      </c>
      <c r="P9" s="42" t="s">
        <v>38</v>
      </c>
      <c r="Q9" s="42" t="s">
        <v>6</v>
      </c>
      <c r="R9" s="44" t="s">
        <v>38</v>
      </c>
      <c r="S9" s="15" t="s">
        <v>6</v>
      </c>
      <c r="T9" s="44" t="s">
        <v>38</v>
      </c>
      <c r="U9" s="15" t="s">
        <v>6</v>
      </c>
      <c r="V9" s="44" t="s">
        <v>38</v>
      </c>
      <c r="W9" s="15" t="s">
        <v>6</v>
      </c>
      <c r="X9" s="44" t="s">
        <v>38</v>
      </c>
      <c r="Y9" s="62" t="s">
        <v>80</v>
      </c>
      <c r="Z9" s="63" t="s">
        <v>38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759">
        <v>86643.29</v>
      </c>
      <c r="F10" s="1812">
        <v>9925.9809999999998</v>
      </c>
      <c r="G10" s="760">
        <v>136747.35500000001</v>
      </c>
      <c r="H10" s="1815">
        <v>1042.4659999999999</v>
      </c>
      <c r="I10" s="759">
        <v>48380.381999999998</v>
      </c>
      <c r="J10" s="1812">
        <v>9989.6610000000001</v>
      </c>
      <c r="K10" s="760">
        <v>5857.6139999999996</v>
      </c>
      <c r="L10" s="1815">
        <v>3599.5509999999999</v>
      </c>
      <c r="M10" s="759">
        <f>6571.248+215.98</f>
        <v>6787.2279999999992</v>
      </c>
      <c r="N10" s="1812">
        <f>940.848+916.2</f>
        <v>1857.048</v>
      </c>
      <c r="O10" s="760">
        <v>343.19</v>
      </c>
      <c r="P10" s="1812">
        <v>187.04</v>
      </c>
      <c r="Q10" s="760">
        <v>0</v>
      </c>
      <c r="R10" s="1815">
        <v>0</v>
      </c>
      <c r="S10" s="759">
        <v>0</v>
      </c>
      <c r="T10" s="1815">
        <v>0</v>
      </c>
      <c r="U10" s="759">
        <v>18217.938999999998</v>
      </c>
      <c r="V10" s="1815">
        <v>1911.4490000000001</v>
      </c>
      <c r="W10" s="759">
        <v>3163.9340000000002</v>
      </c>
      <c r="X10" s="1818">
        <v>1035.3979999999999</v>
      </c>
      <c r="Y10" s="761">
        <f>SUM(E10,G10,I10,K10,M10,O10,Q10,S10,U10,W10)</f>
        <v>306140.93200000003</v>
      </c>
      <c r="Z10" s="1821">
        <f>SUM(F10,H10,J10,L10,N10,P10,R10,T10,V10,X10)</f>
        <v>29548.594000000001</v>
      </c>
    </row>
    <row r="11" spans="1:26">
      <c r="A11" s="30">
        <v>2</v>
      </c>
      <c r="B11" s="1418"/>
      <c r="C11" s="1461" t="s">
        <v>9</v>
      </c>
      <c r="D11" s="1462"/>
      <c r="E11" s="762">
        <v>14237.811</v>
      </c>
      <c r="F11" s="1813"/>
      <c r="G11" s="763">
        <v>19206.896000000001</v>
      </c>
      <c r="H11" s="1816"/>
      <c r="I11" s="762">
        <v>39923.548000000003</v>
      </c>
      <c r="J11" s="1813"/>
      <c r="K11" s="763">
        <v>8848.2999999999993</v>
      </c>
      <c r="L11" s="1816"/>
      <c r="M11" s="762">
        <f>4727.589+132.767</f>
        <v>4860.3559999999998</v>
      </c>
      <c r="N11" s="1813"/>
      <c r="O11" s="763">
        <v>3706.0909999999999</v>
      </c>
      <c r="P11" s="1813"/>
      <c r="Q11" s="763">
        <v>0</v>
      </c>
      <c r="R11" s="1816"/>
      <c r="S11" s="762">
        <v>0</v>
      </c>
      <c r="T11" s="1816"/>
      <c r="U11" s="762">
        <v>6158.8879999999999</v>
      </c>
      <c r="V11" s="1816"/>
      <c r="W11" s="762">
        <v>3940.1289999999999</v>
      </c>
      <c r="X11" s="1819"/>
      <c r="Y11" s="761">
        <f t="shared" ref="Y11:Z15" si="0">SUM(E11,G11,I11,K11,M11,O11,Q11,S11,U11,W11)</f>
        <v>100882.01900000001</v>
      </c>
      <c r="Z11" s="1822"/>
    </row>
    <row r="12" spans="1:26">
      <c r="A12" s="33">
        <v>3</v>
      </c>
      <c r="B12" s="1418"/>
      <c r="C12" s="1405" t="s">
        <v>2</v>
      </c>
      <c r="D12" s="1406"/>
      <c r="E12" s="762">
        <f>106755.135-E13</f>
        <v>95562.86</v>
      </c>
      <c r="F12" s="1814"/>
      <c r="G12" s="763">
        <v>1600.182</v>
      </c>
      <c r="H12" s="1817"/>
      <c r="I12" s="762">
        <v>3461.607</v>
      </c>
      <c r="J12" s="1814"/>
      <c r="K12" s="763">
        <v>807.50900000000001</v>
      </c>
      <c r="L12" s="1817"/>
      <c r="M12" s="762">
        <f>8874.241+1225.994</f>
        <v>10100.235000000001</v>
      </c>
      <c r="N12" s="1814"/>
      <c r="O12" s="763">
        <v>595.93799999999999</v>
      </c>
      <c r="P12" s="1814"/>
      <c r="Q12" s="763">
        <v>0</v>
      </c>
      <c r="R12" s="1817"/>
      <c r="S12" s="762">
        <v>0</v>
      </c>
      <c r="T12" s="1817"/>
      <c r="U12" s="762">
        <v>6126.1890000000003</v>
      </c>
      <c r="V12" s="1817"/>
      <c r="W12" s="762">
        <v>1763.125</v>
      </c>
      <c r="X12" s="1820"/>
      <c r="Y12" s="761">
        <f t="shared" si="0"/>
        <v>120017.645</v>
      </c>
      <c r="Z12" s="1823"/>
    </row>
    <row r="13" spans="1:26">
      <c r="A13" s="33">
        <v>4</v>
      </c>
      <c r="B13" s="1463" t="s">
        <v>8</v>
      </c>
      <c r="C13" s="1464"/>
      <c r="D13" s="1465"/>
      <c r="E13" s="762">
        <v>11192.275</v>
      </c>
      <c r="F13" s="764">
        <v>381.48</v>
      </c>
      <c r="G13" s="763">
        <v>0</v>
      </c>
      <c r="H13" s="765">
        <v>0</v>
      </c>
      <c r="I13" s="762">
        <v>0</v>
      </c>
      <c r="J13" s="763">
        <v>0</v>
      </c>
      <c r="K13" s="763">
        <v>0</v>
      </c>
      <c r="L13" s="765">
        <v>0</v>
      </c>
      <c r="M13" s="762">
        <v>0</v>
      </c>
      <c r="N13" s="763">
        <v>0</v>
      </c>
      <c r="O13" s="763">
        <v>0</v>
      </c>
      <c r="P13" s="763">
        <v>0</v>
      </c>
      <c r="Q13" s="763">
        <v>0</v>
      </c>
      <c r="R13" s="765">
        <v>0</v>
      </c>
      <c r="S13" s="762">
        <v>0</v>
      </c>
      <c r="T13" s="765">
        <v>0</v>
      </c>
      <c r="U13" s="762">
        <v>0</v>
      </c>
      <c r="V13" s="765">
        <v>0</v>
      </c>
      <c r="W13" s="766">
        <v>0</v>
      </c>
      <c r="X13" s="767">
        <v>0</v>
      </c>
      <c r="Y13" s="761">
        <f t="shared" si="0"/>
        <v>11192.275</v>
      </c>
      <c r="Z13" s="768">
        <f t="shared" si="0"/>
        <v>381.48</v>
      </c>
    </row>
    <row r="14" spans="1:26" ht="15.75" thickBot="1">
      <c r="A14" s="36">
        <v>5</v>
      </c>
      <c r="B14" s="1421" t="s">
        <v>25</v>
      </c>
      <c r="C14" s="1422"/>
      <c r="D14" s="1423"/>
      <c r="E14" s="769">
        <v>0</v>
      </c>
      <c r="F14" s="770">
        <v>0</v>
      </c>
      <c r="G14" s="771">
        <v>0</v>
      </c>
      <c r="H14" s="772">
        <v>0</v>
      </c>
      <c r="I14" s="769">
        <v>0</v>
      </c>
      <c r="J14" s="771">
        <v>0</v>
      </c>
      <c r="K14" s="771">
        <v>0</v>
      </c>
      <c r="L14" s="772">
        <v>0</v>
      </c>
      <c r="M14" s="769">
        <v>0</v>
      </c>
      <c r="N14" s="771">
        <v>0</v>
      </c>
      <c r="O14" s="771">
        <v>0</v>
      </c>
      <c r="P14" s="771">
        <v>0</v>
      </c>
      <c r="Q14" s="771">
        <v>0</v>
      </c>
      <c r="R14" s="772">
        <v>0</v>
      </c>
      <c r="S14" s="773">
        <v>0</v>
      </c>
      <c r="T14" s="774">
        <v>0</v>
      </c>
      <c r="U14" s="773">
        <v>0</v>
      </c>
      <c r="V14" s="774">
        <v>0</v>
      </c>
      <c r="W14" s="775">
        <v>0</v>
      </c>
      <c r="X14" s="774">
        <v>0</v>
      </c>
      <c r="Y14" s="776">
        <f t="shared" si="0"/>
        <v>0</v>
      </c>
      <c r="Z14" s="777">
        <f t="shared" si="0"/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778">
        <f>SUM(E10:E14)</f>
        <v>207636.236</v>
      </c>
      <c r="F15" s="779">
        <f t="shared" ref="F15:X15" si="1">SUM(F10:F14)</f>
        <v>10307.460999999999</v>
      </c>
      <c r="G15" s="780">
        <f t="shared" si="1"/>
        <v>157554.43300000002</v>
      </c>
      <c r="H15" s="781">
        <f t="shared" si="1"/>
        <v>1042.4659999999999</v>
      </c>
      <c r="I15" s="778">
        <f t="shared" si="1"/>
        <v>91765.536999999997</v>
      </c>
      <c r="J15" s="780">
        <f t="shared" si="1"/>
        <v>9989.6610000000001</v>
      </c>
      <c r="K15" s="780">
        <f t="shared" si="1"/>
        <v>15513.422999999999</v>
      </c>
      <c r="L15" s="781">
        <f t="shared" si="1"/>
        <v>3599.5509999999999</v>
      </c>
      <c r="M15" s="778">
        <f t="shared" si="1"/>
        <v>21747.819</v>
      </c>
      <c r="N15" s="780">
        <f t="shared" si="1"/>
        <v>1857.048</v>
      </c>
      <c r="O15" s="780">
        <f t="shared" si="1"/>
        <v>4645.2190000000001</v>
      </c>
      <c r="P15" s="780">
        <f t="shared" si="1"/>
        <v>187.04</v>
      </c>
      <c r="Q15" s="780">
        <f t="shared" si="1"/>
        <v>0</v>
      </c>
      <c r="R15" s="781">
        <f t="shared" si="1"/>
        <v>0</v>
      </c>
      <c r="S15" s="782">
        <f t="shared" si="1"/>
        <v>0</v>
      </c>
      <c r="T15" s="783">
        <f t="shared" si="1"/>
        <v>0</v>
      </c>
      <c r="U15" s="782">
        <f t="shared" si="1"/>
        <v>30503.015999999996</v>
      </c>
      <c r="V15" s="783">
        <f t="shared" si="1"/>
        <v>1911.4490000000001</v>
      </c>
      <c r="W15" s="784">
        <f t="shared" si="1"/>
        <v>8867.1880000000001</v>
      </c>
      <c r="X15" s="783">
        <f t="shared" si="1"/>
        <v>1035.3979999999999</v>
      </c>
      <c r="Y15" s="785">
        <f t="shared" si="0"/>
        <v>538232.87099999993</v>
      </c>
      <c r="Z15" s="786">
        <f t="shared" si="0"/>
        <v>29930.074000000001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121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s="28" customFormat="1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2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48"/>
      <c r="P21" s="48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787">
        <v>70.849000000000004</v>
      </c>
      <c r="F22" s="788">
        <v>58807.678</v>
      </c>
      <c r="G22" s="70">
        <f>F22/12/E22</f>
        <v>69.170204707664652</v>
      </c>
      <c r="H22" s="787">
        <f>71.849-E22</f>
        <v>1</v>
      </c>
      <c r="I22" s="788">
        <f>79612.439-F22</f>
        <v>20804.760999999999</v>
      </c>
      <c r="J22" s="70">
        <f>I22/12/H22</f>
        <v>1733.7300833333331</v>
      </c>
      <c r="K22" s="789">
        <f>E22+H22</f>
        <v>71.849000000000004</v>
      </c>
      <c r="L22" s="789">
        <f>F22+I22</f>
        <v>79612.438999999998</v>
      </c>
      <c r="M22" s="70">
        <f>L22/12/K22</f>
        <v>92.337679253248709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790">
        <v>100.294</v>
      </c>
      <c r="F23" s="791">
        <v>58630.523000000001</v>
      </c>
      <c r="G23" s="70">
        <f t="shared" ref="G23:G31" si="2">F23/12/E23</f>
        <v>48.715545463005434</v>
      </c>
      <c r="H23" s="790">
        <f>102.732-E23</f>
        <v>2.4380000000000024</v>
      </c>
      <c r="I23" s="791">
        <f>83717.806-F23</f>
        <v>25087.282999999996</v>
      </c>
      <c r="J23" s="70">
        <f t="shared" ref="J23:J30" si="3">I23/12/H23</f>
        <v>857.50898960896802</v>
      </c>
      <c r="K23" s="789">
        <f t="shared" ref="K23:L32" si="4">E23+H23</f>
        <v>102.732</v>
      </c>
      <c r="L23" s="789">
        <f t="shared" si="4"/>
        <v>83717.805999999997</v>
      </c>
      <c r="M23" s="70">
        <f>L23/12/K23</f>
        <v>67.909549442562522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790">
        <v>236.53</v>
      </c>
      <c r="F24" s="791">
        <v>100045.601</v>
      </c>
      <c r="G24" s="70">
        <f t="shared" si="2"/>
        <v>35.247678589044376</v>
      </c>
      <c r="H24" s="790">
        <f>242.28-E24</f>
        <v>5.75</v>
      </c>
      <c r="I24" s="791">
        <f>135018.362-F24</f>
        <v>34972.760999999999</v>
      </c>
      <c r="J24" s="70">
        <f t="shared" si="3"/>
        <v>506.85160869565215</v>
      </c>
      <c r="K24" s="789">
        <f t="shared" si="4"/>
        <v>242.28</v>
      </c>
      <c r="L24" s="789">
        <f t="shared" si="4"/>
        <v>135018.36199999999</v>
      </c>
      <c r="M24" s="70">
        <f>L24/12/K24</f>
        <v>46.440193852842434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790">
        <v>18.512</v>
      </c>
      <c r="F25" s="791">
        <v>5895.241</v>
      </c>
      <c r="G25" s="70">
        <f t="shared" si="2"/>
        <v>26.537925849899164</v>
      </c>
      <c r="H25" s="790">
        <f>18.512-E25</f>
        <v>0</v>
      </c>
      <c r="I25" s="791">
        <f>7781.524-F25</f>
        <v>1886.2830000000004</v>
      </c>
      <c r="J25" s="792" t="s">
        <v>155</v>
      </c>
      <c r="K25" s="789">
        <f t="shared" si="4"/>
        <v>18.512</v>
      </c>
      <c r="L25" s="789">
        <f t="shared" si="4"/>
        <v>7781.5240000000003</v>
      </c>
      <c r="M25" s="70">
        <f>L25/12/K25</f>
        <v>35.029188274272542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790">
        <v>0</v>
      </c>
      <c r="F26" s="791">
        <v>0</v>
      </c>
      <c r="G26" s="792" t="s">
        <v>155</v>
      </c>
      <c r="H26" s="790">
        <v>0</v>
      </c>
      <c r="I26" s="791">
        <v>0</v>
      </c>
      <c r="J26" s="792" t="s">
        <v>155</v>
      </c>
      <c r="K26" s="793">
        <f t="shared" si="4"/>
        <v>0</v>
      </c>
      <c r="L26" s="791">
        <f t="shared" si="4"/>
        <v>0</v>
      </c>
      <c r="M26" s="794" t="s">
        <v>155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133"/>
      <c r="E27" s="790"/>
      <c r="F27" s="791"/>
      <c r="G27" s="792"/>
      <c r="H27" s="790"/>
      <c r="I27" s="791"/>
      <c r="J27" s="792"/>
      <c r="K27" s="793"/>
      <c r="L27" s="793"/>
      <c r="M27" s="794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790">
        <f>SUM(E22:E26)</f>
        <v>426.185</v>
      </c>
      <c r="F28" s="791">
        <f>SUM(F22:F26)</f>
        <v>223379.04300000001</v>
      </c>
      <c r="G28" s="70">
        <f t="shared" si="2"/>
        <v>43.678027734434572</v>
      </c>
      <c r="H28" s="790">
        <f>SUM(H22:H26)</f>
        <v>9.1880000000000024</v>
      </c>
      <c r="I28" s="791">
        <f>SUM(I22:I26)</f>
        <v>82751.087999999989</v>
      </c>
      <c r="J28" s="70">
        <f t="shared" si="3"/>
        <v>750.53591641271191</v>
      </c>
      <c r="K28" s="793">
        <f>SUM(K22:K26)</f>
        <v>435.37299999999999</v>
      </c>
      <c r="L28" s="793">
        <f>SUM(L22:L26)</f>
        <v>306130.13099999994</v>
      </c>
      <c r="M28" s="74">
        <f>L28/12/K28</f>
        <v>58.595375115131155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790">
        <v>103.32299999999999</v>
      </c>
      <c r="F29" s="791">
        <v>33446.309000000001</v>
      </c>
      <c r="G29" s="70">
        <f t="shared" si="2"/>
        <v>26.975527391448825</v>
      </c>
      <c r="H29" s="790">
        <f>253.885-E29</f>
        <v>150.56200000000001</v>
      </c>
      <c r="I29" s="791">
        <f>100882.82-F29</f>
        <v>67436.510999999999</v>
      </c>
      <c r="J29" s="70">
        <f t="shared" si="3"/>
        <v>37.324884432991055</v>
      </c>
      <c r="K29" s="793">
        <f t="shared" ref="K29:L31" si="5">E29+H29</f>
        <v>253.88499999999999</v>
      </c>
      <c r="L29" s="793">
        <f t="shared" si="5"/>
        <v>100882.82</v>
      </c>
      <c r="M29" s="74">
        <f>L29/12/K29</f>
        <v>33.113030177705127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790">
        <f>339.144-40.623</f>
        <v>298.52100000000002</v>
      </c>
      <c r="F30" s="791">
        <f>108365.317-11192.275</f>
        <v>97173.042000000001</v>
      </c>
      <c r="G30" s="70">
        <f t="shared" si="2"/>
        <v>27.126244049832337</v>
      </c>
      <c r="H30" s="790">
        <f>357.815-339.144</f>
        <v>18.670999999999992</v>
      </c>
      <c r="I30" s="791">
        <f>131219.92-108365.317</f>
        <v>22854.603000000017</v>
      </c>
      <c r="J30" s="70">
        <f t="shared" si="3"/>
        <v>102.00579776123412</v>
      </c>
      <c r="K30" s="793">
        <f t="shared" si="5"/>
        <v>317.19200000000001</v>
      </c>
      <c r="L30" s="793">
        <f t="shared" si="5"/>
        <v>120027.64500000002</v>
      </c>
      <c r="M30" s="74">
        <f>L30/12/K30</f>
        <v>31.533909272617219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790">
        <v>40.622999999999998</v>
      </c>
      <c r="F31" s="791">
        <v>11192.275</v>
      </c>
      <c r="G31" s="70">
        <f t="shared" si="2"/>
        <v>22.959643141405937</v>
      </c>
      <c r="H31" s="790">
        <v>0</v>
      </c>
      <c r="I31" s="791">
        <v>0</v>
      </c>
      <c r="J31" s="792" t="s">
        <v>155</v>
      </c>
      <c r="K31" s="793">
        <f t="shared" si="5"/>
        <v>40.622999999999998</v>
      </c>
      <c r="L31" s="793">
        <f t="shared" si="5"/>
        <v>11192.275</v>
      </c>
      <c r="M31" s="74">
        <f>L31/12/K31</f>
        <v>22.959643141405937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795">
        <v>0</v>
      </c>
      <c r="F32" s="796">
        <v>0</v>
      </c>
      <c r="G32" s="797" t="s">
        <v>155</v>
      </c>
      <c r="H32" s="795">
        <v>0</v>
      </c>
      <c r="I32" s="796">
        <v>0</v>
      </c>
      <c r="J32" s="797" t="s">
        <v>155</v>
      </c>
      <c r="K32" s="798">
        <f t="shared" si="4"/>
        <v>0</v>
      </c>
      <c r="L32" s="796">
        <f t="shared" si="4"/>
        <v>0</v>
      </c>
      <c r="M32" s="799" t="s">
        <v>155</v>
      </c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800">
        <f>E28+E29+E30+E31+E32</f>
        <v>868.65200000000004</v>
      </c>
      <c r="F33" s="801">
        <f t="shared" ref="F33:L33" si="6">F28+F29+F30+F31+F32</f>
        <v>365190.66900000005</v>
      </c>
      <c r="G33" s="120">
        <f>F33/12/E33</f>
        <v>35.034232063012581</v>
      </c>
      <c r="H33" s="800">
        <f t="shared" si="6"/>
        <v>178.42099999999999</v>
      </c>
      <c r="I33" s="801">
        <f t="shared" si="6"/>
        <v>173042.20199999999</v>
      </c>
      <c r="J33" s="120">
        <f>I33/12/H33</f>
        <v>80.821111304162628</v>
      </c>
      <c r="K33" s="802">
        <f t="shared" si="6"/>
        <v>1047.0730000000001</v>
      </c>
      <c r="L33" s="801">
        <f t="shared" si="6"/>
        <v>538232.87099999993</v>
      </c>
      <c r="M33" s="83">
        <f>L33/12/K33</f>
        <v>42.836305825859313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  <row r="34" spans="1:26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</sheetData>
  <mergeCells count="47">
    <mergeCell ref="B31:D31"/>
    <mergeCell ref="B32:D32"/>
    <mergeCell ref="B33:D33"/>
    <mergeCell ref="H19:J19"/>
    <mergeCell ref="K19:M19"/>
    <mergeCell ref="B22:B30"/>
    <mergeCell ref="C22:C28"/>
    <mergeCell ref="C29:D29"/>
    <mergeCell ref="C30:D30"/>
    <mergeCell ref="B13:D13"/>
    <mergeCell ref="B14:D14"/>
    <mergeCell ref="B15:D15"/>
    <mergeCell ref="A19:A21"/>
    <mergeCell ref="B19:D21"/>
    <mergeCell ref="E19:G19"/>
    <mergeCell ref="T10:T12"/>
    <mergeCell ref="V10:V12"/>
    <mergeCell ref="X10:X12"/>
    <mergeCell ref="Z10:Z12"/>
    <mergeCell ref="C11:D11"/>
    <mergeCell ref="C12:D12"/>
    <mergeCell ref="Q8:R8"/>
    <mergeCell ref="B10:B12"/>
    <mergeCell ref="C10:D10"/>
    <mergeCell ref="F10:F12"/>
    <mergeCell ref="H10:H12"/>
    <mergeCell ref="J10:J12"/>
    <mergeCell ref="L10:L12"/>
    <mergeCell ref="N10:N12"/>
    <mergeCell ref="P10:P12"/>
    <mergeCell ref="R10:R12"/>
    <mergeCell ref="E8:F8"/>
    <mergeCell ref="G8:H8"/>
    <mergeCell ref="I8:J8"/>
    <mergeCell ref="K8:L8"/>
    <mergeCell ref="M8:N8"/>
    <mergeCell ref="O8:P8"/>
    <mergeCell ref="A5:A9"/>
    <mergeCell ref="B5:D9"/>
    <mergeCell ref="E5:Z5"/>
    <mergeCell ref="E7:H7"/>
    <mergeCell ref="I7:L7"/>
    <mergeCell ref="M7:R7"/>
    <mergeCell ref="S7:T8"/>
    <mergeCell ref="U7:V8"/>
    <mergeCell ref="W7:X8"/>
    <mergeCell ref="Y7:Z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14" width="9.7109375" customWidth="1"/>
    <col min="15" max="16" width="9.7109375" style="28" customWidth="1"/>
    <col min="17" max="26" width="9.710937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</row>
    <row r="3" spans="1:26">
      <c r="A3" s="49" t="s">
        <v>156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</row>
    <row r="4" spans="1:26" ht="15.75" thickBot="1">
      <c r="A4" s="49"/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157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6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803">
        <v>1</v>
      </c>
      <c r="B10" s="1395" t="s">
        <v>30</v>
      </c>
      <c r="C10" s="1824" t="s">
        <v>16</v>
      </c>
      <c r="D10" s="1825"/>
      <c r="E10" s="68">
        <v>300511</v>
      </c>
      <c r="F10" s="71">
        <v>5049</v>
      </c>
      <c r="G10" s="69">
        <v>1103</v>
      </c>
      <c r="H10" s="70">
        <v>0</v>
      </c>
      <c r="I10" s="68">
        <v>1673</v>
      </c>
      <c r="J10" s="69">
        <v>0</v>
      </c>
      <c r="K10" s="69">
        <v>0</v>
      </c>
      <c r="L10" s="70">
        <v>0</v>
      </c>
      <c r="M10" s="68">
        <v>0</v>
      </c>
      <c r="N10" s="69">
        <v>0</v>
      </c>
      <c r="O10" s="69"/>
      <c r="P10" s="69"/>
      <c r="Q10" s="69">
        <v>0</v>
      </c>
      <c r="R10" s="70">
        <v>6969</v>
      </c>
      <c r="S10" s="68">
        <v>0</v>
      </c>
      <c r="T10" s="70">
        <v>0</v>
      </c>
      <c r="U10" s="68">
        <v>0</v>
      </c>
      <c r="V10" s="70">
        <v>0</v>
      </c>
      <c r="W10" s="804">
        <v>69041</v>
      </c>
      <c r="X10" s="805">
        <v>8438</v>
      </c>
      <c r="Y10" s="806">
        <v>372328</v>
      </c>
      <c r="Z10" s="807">
        <v>20456</v>
      </c>
    </row>
    <row r="11" spans="1:26">
      <c r="A11" s="135">
        <v>2</v>
      </c>
      <c r="B11" s="1418"/>
      <c r="C11" s="1409" t="s">
        <v>9</v>
      </c>
      <c r="D11" s="1410"/>
      <c r="E11" s="72">
        <v>0</v>
      </c>
      <c r="F11" s="75">
        <v>0</v>
      </c>
      <c r="G11" s="67">
        <v>83580</v>
      </c>
      <c r="H11" s="74">
        <v>6238</v>
      </c>
      <c r="I11" s="72">
        <v>51726</v>
      </c>
      <c r="J11" s="67">
        <v>5635</v>
      </c>
      <c r="K11" s="67">
        <v>0</v>
      </c>
      <c r="L11" s="74">
        <v>0</v>
      </c>
      <c r="M11" s="72">
        <v>0</v>
      </c>
      <c r="N11" s="67">
        <v>0</v>
      </c>
      <c r="O11" s="67"/>
      <c r="P11" s="67"/>
      <c r="Q11" s="67">
        <v>42029</v>
      </c>
      <c r="R11" s="74">
        <v>0</v>
      </c>
      <c r="S11" s="72">
        <v>0</v>
      </c>
      <c r="T11" s="74">
        <v>0</v>
      </c>
      <c r="U11" s="72">
        <v>0</v>
      </c>
      <c r="V11" s="74">
        <v>0</v>
      </c>
      <c r="W11" s="808">
        <v>0</v>
      </c>
      <c r="X11" s="809">
        <v>0</v>
      </c>
      <c r="Y11" s="810">
        <v>177335</v>
      </c>
      <c r="Z11" s="811">
        <v>11873</v>
      </c>
    </row>
    <row r="12" spans="1:26">
      <c r="A12" s="21">
        <v>3</v>
      </c>
      <c r="B12" s="1418"/>
      <c r="C12" s="1826" t="s">
        <v>2</v>
      </c>
      <c r="D12" s="1827"/>
      <c r="E12" s="72">
        <v>42703</v>
      </c>
      <c r="F12" s="75">
        <v>10841</v>
      </c>
      <c r="G12" s="67">
        <v>131753</v>
      </c>
      <c r="H12" s="74">
        <v>0</v>
      </c>
      <c r="I12" s="72">
        <v>30851</v>
      </c>
      <c r="J12" s="67">
        <v>0</v>
      </c>
      <c r="K12" s="67">
        <v>0</v>
      </c>
      <c r="L12" s="74">
        <v>0</v>
      </c>
      <c r="M12" s="72">
        <v>0</v>
      </c>
      <c r="N12" s="67">
        <v>0</v>
      </c>
      <c r="O12" s="67"/>
      <c r="P12" s="67"/>
      <c r="Q12" s="67">
        <v>24746</v>
      </c>
      <c r="R12" s="74">
        <v>0</v>
      </c>
      <c r="S12" s="72">
        <v>0</v>
      </c>
      <c r="T12" s="74">
        <v>0</v>
      </c>
      <c r="U12" s="72">
        <v>14609</v>
      </c>
      <c r="V12" s="74">
        <v>1451</v>
      </c>
      <c r="W12" s="808">
        <v>19920</v>
      </c>
      <c r="X12" s="809">
        <v>0</v>
      </c>
      <c r="Y12" s="810">
        <v>264582</v>
      </c>
      <c r="Z12" s="811">
        <v>12292</v>
      </c>
    </row>
    <row r="13" spans="1:26">
      <c r="A13" s="21">
        <v>4</v>
      </c>
      <c r="B13" s="1463" t="s">
        <v>8</v>
      </c>
      <c r="C13" s="1464"/>
      <c r="D13" s="1465"/>
      <c r="E13" s="72">
        <v>0</v>
      </c>
      <c r="F13" s="75">
        <v>0</v>
      </c>
      <c r="G13" s="67">
        <v>0</v>
      </c>
      <c r="H13" s="74">
        <v>0</v>
      </c>
      <c r="I13" s="72">
        <v>0</v>
      </c>
      <c r="J13" s="67">
        <v>0</v>
      </c>
      <c r="K13" s="67">
        <v>0</v>
      </c>
      <c r="L13" s="74">
        <v>0</v>
      </c>
      <c r="M13" s="72">
        <v>0</v>
      </c>
      <c r="N13" s="67">
        <v>0</v>
      </c>
      <c r="O13" s="67"/>
      <c r="P13" s="67"/>
      <c r="Q13" s="67">
        <v>0</v>
      </c>
      <c r="R13" s="74">
        <v>0</v>
      </c>
      <c r="S13" s="72">
        <v>0</v>
      </c>
      <c r="T13" s="74">
        <v>0</v>
      </c>
      <c r="U13" s="72">
        <v>0</v>
      </c>
      <c r="V13" s="74">
        <v>0</v>
      </c>
      <c r="W13" s="808">
        <v>18991</v>
      </c>
      <c r="X13" s="809">
        <v>2258</v>
      </c>
      <c r="Y13" s="810">
        <v>18991</v>
      </c>
      <c r="Z13" s="811">
        <v>2258</v>
      </c>
    </row>
    <row r="14" spans="1:26" ht="15.75" thickBot="1">
      <c r="A14" s="46">
        <v>5</v>
      </c>
      <c r="B14" s="1421" t="s">
        <v>25</v>
      </c>
      <c r="C14" s="1422"/>
      <c r="D14" s="1423"/>
      <c r="E14" s="104">
        <v>0</v>
      </c>
      <c r="F14" s="719">
        <v>0</v>
      </c>
      <c r="G14" s="105">
        <v>0</v>
      </c>
      <c r="H14" s="106">
        <v>0</v>
      </c>
      <c r="I14" s="104">
        <v>0</v>
      </c>
      <c r="J14" s="105">
        <v>0</v>
      </c>
      <c r="K14" s="105">
        <v>0</v>
      </c>
      <c r="L14" s="106">
        <v>0</v>
      </c>
      <c r="M14" s="104">
        <v>0</v>
      </c>
      <c r="N14" s="105">
        <v>0</v>
      </c>
      <c r="O14" s="105"/>
      <c r="P14" s="105"/>
      <c r="Q14" s="105">
        <v>0</v>
      </c>
      <c r="R14" s="106">
        <v>0</v>
      </c>
      <c r="S14" s="812">
        <v>0</v>
      </c>
      <c r="T14" s="813">
        <v>0</v>
      </c>
      <c r="U14" s="812">
        <v>0</v>
      </c>
      <c r="V14" s="813">
        <v>0</v>
      </c>
      <c r="W14" s="814">
        <v>0</v>
      </c>
      <c r="X14" s="813">
        <v>0</v>
      </c>
      <c r="Y14" s="815">
        <v>0</v>
      </c>
      <c r="Z14" s="816"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118">
        <f>SUM(E10:E14)</f>
        <v>343214</v>
      </c>
      <c r="F15" s="720">
        <f t="shared" ref="F15:Z15" si="0">SUM(F10:F14)</f>
        <v>15890</v>
      </c>
      <c r="G15" s="119">
        <f t="shared" si="0"/>
        <v>216436</v>
      </c>
      <c r="H15" s="120">
        <f t="shared" si="0"/>
        <v>6238</v>
      </c>
      <c r="I15" s="118">
        <f t="shared" si="0"/>
        <v>84250</v>
      </c>
      <c r="J15" s="119">
        <f t="shared" si="0"/>
        <v>5635</v>
      </c>
      <c r="K15" s="119">
        <f t="shared" si="0"/>
        <v>0</v>
      </c>
      <c r="L15" s="120">
        <f t="shared" si="0"/>
        <v>0</v>
      </c>
      <c r="M15" s="118">
        <f t="shared" si="0"/>
        <v>0</v>
      </c>
      <c r="N15" s="119">
        <f t="shared" si="0"/>
        <v>0</v>
      </c>
      <c r="O15" s="119"/>
      <c r="P15" s="119"/>
      <c r="Q15" s="119">
        <f t="shared" si="0"/>
        <v>66775</v>
      </c>
      <c r="R15" s="120">
        <f t="shared" si="0"/>
        <v>6969</v>
      </c>
      <c r="S15" s="817">
        <f t="shared" si="0"/>
        <v>0</v>
      </c>
      <c r="T15" s="818">
        <f t="shared" si="0"/>
        <v>0</v>
      </c>
      <c r="U15" s="817">
        <f t="shared" si="0"/>
        <v>14609</v>
      </c>
      <c r="V15" s="818">
        <f t="shared" si="0"/>
        <v>1451</v>
      </c>
      <c r="W15" s="819">
        <f t="shared" si="0"/>
        <v>107952</v>
      </c>
      <c r="X15" s="818">
        <f t="shared" si="0"/>
        <v>10696</v>
      </c>
      <c r="Y15" s="820">
        <f t="shared" si="0"/>
        <v>833236</v>
      </c>
      <c r="Z15" s="821">
        <f t="shared" si="0"/>
        <v>46879</v>
      </c>
    </row>
    <row r="16" spans="1:26">
      <c r="A16" s="822"/>
      <c r="B16" s="823"/>
      <c r="C16" s="823"/>
      <c r="D16" s="823"/>
      <c r="E16" s="824"/>
      <c r="F16" s="824"/>
      <c r="G16" s="824"/>
      <c r="H16" s="824"/>
      <c r="I16" s="825"/>
      <c r="J16" s="825"/>
      <c r="K16" s="825"/>
      <c r="L16" s="825"/>
      <c r="M16" s="825"/>
      <c r="N16" s="825"/>
      <c r="O16" s="825"/>
      <c r="P16" s="825"/>
      <c r="Q16" s="825"/>
      <c r="R16" s="825"/>
      <c r="S16" s="826"/>
      <c r="T16" s="826"/>
      <c r="U16" s="827"/>
      <c r="V16" s="827"/>
      <c r="W16" s="826"/>
      <c r="X16" s="826"/>
      <c r="Y16" s="824"/>
      <c r="Z16" s="828"/>
    </row>
    <row r="17" spans="1:26">
      <c r="A17" s="529"/>
      <c r="B17" s="529"/>
      <c r="C17" s="529"/>
      <c r="D17" s="529"/>
      <c r="E17" s="529"/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29"/>
    </row>
    <row r="18" spans="1:26" ht="15.75" thickBot="1">
      <c r="A18" s="49" t="s">
        <v>58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2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529"/>
      <c r="O19" s="529"/>
      <c r="P19" s="529"/>
      <c r="Q19" s="529"/>
      <c r="R19" s="529"/>
      <c r="S19" s="529"/>
      <c r="T19" s="529"/>
      <c r="U19" s="529"/>
      <c r="V19" s="529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829" t="s">
        <v>22</v>
      </c>
      <c r="F20" s="830" t="s">
        <v>33</v>
      </c>
      <c r="G20" s="831" t="s">
        <v>23</v>
      </c>
      <c r="H20" s="829" t="s">
        <v>22</v>
      </c>
      <c r="I20" s="830" t="s">
        <v>33</v>
      </c>
      <c r="J20" s="831" t="s">
        <v>23</v>
      </c>
      <c r="K20" s="132" t="s">
        <v>22</v>
      </c>
      <c r="L20" s="832" t="s">
        <v>33</v>
      </c>
      <c r="M20" s="831" t="s">
        <v>23</v>
      </c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</row>
    <row r="21" spans="1:26" ht="23.25" thickBot="1">
      <c r="A21" s="1451"/>
      <c r="B21" s="1448"/>
      <c r="C21" s="1448"/>
      <c r="D21" s="1448"/>
      <c r="E21" s="15">
        <v>1</v>
      </c>
      <c r="F21" s="42">
        <v>2</v>
      </c>
      <c r="G21" s="833" t="s">
        <v>47</v>
      </c>
      <c r="H21" s="15">
        <v>4</v>
      </c>
      <c r="I21" s="42">
        <v>5</v>
      </c>
      <c r="J21" s="833" t="s">
        <v>48</v>
      </c>
      <c r="K21" s="47">
        <v>7</v>
      </c>
      <c r="L21" s="43">
        <v>8</v>
      </c>
      <c r="M21" s="833" t="s">
        <v>49</v>
      </c>
      <c r="N21" s="572"/>
      <c r="O21" s="572"/>
      <c r="P21" s="572"/>
      <c r="Q21" s="529"/>
      <c r="R21" s="529"/>
      <c r="S21" s="529"/>
      <c r="T21" s="529"/>
      <c r="U21" s="572"/>
      <c r="V21" s="572"/>
      <c r="W21" s="572"/>
      <c r="X21" s="572"/>
      <c r="Y21" s="572"/>
      <c r="Z21" s="572"/>
    </row>
    <row r="22" spans="1:26">
      <c r="A22" s="135">
        <v>1</v>
      </c>
      <c r="B22" s="1393" t="s">
        <v>26</v>
      </c>
      <c r="C22" s="1459" t="s">
        <v>16</v>
      </c>
      <c r="D22" s="38" t="s">
        <v>11</v>
      </c>
      <c r="E22" s="68">
        <v>51</v>
      </c>
      <c r="F22" s="69">
        <v>33650</v>
      </c>
      <c r="G22" s="70">
        <v>55</v>
      </c>
      <c r="H22" s="68">
        <v>6</v>
      </c>
      <c r="I22" s="69">
        <v>8014</v>
      </c>
      <c r="J22" s="70">
        <v>111</v>
      </c>
      <c r="K22" s="71">
        <f>E22+H22</f>
        <v>57</v>
      </c>
      <c r="L22" s="69">
        <f>F22+I22</f>
        <v>41664</v>
      </c>
      <c r="M22" s="70">
        <v>61</v>
      </c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</row>
    <row r="23" spans="1:26">
      <c r="A23" s="21">
        <v>2</v>
      </c>
      <c r="B23" s="1394"/>
      <c r="C23" s="1459"/>
      <c r="D23" s="133" t="s">
        <v>12</v>
      </c>
      <c r="E23" s="72">
        <v>140</v>
      </c>
      <c r="F23" s="67">
        <v>93079</v>
      </c>
      <c r="G23" s="74">
        <v>55</v>
      </c>
      <c r="H23" s="72">
        <v>20</v>
      </c>
      <c r="I23" s="67">
        <v>20152</v>
      </c>
      <c r="J23" s="74">
        <v>84</v>
      </c>
      <c r="K23" s="75">
        <f>E23+H23</f>
        <v>160</v>
      </c>
      <c r="L23" s="67">
        <f>F23+I23</f>
        <v>113231</v>
      </c>
      <c r="M23" s="74">
        <v>59</v>
      </c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</row>
    <row r="24" spans="1:26">
      <c r="A24" s="21">
        <v>3</v>
      </c>
      <c r="B24" s="1394"/>
      <c r="C24" s="1459"/>
      <c r="D24" s="133" t="s">
        <v>13</v>
      </c>
      <c r="E24" s="72">
        <v>354</v>
      </c>
      <c r="F24" s="67">
        <v>155310</v>
      </c>
      <c r="G24" s="74">
        <v>37</v>
      </c>
      <c r="H24" s="72">
        <v>62</v>
      </c>
      <c r="I24" s="67">
        <v>39725</v>
      </c>
      <c r="J24" s="74">
        <v>53</v>
      </c>
      <c r="K24" s="75">
        <f t="shared" ref="K24:L32" si="1">E24+H24</f>
        <v>416</v>
      </c>
      <c r="L24" s="67">
        <f t="shared" si="1"/>
        <v>195035</v>
      </c>
      <c r="M24" s="74">
        <v>39</v>
      </c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</row>
    <row r="25" spans="1:26">
      <c r="A25" s="21">
        <v>4</v>
      </c>
      <c r="B25" s="1394"/>
      <c r="C25" s="1459"/>
      <c r="D25" s="133" t="s">
        <v>14</v>
      </c>
      <c r="E25" s="72">
        <v>40</v>
      </c>
      <c r="F25" s="67">
        <v>13334</v>
      </c>
      <c r="G25" s="74">
        <v>28</v>
      </c>
      <c r="H25" s="72">
        <v>2</v>
      </c>
      <c r="I25" s="67">
        <v>1423</v>
      </c>
      <c r="J25" s="74">
        <v>59</v>
      </c>
      <c r="K25" s="75">
        <f t="shared" si="1"/>
        <v>42</v>
      </c>
      <c r="L25" s="67">
        <f t="shared" si="1"/>
        <v>14757</v>
      </c>
      <c r="M25" s="74">
        <v>29</v>
      </c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529"/>
      <c r="Y25" s="529"/>
      <c r="Z25" s="529"/>
    </row>
    <row r="26" spans="1:26">
      <c r="A26" s="21">
        <v>5</v>
      </c>
      <c r="B26" s="1394"/>
      <c r="C26" s="1459"/>
      <c r="D26" s="133" t="s">
        <v>15</v>
      </c>
      <c r="E26" s="72">
        <v>20</v>
      </c>
      <c r="F26" s="67">
        <v>6241</v>
      </c>
      <c r="G26" s="74">
        <v>26</v>
      </c>
      <c r="H26" s="72">
        <v>3</v>
      </c>
      <c r="I26" s="67">
        <v>1400</v>
      </c>
      <c r="J26" s="74">
        <v>39</v>
      </c>
      <c r="K26" s="75">
        <f t="shared" si="1"/>
        <v>23</v>
      </c>
      <c r="L26" s="67">
        <f t="shared" si="1"/>
        <v>7641</v>
      </c>
      <c r="M26" s="74">
        <v>28</v>
      </c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</row>
    <row r="27" spans="1:26" s="28" customFormat="1">
      <c r="A27" s="21"/>
      <c r="B27" s="1394"/>
      <c r="C27" s="1459"/>
      <c r="D27" s="133"/>
      <c r="E27" s="72"/>
      <c r="F27" s="67"/>
      <c r="G27" s="74"/>
      <c r="H27" s="72"/>
      <c r="I27" s="67"/>
      <c r="J27" s="74"/>
      <c r="K27" s="75"/>
      <c r="L27" s="67"/>
      <c r="M27" s="74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</row>
    <row r="28" spans="1:26">
      <c r="A28" s="21">
        <v>6</v>
      </c>
      <c r="B28" s="1394"/>
      <c r="C28" s="1460"/>
      <c r="D28" s="133" t="s">
        <v>17</v>
      </c>
      <c r="E28" s="72">
        <v>605</v>
      </c>
      <c r="F28" s="67">
        <v>301614</v>
      </c>
      <c r="G28" s="74">
        <v>42</v>
      </c>
      <c r="H28" s="72">
        <v>93</v>
      </c>
      <c r="I28" s="67">
        <v>70714</v>
      </c>
      <c r="J28" s="74">
        <v>63</v>
      </c>
      <c r="K28" s="75">
        <f t="shared" si="1"/>
        <v>698</v>
      </c>
      <c r="L28" s="67">
        <f t="shared" si="1"/>
        <v>372328</v>
      </c>
      <c r="M28" s="74">
        <v>44</v>
      </c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</row>
    <row r="29" spans="1:26">
      <c r="A29" s="21">
        <v>7</v>
      </c>
      <c r="B29" s="1394"/>
      <c r="C29" s="1411" t="s">
        <v>9</v>
      </c>
      <c r="D29" s="1412"/>
      <c r="E29" s="72">
        <v>159</v>
      </c>
      <c r="F29" s="67">
        <v>83580</v>
      </c>
      <c r="G29" s="74">
        <v>44</v>
      </c>
      <c r="H29" s="72">
        <v>165</v>
      </c>
      <c r="I29" s="67">
        <v>93755</v>
      </c>
      <c r="J29" s="74">
        <v>47</v>
      </c>
      <c r="K29" s="75">
        <f t="shared" si="1"/>
        <v>324</v>
      </c>
      <c r="L29" s="67">
        <f t="shared" si="1"/>
        <v>177335</v>
      </c>
      <c r="M29" s="74">
        <v>46</v>
      </c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</row>
    <row r="30" spans="1:26">
      <c r="A30" s="21">
        <v>8</v>
      </c>
      <c r="B30" s="1395"/>
      <c r="C30" s="1409" t="s">
        <v>2</v>
      </c>
      <c r="D30" s="1410"/>
      <c r="E30" s="72">
        <v>443</v>
      </c>
      <c r="F30" s="67">
        <v>174456</v>
      </c>
      <c r="G30" s="74">
        <v>33</v>
      </c>
      <c r="H30" s="72">
        <v>286</v>
      </c>
      <c r="I30" s="67">
        <v>90126</v>
      </c>
      <c r="J30" s="74">
        <v>26</v>
      </c>
      <c r="K30" s="75">
        <f t="shared" si="1"/>
        <v>729</v>
      </c>
      <c r="L30" s="67">
        <f t="shared" si="1"/>
        <v>264582</v>
      </c>
      <c r="M30" s="74">
        <v>30</v>
      </c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</row>
    <row r="31" spans="1:26">
      <c r="A31" s="21">
        <v>9</v>
      </c>
      <c r="B31" s="1414" t="s">
        <v>8</v>
      </c>
      <c r="C31" s="1414"/>
      <c r="D31" s="1414"/>
      <c r="E31" s="72">
        <v>0</v>
      </c>
      <c r="F31" s="67">
        <v>0</v>
      </c>
      <c r="G31" s="74">
        <v>0</v>
      </c>
      <c r="H31" s="72">
        <v>95</v>
      </c>
      <c r="I31" s="67">
        <v>18991</v>
      </c>
      <c r="J31" s="74">
        <v>17</v>
      </c>
      <c r="K31" s="75">
        <f t="shared" si="1"/>
        <v>95</v>
      </c>
      <c r="L31" s="67">
        <f t="shared" si="1"/>
        <v>18991</v>
      </c>
      <c r="M31" s="74">
        <v>17</v>
      </c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</row>
    <row r="32" spans="1:26" ht="15.75" thickBot="1">
      <c r="A32" s="46">
        <v>10</v>
      </c>
      <c r="B32" s="1392" t="s">
        <v>25</v>
      </c>
      <c r="C32" s="1392"/>
      <c r="D32" s="1392"/>
      <c r="E32" s="80">
        <v>0</v>
      </c>
      <c r="F32" s="78">
        <v>0</v>
      </c>
      <c r="G32" s="79">
        <v>0</v>
      </c>
      <c r="H32" s="80">
        <v>0</v>
      </c>
      <c r="I32" s="78">
        <v>0</v>
      </c>
      <c r="J32" s="79">
        <v>0</v>
      </c>
      <c r="K32" s="81">
        <f t="shared" si="1"/>
        <v>0</v>
      </c>
      <c r="L32" s="78">
        <f t="shared" si="1"/>
        <v>0</v>
      </c>
      <c r="M32" s="79">
        <v>0</v>
      </c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</row>
    <row r="33" spans="1:26" ht="15.75" thickBot="1">
      <c r="A33" s="45">
        <v>11</v>
      </c>
      <c r="B33" s="1413" t="s">
        <v>17</v>
      </c>
      <c r="C33" s="1413"/>
      <c r="D33" s="1413"/>
      <c r="E33" s="84">
        <f>E28+E29+E30+E31+E32</f>
        <v>1207</v>
      </c>
      <c r="F33" s="82">
        <f t="shared" ref="F33:L33" si="2">F28+F29+F30+F31+F32</f>
        <v>559650</v>
      </c>
      <c r="G33" s="83">
        <v>39</v>
      </c>
      <c r="H33" s="84">
        <f t="shared" si="2"/>
        <v>639</v>
      </c>
      <c r="I33" s="82">
        <f t="shared" si="2"/>
        <v>273586</v>
      </c>
      <c r="J33" s="83">
        <v>36</v>
      </c>
      <c r="K33" s="85">
        <f t="shared" si="2"/>
        <v>1846</v>
      </c>
      <c r="L33" s="82">
        <f t="shared" si="2"/>
        <v>833236</v>
      </c>
      <c r="M33" s="83">
        <v>38</v>
      </c>
      <c r="N33" s="529"/>
      <c r="O33" s="529"/>
      <c r="P33" s="529"/>
      <c r="Q33" s="529"/>
      <c r="R33" s="529"/>
      <c r="S33" s="529"/>
      <c r="T33" s="529"/>
      <c r="U33" s="529"/>
      <c r="V33" s="529"/>
      <c r="W33" s="834"/>
      <c r="X33" s="834"/>
      <c r="Y33" s="834"/>
      <c r="Z33" s="834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9.42578125" customWidth="1"/>
    <col min="3" max="3" width="12" customWidth="1"/>
    <col min="4" max="4" width="16.28515625" customWidth="1"/>
    <col min="5" max="7" width="9.7109375" customWidth="1"/>
    <col min="8" max="8" width="7.42578125" customWidth="1"/>
    <col min="9" max="10" width="9.7109375" customWidth="1"/>
    <col min="11" max="11" width="7.42578125" customWidth="1"/>
    <col min="12" max="13" width="9.7109375" customWidth="1"/>
    <col min="14" max="14" width="6.7109375" customWidth="1"/>
    <col min="15" max="16" width="6.7109375" style="28" customWidth="1"/>
    <col min="17" max="17" width="7.42578125" customWidth="1"/>
    <col min="18" max="18" width="6.7109375" customWidth="1"/>
    <col min="19" max="19" width="8" customWidth="1"/>
    <col min="20" max="20" width="6.7109375" customWidth="1"/>
    <col min="21" max="23" width="8.5703125" customWidth="1"/>
    <col min="24" max="24" width="7.42578125" customWidth="1"/>
    <col min="25" max="25" width="9.7109375" customWidth="1"/>
    <col min="26" max="26" width="8.5703125" customWidth="1"/>
  </cols>
  <sheetData>
    <row r="1" spans="1:26" ht="15.75">
      <c r="A1" s="835" t="s">
        <v>51</v>
      </c>
      <c r="B1" s="836"/>
      <c r="C1" s="836"/>
      <c r="D1" s="836"/>
      <c r="E1" s="836"/>
      <c r="F1" s="836"/>
      <c r="G1" s="836"/>
      <c r="H1" s="836"/>
      <c r="I1" s="837"/>
      <c r="J1" s="837"/>
      <c r="K1" s="837"/>
      <c r="L1" s="837"/>
      <c r="M1" s="837"/>
      <c r="N1" s="837"/>
      <c r="O1" s="837"/>
      <c r="P1" s="837"/>
      <c r="Q1" s="838"/>
      <c r="R1" s="838"/>
      <c r="S1" s="838"/>
      <c r="T1" s="838"/>
      <c r="U1" s="838"/>
      <c r="V1" s="838"/>
      <c r="W1" s="839"/>
      <c r="X1" s="839"/>
      <c r="Y1" s="840"/>
      <c r="Z1" s="840"/>
    </row>
    <row r="2" spans="1:26" ht="15.75">
      <c r="A2" s="841"/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  <c r="Q2" s="841"/>
      <c r="R2" s="841"/>
      <c r="S2" s="841"/>
      <c r="T2" s="841"/>
      <c r="U2" s="841"/>
      <c r="V2" s="841"/>
      <c r="W2" s="841"/>
      <c r="X2" s="841"/>
      <c r="Y2" s="841"/>
      <c r="Z2" s="841"/>
    </row>
    <row r="3" spans="1:26" ht="15.75">
      <c r="A3" s="842" t="s">
        <v>158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841"/>
      <c r="R3" s="841"/>
      <c r="S3" s="841"/>
      <c r="T3" s="841"/>
      <c r="U3" s="841"/>
      <c r="V3" s="841"/>
      <c r="W3" s="841"/>
      <c r="X3" s="841"/>
      <c r="Y3" s="841"/>
      <c r="Z3" s="841"/>
    </row>
    <row r="4" spans="1:26" ht="16.5" thickBot="1">
      <c r="A4" s="841"/>
      <c r="B4" s="841"/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841"/>
      <c r="O4" s="841"/>
      <c r="P4" s="841"/>
      <c r="Q4" s="841"/>
      <c r="R4" s="837"/>
      <c r="S4" s="841"/>
      <c r="T4" s="841"/>
      <c r="U4" s="841"/>
      <c r="V4" s="841"/>
      <c r="W4" s="841"/>
      <c r="X4" s="841"/>
      <c r="Y4" s="841"/>
      <c r="Z4" s="843" t="s">
        <v>4</v>
      </c>
    </row>
    <row r="5" spans="1:26" ht="16.5" thickBot="1">
      <c r="A5" s="1828" t="s">
        <v>1</v>
      </c>
      <c r="B5" s="1831" t="s">
        <v>7</v>
      </c>
      <c r="C5" s="1832"/>
      <c r="D5" s="1833"/>
      <c r="E5" s="1840" t="s">
        <v>35</v>
      </c>
      <c r="F5" s="1841"/>
      <c r="G5" s="1841"/>
      <c r="H5" s="1841"/>
      <c r="I5" s="1841"/>
      <c r="J5" s="1841"/>
      <c r="K5" s="1841"/>
      <c r="L5" s="1841"/>
      <c r="M5" s="1841"/>
      <c r="N5" s="1841"/>
      <c r="O5" s="1841"/>
      <c r="P5" s="1841"/>
      <c r="Q5" s="1841"/>
      <c r="R5" s="1841"/>
      <c r="S5" s="1841"/>
      <c r="T5" s="1841"/>
      <c r="U5" s="1841"/>
      <c r="V5" s="1841"/>
      <c r="W5" s="1841"/>
      <c r="X5" s="1841"/>
      <c r="Y5" s="1841"/>
      <c r="Z5" s="1842"/>
    </row>
    <row r="6" spans="1:26" ht="15.75">
      <c r="A6" s="1829"/>
      <c r="B6" s="1834"/>
      <c r="C6" s="1835"/>
      <c r="D6" s="1836"/>
      <c r="E6" s="1843" t="s">
        <v>24</v>
      </c>
      <c r="F6" s="1844"/>
      <c r="G6" s="1844"/>
      <c r="H6" s="1845"/>
      <c r="I6" s="1843" t="s">
        <v>28</v>
      </c>
      <c r="J6" s="1844"/>
      <c r="K6" s="1844"/>
      <c r="L6" s="1845"/>
      <c r="M6" s="1843" t="s">
        <v>20</v>
      </c>
      <c r="N6" s="1844"/>
      <c r="O6" s="1844"/>
      <c r="P6" s="1844"/>
      <c r="Q6" s="1844"/>
      <c r="R6" s="1845"/>
      <c r="S6" s="1846" t="s">
        <v>18</v>
      </c>
      <c r="T6" s="1847"/>
      <c r="U6" s="1846" t="s">
        <v>5</v>
      </c>
      <c r="V6" s="1847"/>
      <c r="W6" s="1846" t="s">
        <v>21</v>
      </c>
      <c r="X6" s="1847"/>
      <c r="Y6" s="1850" t="s">
        <v>17</v>
      </c>
      <c r="Z6" s="1851"/>
    </row>
    <row r="7" spans="1:26" ht="15.75">
      <c r="A7" s="1829"/>
      <c r="B7" s="1834"/>
      <c r="C7" s="1835"/>
      <c r="D7" s="1836"/>
      <c r="E7" s="1854" t="s">
        <v>19</v>
      </c>
      <c r="F7" s="1855"/>
      <c r="G7" s="1856" t="s">
        <v>27</v>
      </c>
      <c r="H7" s="1857"/>
      <c r="I7" s="1854" t="s">
        <v>63</v>
      </c>
      <c r="J7" s="1855"/>
      <c r="K7" s="1856" t="s">
        <v>29</v>
      </c>
      <c r="L7" s="1857"/>
      <c r="M7" s="1854" t="s">
        <v>59</v>
      </c>
      <c r="N7" s="1855"/>
      <c r="O7" s="1379"/>
      <c r="P7" s="1379"/>
      <c r="Q7" s="1856" t="s">
        <v>31</v>
      </c>
      <c r="R7" s="1857"/>
      <c r="S7" s="1848"/>
      <c r="T7" s="1849"/>
      <c r="U7" s="1848"/>
      <c r="V7" s="1849"/>
      <c r="W7" s="1848"/>
      <c r="X7" s="1849"/>
      <c r="Y7" s="1852"/>
      <c r="Z7" s="1853"/>
    </row>
    <row r="8" spans="1:26" ht="16.5" thickBot="1">
      <c r="A8" s="1829"/>
      <c r="B8" s="1834"/>
      <c r="C8" s="1835"/>
      <c r="D8" s="1836"/>
      <c r="E8" s="844" t="s">
        <v>6</v>
      </c>
      <c r="F8" s="845" t="s">
        <v>38</v>
      </c>
      <c r="G8" s="846" t="s">
        <v>6</v>
      </c>
      <c r="H8" s="847" t="s">
        <v>38</v>
      </c>
      <c r="I8" s="844" t="s">
        <v>6</v>
      </c>
      <c r="J8" s="846" t="s">
        <v>38</v>
      </c>
      <c r="K8" s="846" t="s">
        <v>6</v>
      </c>
      <c r="L8" s="847" t="s">
        <v>38</v>
      </c>
      <c r="M8" s="844" t="s">
        <v>6</v>
      </c>
      <c r="N8" s="846" t="s">
        <v>38</v>
      </c>
      <c r="O8" s="846"/>
      <c r="P8" s="846"/>
      <c r="Q8" s="846" t="s">
        <v>6</v>
      </c>
      <c r="R8" s="847" t="s">
        <v>38</v>
      </c>
      <c r="S8" s="844" t="s">
        <v>6</v>
      </c>
      <c r="T8" s="847" t="s">
        <v>38</v>
      </c>
      <c r="U8" s="844" t="s">
        <v>6</v>
      </c>
      <c r="V8" s="847" t="s">
        <v>38</v>
      </c>
      <c r="W8" s="844" t="s">
        <v>6</v>
      </c>
      <c r="X8" s="847" t="s">
        <v>38</v>
      </c>
      <c r="Y8" s="848" t="s">
        <v>65</v>
      </c>
      <c r="Z8" s="849" t="s">
        <v>38</v>
      </c>
    </row>
    <row r="9" spans="1:26" ht="16.5" thickBot="1">
      <c r="A9" s="1830"/>
      <c r="B9" s="1837"/>
      <c r="C9" s="1838"/>
      <c r="D9" s="1839"/>
      <c r="E9" s="844">
        <v>1</v>
      </c>
      <c r="F9" s="845">
        <v>2</v>
      </c>
      <c r="G9" s="846">
        <v>3</v>
      </c>
      <c r="H9" s="847">
        <v>4</v>
      </c>
      <c r="I9" s="844">
        <v>5</v>
      </c>
      <c r="J9" s="846">
        <v>6</v>
      </c>
      <c r="K9" s="846">
        <v>7</v>
      </c>
      <c r="L9" s="847">
        <v>8</v>
      </c>
      <c r="M9" s="844">
        <v>9</v>
      </c>
      <c r="N9" s="846">
        <v>10</v>
      </c>
      <c r="O9" s="846"/>
      <c r="P9" s="846"/>
      <c r="Q9" s="846">
        <v>11</v>
      </c>
      <c r="R9" s="847">
        <v>12</v>
      </c>
      <c r="S9" s="844">
        <v>13</v>
      </c>
      <c r="T9" s="847">
        <v>14</v>
      </c>
      <c r="U9" s="844">
        <v>15</v>
      </c>
      <c r="V9" s="847">
        <v>16</v>
      </c>
      <c r="W9" s="844">
        <v>17</v>
      </c>
      <c r="X9" s="847">
        <v>18</v>
      </c>
      <c r="Y9" s="848">
        <v>19</v>
      </c>
      <c r="Z9" s="849">
        <v>20</v>
      </c>
    </row>
    <row r="10" spans="1:26" ht="15.75">
      <c r="A10" s="850">
        <v>1</v>
      </c>
      <c r="B10" s="1858" t="s">
        <v>30</v>
      </c>
      <c r="C10" s="1860" t="s">
        <v>16</v>
      </c>
      <c r="D10" s="1861"/>
      <c r="E10" s="851">
        <v>146720.23000000001</v>
      </c>
      <c r="F10" s="852">
        <v>7539.3339999999998</v>
      </c>
      <c r="G10" s="853">
        <v>64341.724000000002</v>
      </c>
      <c r="H10" s="854">
        <v>907.32100000000003</v>
      </c>
      <c r="I10" s="851">
        <v>72430.115999999995</v>
      </c>
      <c r="J10" s="853">
        <v>878.83299999999997</v>
      </c>
      <c r="K10" s="853">
        <v>381</v>
      </c>
      <c r="L10" s="854"/>
      <c r="M10" s="851">
        <v>1155</v>
      </c>
      <c r="N10" s="853">
        <v>28.507999999999999</v>
      </c>
      <c r="O10" s="853"/>
      <c r="P10" s="853"/>
      <c r="Q10" s="853">
        <v>1306</v>
      </c>
      <c r="R10" s="854">
        <v>91.974999999999994</v>
      </c>
      <c r="S10" s="851"/>
      <c r="T10" s="854"/>
      <c r="U10" s="851">
        <v>5080</v>
      </c>
      <c r="V10" s="854">
        <v>3147.7020000000002</v>
      </c>
      <c r="W10" s="855">
        <v>14043</v>
      </c>
      <c r="X10" s="856">
        <v>2555.5920000000001</v>
      </c>
      <c r="Y10" s="857">
        <f t="shared" ref="Y10:Z14" si="0">E10+G10+I10+K10+M10+Q10+S10+U10+W10</f>
        <v>305457.07</v>
      </c>
      <c r="Z10" s="858">
        <f t="shared" si="0"/>
        <v>15149.265000000003</v>
      </c>
    </row>
    <row r="11" spans="1:26" ht="15.75">
      <c r="A11" s="850">
        <v>2</v>
      </c>
      <c r="B11" s="1859"/>
      <c r="C11" s="1862" t="s">
        <v>9</v>
      </c>
      <c r="D11" s="1863"/>
      <c r="E11" s="859">
        <v>213.22300000000001</v>
      </c>
      <c r="F11" s="860"/>
      <c r="G11" s="861">
        <v>182.83199999999999</v>
      </c>
      <c r="H11" s="862">
        <v>162</v>
      </c>
      <c r="I11" s="859">
        <v>250.63800000000001</v>
      </c>
      <c r="J11" s="861">
        <v>758</v>
      </c>
      <c r="K11" s="861"/>
      <c r="L11" s="862"/>
      <c r="M11" s="859"/>
      <c r="N11" s="861"/>
      <c r="O11" s="861"/>
      <c r="P11" s="861"/>
      <c r="Q11" s="861"/>
      <c r="R11" s="862">
        <v>16</v>
      </c>
      <c r="S11" s="859"/>
      <c r="T11" s="862"/>
      <c r="U11" s="859"/>
      <c r="V11" s="862">
        <v>1310</v>
      </c>
      <c r="W11" s="863">
        <v>3.94</v>
      </c>
      <c r="X11" s="864">
        <v>292</v>
      </c>
      <c r="Y11" s="865">
        <f t="shared" si="0"/>
        <v>650.63300000000004</v>
      </c>
      <c r="Z11" s="866">
        <f t="shared" si="0"/>
        <v>2538</v>
      </c>
    </row>
    <row r="12" spans="1:26" ht="15.75">
      <c r="A12" s="867">
        <v>3</v>
      </c>
      <c r="B12" s="1859"/>
      <c r="C12" s="1864" t="s">
        <v>2</v>
      </c>
      <c r="D12" s="1865"/>
      <c r="E12" s="859">
        <v>90565.176999999996</v>
      </c>
      <c r="F12" s="860">
        <v>5396</v>
      </c>
      <c r="G12" s="861">
        <v>5145.4459999999999</v>
      </c>
      <c r="H12" s="862">
        <v>1012</v>
      </c>
      <c r="I12" s="859">
        <v>16645.545999999998</v>
      </c>
      <c r="J12" s="861">
        <v>6162</v>
      </c>
      <c r="K12" s="861">
        <v>69</v>
      </c>
      <c r="L12" s="862">
        <v>31</v>
      </c>
      <c r="M12" s="859">
        <v>466</v>
      </c>
      <c r="N12" s="861">
        <v>143</v>
      </c>
      <c r="O12" s="861"/>
      <c r="P12" s="861"/>
      <c r="Q12" s="861">
        <v>707</v>
      </c>
      <c r="R12" s="862">
        <v>145</v>
      </c>
      <c r="S12" s="859"/>
      <c r="T12" s="862"/>
      <c r="U12" s="859">
        <v>4643</v>
      </c>
      <c r="V12" s="862">
        <v>9144</v>
      </c>
      <c r="W12" s="863">
        <v>3530</v>
      </c>
      <c r="X12" s="864">
        <v>2997</v>
      </c>
      <c r="Y12" s="865">
        <f t="shared" si="0"/>
        <v>121771.16899999999</v>
      </c>
      <c r="Z12" s="866">
        <f t="shared" si="0"/>
        <v>25030</v>
      </c>
    </row>
    <row r="13" spans="1:26" ht="15.75">
      <c r="A13" s="867">
        <v>4</v>
      </c>
      <c r="B13" s="1866" t="s">
        <v>8</v>
      </c>
      <c r="C13" s="1867"/>
      <c r="D13" s="1868"/>
      <c r="E13" s="859">
        <v>3200.9569999999999</v>
      </c>
      <c r="F13" s="860"/>
      <c r="G13" s="861"/>
      <c r="H13" s="862"/>
      <c r="I13" s="859"/>
      <c r="J13" s="861"/>
      <c r="K13" s="861"/>
      <c r="L13" s="862"/>
      <c r="M13" s="859"/>
      <c r="N13" s="861"/>
      <c r="O13" s="861"/>
      <c r="P13" s="861"/>
      <c r="Q13" s="861"/>
      <c r="R13" s="862"/>
      <c r="S13" s="859"/>
      <c r="T13" s="862"/>
      <c r="U13" s="859">
        <v>6903.759</v>
      </c>
      <c r="V13" s="862">
        <v>856</v>
      </c>
      <c r="W13" s="868">
        <v>10507.721</v>
      </c>
      <c r="X13" s="869">
        <v>2855</v>
      </c>
      <c r="Y13" s="870">
        <f t="shared" si="0"/>
        <v>20612.436999999998</v>
      </c>
      <c r="Z13" s="871">
        <f t="shared" si="0"/>
        <v>3711</v>
      </c>
    </row>
    <row r="14" spans="1:26" ht="16.5" thickBot="1">
      <c r="A14" s="872">
        <v>5</v>
      </c>
      <c r="B14" s="1869" t="s">
        <v>25</v>
      </c>
      <c r="C14" s="1870"/>
      <c r="D14" s="1871"/>
      <c r="E14" s="873"/>
      <c r="F14" s="874"/>
      <c r="G14" s="875"/>
      <c r="H14" s="876"/>
      <c r="I14" s="873"/>
      <c r="J14" s="875"/>
      <c r="K14" s="875"/>
      <c r="L14" s="876"/>
      <c r="M14" s="873"/>
      <c r="N14" s="875"/>
      <c r="O14" s="875"/>
      <c r="P14" s="875"/>
      <c r="Q14" s="875"/>
      <c r="R14" s="876"/>
      <c r="S14" s="877"/>
      <c r="T14" s="878"/>
      <c r="U14" s="877"/>
      <c r="V14" s="878"/>
      <c r="W14" s="879"/>
      <c r="X14" s="878"/>
      <c r="Y14" s="880">
        <f t="shared" si="0"/>
        <v>0</v>
      </c>
      <c r="Z14" s="881">
        <f t="shared" si="0"/>
        <v>0</v>
      </c>
    </row>
    <row r="15" spans="1:26" ht="16.5" thickBot="1">
      <c r="A15" s="882">
        <v>6</v>
      </c>
      <c r="B15" s="1872" t="s">
        <v>17</v>
      </c>
      <c r="C15" s="1873"/>
      <c r="D15" s="1874"/>
      <c r="E15" s="883">
        <f>SUM(E10:E14)</f>
        <v>240699.587</v>
      </c>
      <c r="F15" s="884">
        <f t="shared" ref="F15:Z15" si="1">SUM(F10:F14)</f>
        <v>12935.333999999999</v>
      </c>
      <c r="G15" s="885">
        <f t="shared" si="1"/>
        <v>69670.002000000008</v>
      </c>
      <c r="H15" s="886">
        <f t="shared" si="1"/>
        <v>2081.3209999999999</v>
      </c>
      <c r="I15" s="883">
        <f t="shared" si="1"/>
        <v>89326.3</v>
      </c>
      <c r="J15" s="885">
        <f t="shared" si="1"/>
        <v>7798.8330000000005</v>
      </c>
      <c r="K15" s="885">
        <f t="shared" si="1"/>
        <v>450</v>
      </c>
      <c r="L15" s="886">
        <f t="shared" si="1"/>
        <v>31</v>
      </c>
      <c r="M15" s="883">
        <f t="shared" si="1"/>
        <v>1621</v>
      </c>
      <c r="N15" s="885">
        <f t="shared" si="1"/>
        <v>171.50800000000001</v>
      </c>
      <c r="O15" s="885"/>
      <c r="P15" s="885"/>
      <c r="Q15" s="885">
        <f t="shared" si="1"/>
        <v>2013</v>
      </c>
      <c r="R15" s="886">
        <f t="shared" si="1"/>
        <v>252.97499999999999</v>
      </c>
      <c r="S15" s="887">
        <f t="shared" si="1"/>
        <v>0</v>
      </c>
      <c r="T15" s="888">
        <f t="shared" si="1"/>
        <v>0</v>
      </c>
      <c r="U15" s="887">
        <f t="shared" si="1"/>
        <v>16626.758999999998</v>
      </c>
      <c r="V15" s="888">
        <f t="shared" si="1"/>
        <v>14457.702000000001</v>
      </c>
      <c r="W15" s="889">
        <f t="shared" si="1"/>
        <v>28084.661</v>
      </c>
      <c r="X15" s="888">
        <f t="shared" si="1"/>
        <v>8699.5920000000006</v>
      </c>
      <c r="Y15" s="890">
        <f t="shared" si="1"/>
        <v>448491.30899999995</v>
      </c>
      <c r="Z15" s="891">
        <f t="shared" si="1"/>
        <v>46428.264999999999</v>
      </c>
    </row>
    <row r="16" spans="1:26" ht="15.75">
      <c r="A16" s="841"/>
      <c r="B16" s="841"/>
      <c r="C16" s="841"/>
      <c r="D16" s="841"/>
      <c r="E16" s="841"/>
      <c r="F16" s="841"/>
      <c r="G16" s="841"/>
      <c r="H16" s="841"/>
      <c r="I16" s="841"/>
      <c r="J16" s="841"/>
      <c r="K16" s="841"/>
      <c r="L16" s="841"/>
      <c r="M16" s="841"/>
      <c r="N16" s="841"/>
      <c r="O16" s="841"/>
      <c r="P16" s="841"/>
      <c r="Q16" s="841"/>
      <c r="R16" s="841"/>
      <c r="S16" s="841"/>
      <c r="T16" s="841"/>
      <c r="U16" s="841"/>
      <c r="V16" s="841"/>
      <c r="W16" s="841"/>
      <c r="X16" s="841"/>
      <c r="Y16" s="841"/>
      <c r="Z16" s="841"/>
    </row>
    <row r="17" spans="1:26" ht="15.75">
      <c r="A17" s="842" t="s">
        <v>159</v>
      </c>
      <c r="B17" s="892"/>
      <c r="C17" s="892"/>
      <c r="D17" s="892"/>
      <c r="E17" s="892"/>
      <c r="F17" s="892"/>
      <c r="G17" s="892"/>
      <c r="H17" s="892"/>
      <c r="I17" s="892"/>
      <c r="J17" s="892"/>
      <c r="K17" s="892"/>
      <c r="L17" s="892"/>
      <c r="M17" s="892"/>
      <c r="N17" s="892"/>
      <c r="O17" s="892"/>
      <c r="P17" s="892"/>
      <c r="Q17" s="892"/>
      <c r="R17" s="893"/>
      <c r="S17" s="892"/>
      <c r="T17" s="892"/>
      <c r="U17" s="892"/>
      <c r="V17" s="839"/>
      <c r="W17" s="839"/>
      <c r="X17" s="839"/>
      <c r="Y17" s="840"/>
      <c r="Z17" s="840"/>
    </row>
    <row r="18" spans="1:26" s="28" customFormat="1" ht="16.5" thickBot="1">
      <c r="A18" s="842"/>
      <c r="B18" s="892"/>
      <c r="C18" s="892"/>
      <c r="D18" s="892"/>
      <c r="E18" s="892"/>
      <c r="F18" s="892"/>
      <c r="G18" s="892"/>
      <c r="H18" s="892"/>
      <c r="I18" s="892"/>
      <c r="J18" s="892"/>
      <c r="K18" s="892"/>
      <c r="L18" s="892"/>
      <c r="M18" s="892"/>
      <c r="N18" s="892"/>
      <c r="O18" s="892"/>
      <c r="P18" s="892"/>
      <c r="Q18" s="892"/>
      <c r="R18" s="893"/>
      <c r="S18" s="892"/>
      <c r="T18" s="892"/>
      <c r="U18" s="892"/>
      <c r="V18" s="839"/>
      <c r="W18" s="839"/>
      <c r="X18" s="839"/>
      <c r="Y18" s="840"/>
      <c r="Z18" s="840"/>
    </row>
    <row r="19" spans="1:26" ht="15.75">
      <c r="A19" s="1875" t="s">
        <v>1</v>
      </c>
      <c r="B19" s="1878" t="s">
        <v>7</v>
      </c>
      <c r="C19" s="1878"/>
      <c r="D19" s="1878"/>
      <c r="E19" s="1881" t="s">
        <v>32</v>
      </c>
      <c r="F19" s="1882"/>
      <c r="G19" s="1883"/>
      <c r="H19" s="1843" t="s">
        <v>34</v>
      </c>
      <c r="I19" s="1844"/>
      <c r="J19" s="1845"/>
      <c r="K19" s="1882" t="s">
        <v>17</v>
      </c>
      <c r="L19" s="1882"/>
      <c r="M19" s="1883"/>
      <c r="N19" s="841"/>
      <c r="O19" s="841"/>
      <c r="P19" s="841"/>
      <c r="Q19" s="841"/>
      <c r="R19" s="841"/>
      <c r="S19" s="841"/>
      <c r="T19" s="841"/>
      <c r="U19" s="841"/>
      <c r="V19" s="841"/>
      <c r="W19" s="839"/>
      <c r="X19" s="839"/>
      <c r="Y19" s="840"/>
      <c r="Z19" s="840"/>
    </row>
    <row r="20" spans="1:26" ht="47.25">
      <c r="A20" s="1876"/>
      <c r="B20" s="1879"/>
      <c r="C20" s="1879"/>
      <c r="D20" s="1879"/>
      <c r="E20" s="894" t="s">
        <v>66</v>
      </c>
      <c r="F20" s="895" t="s">
        <v>33</v>
      </c>
      <c r="G20" s="896" t="s">
        <v>23</v>
      </c>
      <c r="H20" s="894" t="s">
        <v>22</v>
      </c>
      <c r="I20" s="895" t="s">
        <v>33</v>
      </c>
      <c r="J20" s="896" t="s">
        <v>23</v>
      </c>
      <c r="K20" s="897" t="s">
        <v>22</v>
      </c>
      <c r="L20" s="898" t="s">
        <v>33</v>
      </c>
      <c r="M20" s="896" t="s">
        <v>23</v>
      </c>
      <c r="N20" s="841"/>
      <c r="O20" s="841"/>
      <c r="P20" s="841"/>
      <c r="Q20" s="841"/>
      <c r="R20" s="841"/>
      <c r="S20" s="841"/>
      <c r="T20" s="841"/>
      <c r="U20" s="841"/>
      <c r="V20" s="841"/>
      <c r="W20" s="841"/>
      <c r="X20" s="841"/>
      <c r="Y20" s="841"/>
      <c r="Z20" s="841"/>
    </row>
    <row r="21" spans="1:26" ht="32.25" thickBot="1">
      <c r="A21" s="1877"/>
      <c r="B21" s="1880"/>
      <c r="C21" s="1880"/>
      <c r="D21" s="1880"/>
      <c r="E21" s="844">
        <v>1</v>
      </c>
      <c r="F21" s="846">
        <v>2</v>
      </c>
      <c r="G21" s="847" t="s">
        <v>47</v>
      </c>
      <c r="H21" s="844">
        <v>4</v>
      </c>
      <c r="I21" s="846">
        <v>5</v>
      </c>
      <c r="J21" s="847" t="s">
        <v>48</v>
      </c>
      <c r="K21" s="845">
        <v>7</v>
      </c>
      <c r="L21" s="899">
        <v>8</v>
      </c>
      <c r="M21" s="847" t="s">
        <v>49</v>
      </c>
      <c r="N21" s="900"/>
      <c r="O21" s="900"/>
      <c r="P21" s="900"/>
      <c r="Q21" s="841"/>
      <c r="R21" s="841"/>
      <c r="S21" s="841"/>
      <c r="T21" s="841"/>
      <c r="U21" s="900"/>
      <c r="V21" s="900"/>
      <c r="W21" s="900"/>
      <c r="X21" s="900"/>
      <c r="Y21" s="900"/>
      <c r="Z21" s="900"/>
    </row>
    <row r="22" spans="1:26" ht="15.75">
      <c r="A22" s="901">
        <v>1</v>
      </c>
      <c r="B22" s="1885" t="s">
        <v>26</v>
      </c>
      <c r="C22" s="1887" t="s">
        <v>67</v>
      </c>
      <c r="D22" s="902" t="s">
        <v>11</v>
      </c>
      <c r="E22" s="903">
        <v>37.270000000000003</v>
      </c>
      <c r="F22" s="853">
        <v>28941.824000000001</v>
      </c>
      <c r="G22" s="854">
        <f>F22/E22/12</f>
        <v>64.712065110455228</v>
      </c>
      <c r="H22" s="904">
        <f>K22-E22</f>
        <v>12.910999999999994</v>
      </c>
      <c r="I22" s="905">
        <f>L22-F22</f>
        <v>12066.839</v>
      </c>
      <c r="J22" s="906">
        <f>I22/H22/12</f>
        <v>77.884742984018828</v>
      </c>
      <c r="K22" s="852">
        <v>50.180999999999997</v>
      </c>
      <c r="L22" s="853">
        <v>41008.663</v>
      </c>
      <c r="M22" s="907">
        <f>L22/K22/12</f>
        <v>68.101245159190398</v>
      </c>
      <c r="N22" s="841"/>
      <c r="O22" s="841"/>
      <c r="P22" s="841"/>
      <c r="Q22" s="841"/>
      <c r="R22" s="841"/>
      <c r="S22" s="908"/>
      <c r="T22" s="841"/>
      <c r="U22" s="841"/>
      <c r="V22" s="841"/>
      <c r="W22" s="841"/>
      <c r="X22" s="841"/>
      <c r="Y22" s="841"/>
      <c r="Z22" s="841"/>
    </row>
    <row r="23" spans="1:26" ht="15.75">
      <c r="A23" s="909">
        <v>2</v>
      </c>
      <c r="B23" s="1886"/>
      <c r="C23" s="1887"/>
      <c r="D23" s="910" t="s">
        <v>12</v>
      </c>
      <c r="E23" s="911">
        <v>71.194000000000003</v>
      </c>
      <c r="F23" s="861">
        <v>46318.794999999998</v>
      </c>
      <c r="G23" s="854">
        <f t="shared" ref="G23:G33" si="2">F23/E23/12</f>
        <v>54.21664161773932</v>
      </c>
      <c r="H23" s="851">
        <f t="shared" ref="H23:I31" si="3">K23-E23</f>
        <v>25.144999999999996</v>
      </c>
      <c r="I23" s="853">
        <f t="shared" si="3"/>
        <v>17944.152999999998</v>
      </c>
      <c r="J23" s="854">
        <f t="shared" ref="J23:J31" si="4">I23/H23/12</f>
        <v>59.468923576589127</v>
      </c>
      <c r="K23" s="860">
        <v>96.338999999999999</v>
      </c>
      <c r="L23" s="861">
        <v>64262.947999999997</v>
      </c>
      <c r="M23" s="907">
        <f t="shared" ref="M23:M33" si="5">L23/K23/12</f>
        <v>55.587515613268415</v>
      </c>
      <c r="N23" s="841"/>
      <c r="O23" s="841"/>
      <c r="P23" s="841"/>
      <c r="Q23" s="841"/>
      <c r="R23" s="841"/>
      <c r="S23" s="908"/>
      <c r="T23" s="841"/>
      <c r="U23" s="841"/>
      <c r="V23" s="841"/>
      <c r="W23" s="841"/>
      <c r="X23" s="841"/>
      <c r="Y23" s="841"/>
      <c r="Z23" s="841"/>
    </row>
    <row r="24" spans="1:26" ht="15.75">
      <c r="A24" s="909">
        <v>3</v>
      </c>
      <c r="B24" s="1886"/>
      <c r="C24" s="1887"/>
      <c r="D24" s="910" t="s">
        <v>13</v>
      </c>
      <c r="E24" s="911">
        <v>284.19200000000001</v>
      </c>
      <c r="F24" s="861">
        <v>129873.859</v>
      </c>
      <c r="G24" s="854">
        <f t="shared" si="2"/>
        <v>38.082780596685808</v>
      </c>
      <c r="H24" s="851">
        <f t="shared" si="3"/>
        <v>127.02999999999997</v>
      </c>
      <c r="I24" s="853">
        <f t="shared" si="3"/>
        <v>63502.915999999997</v>
      </c>
      <c r="J24" s="854">
        <f t="shared" si="4"/>
        <v>41.658739405389809</v>
      </c>
      <c r="K24" s="860">
        <v>411.22199999999998</v>
      </c>
      <c r="L24" s="861">
        <v>193376.77499999999</v>
      </c>
      <c r="M24" s="907">
        <f t="shared" si="5"/>
        <v>39.187424918900255</v>
      </c>
      <c r="N24" s="841"/>
      <c r="O24" s="841"/>
      <c r="P24" s="841"/>
      <c r="Q24" s="841"/>
      <c r="R24" s="841"/>
      <c r="S24" s="908"/>
      <c r="T24" s="841"/>
      <c r="U24" s="841"/>
      <c r="V24" s="841"/>
      <c r="W24" s="841"/>
      <c r="X24" s="841"/>
      <c r="Y24" s="841"/>
      <c r="Z24" s="841"/>
    </row>
    <row r="25" spans="1:26" ht="15.75">
      <c r="A25" s="909">
        <v>4</v>
      </c>
      <c r="B25" s="1886"/>
      <c r="C25" s="1887"/>
      <c r="D25" s="910" t="s">
        <v>14</v>
      </c>
      <c r="E25" s="911">
        <v>16.111000000000001</v>
      </c>
      <c r="F25" s="861">
        <v>5927.4759999999997</v>
      </c>
      <c r="G25" s="854">
        <f t="shared" si="2"/>
        <v>30.659570066000452</v>
      </c>
      <c r="H25" s="851">
        <f t="shared" si="3"/>
        <v>2.0590000000000011</v>
      </c>
      <c r="I25" s="853">
        <f t="shared" si="3"/>
        <v>881.20800000000054</v>
      </c>
      <c r="J25" s="854">
        <f t="shared" si="4"/>
        <v>35.664885866925694</v>
      </c>
      <c r="K25" s="860">
        <v>18.170000000000002</v>
      </c>
      <c r="L25" s="861">
        <v>6808.6840000000002</v>
      </c>
      <c r="M25" s="907">
        <f t="shared" si="5"/>
        <v>31.226765731058521</v>
      </c>
      <c r="N25" s="841"/>
      <c r="O25" s="841"/>
      <c r="P25" s="841"/>
      <c r="Q25" s="841"/>
      <c r="R25" s="841"/>
      <c r="S25" s="908"/>
      <c r="T25" s="841"/>
      <c r="U25" s="841"/>
      <c r="V25" s="841"/>
      <c r="W25" s="841"/>
      <c r="X25" s="841"/>
      <c r="Y25" s="841"/>
      <c r="Z25" s="841"/>
    </row>
    <row r="26" spans="1:26" ht="15.75">
      <c r="A26" s="909">
        <v>5</v>
      </c>
      <c r="B26" s="1886"/>
      <c r="C26" s="1887"/>
      <c r="D26" s="910" t="s">
        <v>15</v>
      </c>
      <c r="E26" s="911"/>
      <c r="F26" s="861"/>
      <c r="G26" s="854"/>
      <c r="H26" s="851"/>
      <c r="I26" s="853"/>
      <c r="J26" s="854"/>
      <c r="K26" s="860"/>
      <c r="L26" s="861"/>
      <c r="M26" s="907"/>
      <c r="N26" s="841"/>
      <c r="O26" s="841"/>
      <c r="P26" s="841"/>
      <c r="Q26" s="841"/>
      <c r="R26" s="841"/>
      <c r="S26" s="908"/>
      <c r="T26" s="841"/>
      <c r="U26" s="841"/>
      <c r="V26" s="841"/>
      <c r="W26" s="841"/>
      <c r="X26" s="841"/>
      <c r="Y26" s="841"/>
      <c r="Z26" s="841"/>
    </row>
    <row r="27" spans="1:26" s="28" customFormat="1" ht="15.75">
      <c r="A27" s="909"/>
      <c r="B27" s="1886"/>
      <c r="C27" s="1887"/>
      <c r="D27" s="910"/>
      <c r="E27" s="911"/>
      <c r="F27" s="860"/>
      <c r="G27" s="854"/>
      <c r="H27" s="851"/>
      <c r="I27" s="853"/>
      <c r="J27" s="854"/>
      <c r="K27" s="860"/>
      <c r="L27" s="861"/>
      <c r="M27" s="907"/>
      <c r="N27" s="841"/>
      <c r="O27" s="841"/>
      <c r="P27" s="841"/>
      <c r="Q27" s="841"/>
      <c r="R27" s="841"/>
      <c r="S27" s="908"/>
      <c r="T27" s="841"/>
      <c r="U27" s="841"/>
      <c r="V27" s="841"/>
      <c r="W27" s="841"/>
      <c r="X27" s="841"/>
      <c r="Y27" s="841"/>
      <c r="Z27" s="841"/>
    </row>
    <row r="28" spans="1:26" ht="15.75">
      <c r="A28" s="909">
        <v>6</v>
      </c>
      <c r="B28" s="1886"/>
      <c r="C28" s="1888"/>
      <c r="D28" s="910" t="s">
        <v>17</v>
      </c>
      <c r="E28" s="911">
        <f>SUM(E22:E26)</f>
        <v>408.767</v>
      </c>
      <c r="F28" s="859">
        <f>SUM(F22:F26)</f>
        <v>211061.954</v>
      </c>
      <c r="G28" s="854">
        <f t="shared" si="2"/>
        <v>43.028170489953119</v>
      </c>
      <c r="H28" s="851">
        <f t="shared" si="3"/>
        <v>167.14499999999992</v>
      </c>
      <c r="I28" s="853">
        <f t="shared" si="3"/>
        <v>94395.116000000009</v>
      </c>
      <c r="J28" s="854">
        <f t="shared" si="4"/>
        <v>47.062488657552848</v>
      </c>
      <c r="K28" s="860">
        <f>SUM(K22:K26)</f>
        <v>575.91199999999992</v>
      </c>
      <c r="L28" s="861">
        <v>305457.07</v>
      </c>
      <c r="M28" s="907">
        <f t="shared" si="5"/>
        <v>44.199037063532863</v>
      </c>
      <c r="N28" s="841"/>
      <c r="O28" s="841"/>
      <c r="P28" s="841"/>
      <c r="Q28" s="841"/>
      <c r="R28" s="841"/>
      <c r="S28" s="908"/>
      <c r="T28" s="841"/>
      <c r="U28" s="841"/>
      <c r="V28" s="841"/>
      <c r="W28" s="841"/>
      <c r="X28" s="841"/>
      <c r="Y28" s="841"/>
      <c r="Z28" s="841"/>
    </row>
    <row r="29" spans="1:26" ht="15.75">
      <c r="A29" s="909">
        <v>7</v>
      </c>
      <c r="B29" s="1886"/>
      <c r="C29" s="1889" t="s">
        <v>70</v>
      </c>
      <c r="D29" s="1890"/>
      <c r="E29" s="911">
        <v>0.63700000000000001</v>
      </c>
      <c r="F29" s="861">
        <v>396.04700000000003</v>
      </c>
      <c r="G29" s="854">
        <f t="shared" si="2"/>
        <v>51.811486132914702</v>
      </c>
      <c r="H29" s="851">
        <f t="shared" si="3"/>
        <v>0.69199999999999995</v>
      </c>
      <c r="I29" s="853">
        <f t="shared" si="3"/>
        <v>254.58600000000001</v>
      </c>
      <c r="J29" s="854">
        <f t="shared" si="4"/>
        <v>30.65823699421966</v>
      </c>
      <c r="K29" s="860">
        <v>1.329</v>
      </c>
      <c r="L29" s="861">
        <v>650.63300000000004</v>
      </c>
      <c r="M29" s="907">
        <f t="shared" si="5"/>
        <v>40.797153248056183</v>
      </c>
      <c r="N29" s="841"/>
      <c r="O29" s="841"/>
      <c r="P29" s="841"/>
      <c r="Q29" s="841"/>
      <c r="R29" s="841"/>
      <c r="S29" s="908"/>
      <c r="T29" s="841"/>
      <c r="U29" s="841"/>
      <c r="V29" s="841"/>
      <c r="W29" s="841"/>
      <c r="X29" s="841"/>
      <c r="Y29" s="841"/>
      <c r="Z29" s="841"/>
    </row>
    <row r="30" spans="1:26" ht="15.75">
      <c r="A30" s="909">
        <v>8</v>
      </c>
      <c r="B30" s="1858"/>
      <c r="C30" s="1891" t="s">
        <v>71</v>
      </c>
      <c r="D30" s="1892"/>
      <c r="E30" s="911">
        <v>289.08300000000003</v>
      </c>
      <c r="F30" s="861">
        <v>95710.623000000007</v>
      </c>
      <c r="G30" s="854">
        <f t="shared" si="2"/>
        <v>27.590295001781495</v>
      </c>
      <c r="H30" s="851">
        <f t="shared" si="3"/>
        <v>63.757999999999981</v>
      </c>
      <c r="I30" s="853">
        <f t="shared" si="3"/>
        <v>26060.545999999988</v>
      </c>
      <c r="J30" s="854">
        <f t="shared" si="4"/>
        <v>34.061798780806583</v>
      </c>
      <c r="K30" s="860">
        <v>352.84100000000001</v>
      </c>
      <c r="L30" s="861">
        <v>121771.16899999999</v>
      </c>
      <c r="M30" s="907">
        <f t="shared" si="5"/>
        <v>28.759688972275516</v>
      </c>
      <c r="N30" s="841"/>
      <c r="O30" s="841"/>
      <c r="P30" s="841"/>
      <c r="Q30" s="841"/>
      <c r="R30" s="841"/>
      <c r="S30" s="908"/>
      <c r="T30" s="841"/>
      <c r="U30" s="841"/>
      <c r="V30" s="841"/>
      <c r="W30" s="841"/>
      <c r="X30" s="841"/>
      <c r="Y30" s="841"/>
      <c r="Z30" s="841"/>
    </row>
    <row r="31" spans="1:26" ht="15.75">
      <c r="A31" s="909">
        <v>9</v>
      </c>
      <c r="B31" s="1893" t="s">
        <v>8</v>
      </c>
      <c r="C31" s="1893"/>
      <c r="D31" s="1893"/>
      <c r="E31" s="911">
        <v>22.116</v>
      </c>
      <c r="F31" s="861">
        <v>3200.9569999999999</v>
      </c>
      <c r="G31" s="854">
        <f t="shared" si="2"/>
        <v>12.06124148429493</v>
      </c>
      <c r="H31" s="851">
        <f t="shared" si="3"/>
        <v>69.177000000000007</v>
      </c>
      <c r="I31" s="853">
        <f t="shared" si="3"/>
        <v>17411.481</v>
      </c>
      <c r="J31" s="854">
        <f t="shared" si="4"/>
        <v>20.974554403920376</v>
      </c>
      <c r="K31" s="860">
        <v>91.293000000000006</v>
      </c>
      <c r="L31" s="861">
        <v>20612.437999999998</v>
      </c>
      <c r="M31" s="907">
        <f t="shared" si="5"/>
        <v>18.815277914699553</v>
      </c>
      <c r="N31" s="841"/>
      <c r="O31" s="841"/>
      <c r="P31" s="841"/>
      <c r="Q31" s="841"/>
      <c r="R31" s="841"/>
      <c r="S31" s="908"/>
      <c r="T31" s="841"/>
      <c r="U31" s="841"/>
      <c r="V31" s="841"/>
      <c r="W31" s="841"/>
      <c r="X31" s="841"/>
      <c r="Y31" s="841"/>
      <c r="Z31" s="841"/>
    </row>
    <row r="32" spans="1:26" ht="16.5" thickBot="1">
      <c r="A32" s="912">
        <v>10</v>
      </c>
      <c r="B32" s="1894" t="s">
        <v>25</v>
      </c>
      <c r="C32" s="1894"/>
      <c r="D32" s="1894"/>
      <c r="E32" s="913"/>
      <c r="F32" s="875"/>
      <c r="G32" s="914"/>
      <c r="H32" s="915"/>
      <c r="I32" s="916"/>
      <c r="J32" s="917"/>
      <c r="K32" s="874"/>
      <c r="L32" s="875"/>
      <c r="M32" s="918"/>
      <c r="N32" s="841"/>
      <c r="O32" s="841"/>
      <c r="P32" s="841"/>
      <c r="Q32" s="841"/>
      <c r="R32" s="841"/>
      <c r="S32" s="908"/>
      <c r="T32" s="841"/>
      <c r="U32" s="841"/>
      <c r="V32" s="841"/>
      <c r="W32" s="841"/>
      <c r="X32" s="841"/>
      <c r="Y32" s="841"/>
      <c r="Z32" s="841"/>
    </row>
    <row r="33" spans="1:26" ht="16.5" thickBot="1">
      <c r="A33" s="919">
        <v>11</v>
      </c>
      <c r="B33" s="1884" t="s">
        <v>17</v>
      </c>
      <c r="C33" s="1884"/>
      <c r="D33" s="1884"/>
      <c r="E33" s="883">
        <f>E28+E29+E30+E31+E32</f>
        <v>720.60300000000007</v>
      </c>
      <c r="F33" s="885">
        <f t="shared" ref="F33:L33" si="6">F28+F29+F30+F31+F32</f>
        <v>310369.58100000001</v>
      </c>
      <c r="G33" s="920">
        <f t="shared" si="2"/>
        <v>35.892345369086719</v>
      </c>
      <c r="H33" s="921">
        <f t="shared" si="6"/>
        <v>300.77199999999993</v>
      </c>
      <c r="I33" s="922">
        <f t="shared" si="6"/>
        <v>138121.72899999999</v>
      </c>
      <c r="J33" s="923">
        <f>I33/H33/12</f>
        <v>38.268668903133722</v>
      </c>
      <c r="K33" s="883">
        <f t="shared" si="6"/>
        <v>1021.3749999999999</v>
      </c>
      <c r="L33" s="885">
        <f t="shared" si="6"/>
        <v>448491.31</v>
      </c>
      <c r="M33" s="924">
        <f t="shared" si="5"/>
        <v>36.592119283645417</v>
      </c>
      <c r="N33" s="841"/>
      <c r="O33" s="841"/>
      <c r="P33" s="841"/>
      <c r="Q33" s="841"/>
      <c r="R33" s="841"/>
      <c r="S33" s="908"/>
      <c r="T33" s="841"/>
      <c r="U33" s="841"/>
      <c r="V33" s="841"/>
      <c r="W33" s="925"/>
      <c r="X33" s="925"/>
      <c r="Y33" s="925"/>
      <c r="Z33" s="925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14.7109375" bestFit="1" customWidth="1"/>
    <col min="6" max="6" width="13.7109375" bestFit="1" customWidth="1"/>
    <col min="7" max="7" width="11.140625" bestFit="1" customWidth="1"/>
    <col min="8" max="8" width="10.140625" bestFit="1" customWidth="1"/>
    <col min="9" max="9" width="11.140625" bestFit="1" customWidth="1"/>
    <col min="10" max="10" width="10.42578125" customWidth="1"/>
    <col min="11" max="11" width="10.140625" bestFit="1" customWidth="1"/>
    <col min="12" max="12" width="12.140625" bestFit="1" customWidth="1"/>
    <col min="13" max="13" width="11.140625" bestFit="1" customWidth="1"/>
    <col min="14" max="14" width="10.140625" bestFit="1" customWidth="1"/>
    <col min="15" max="16" width="10.140625" style="28" customWidth="1"/>
    <col min="17" max="17" width="8.7109375" bestFit="1" customWidth="1"/>
    <col min="18" max="18" width="12.140625" bestFit="1" customWidth="1"/>
    <col min="19" max="19" width="8.7109375" bestFit="1" customWidth="1"/>
    <col min="20" max="20" width="10" bestFit="1" customWidth="1"/>
    <col min="21" max="21" width="11.140625" bestFit="1" customWidth="1"/>
    <col min="22" max="22" width="8.7109375" bestFit="1" customWidth="1"/>
    <col min="23" max="23" width="11.140625" bestFit="1" customWidth="1"/>
    <col min="24" max="24" width="12.140625" bestFit="1" customWidth="1"/>
    <col min="25" max="25" width="10.85546875" bestFit="1" customWidth="1"/>
    <col min="26" max="26" width="9.85546875" bestFit="1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926">
        <v>1</v>
      </c>
      <c r="B10" s="1395" t="s">
        <v>30</v>
      </c>
      <c r="C10" s="1452" t="s">
        <v>16</v>
      </c>
      <c r="D10" s="1453"/>
      <c r="E10" s="927">
        <v>147451.91</v>
      </c>
      <c r="F10" s="928">
        <v>1139.1569999999999</v>
      </c>
      <c r="G10" s="928">
        <v>68708.248000000007</v>
      </c>
      <c r="H10" s="929">
        <v>290.89999999999998</v>
      </c>
      <c r="I10" s="927">
        <v>24340.03</v>
      </c>
      <c r="J10" s="928">
        <v>101.9</v>
      </c>
      <c r="K10" s="928">
        <v>879.14400000000001</v>
      </c>
      <c r="L10" s="929">
        <v>2.99</v>
      </c>
      <c r="M10" s="927">
        <v>13568.829</v>
      </c>
      <c r="N10" s="928">
        <v>674.86400000000003</v>
      </c>
      <c r="O10" s="928"/>
      <c r="P10" s="928"/>
      <c r="Q10" s="928">
        <v>578.947</v>
      </c>
      <c r="R10" s="929">
        <v>0</v>
      </c>
      <c r="S10" s="927">
        <v>149.62200000000001</v>
      </c>
      <c r="T10" s="929">
        <v>0</v>
      </c>
      <c r="U10" s="927">
        <v>5315.5460000000003</v>
      </c>
      <c r="V10" s="929">
        <v>5.2</v>
      </c>
      <c r="W10" s="927">
        <v>1988.0619999999999</v>
      </c>
      <c r="X10" s="929">
        <v>156</v>
      </c>
      <c r="Y10" s="340">
        <f t="shared" ref="Y10:Z14" si="0">SUM(E10,G10,I10,K10,M10,Q10,S10,U10,W10)</f>
        <v>262980.33799999999</v>
      </c>
      <c r="Z10" s="930">
        <f t="shared" si="0"/>
        <v>2371.0109999999995</v>
      </c>
    </row>
    <row r="11" spans="1:26">
      <c r="A11" s="926">
        <v>2</v>
      </c>
      <c r="B11" s="1418"/>
      <c r="C11" s="1461" t="s">
        <v>9</v>
      </c>
      <c r="D11" s="1462"/>
      <c r="E11" s="927">
        <v>3027.1889999999999</v>
      </c>
      <c r="F11" s="931">
        <v>0</v>
      </c>
      <c r="G11" s="931">
        <v>10665.308000000001</v>
      </c>
      <c r="H11" s="345">
        <v>0</v>
      </c>
      <c r="I11" s="927">
        <v>9084.5859999999993</v>
      </c>
      <c r="J11" s="931">
        <v>0</v>
      </c>
      <c r="K11" s="931">
        <v>3544.6619999999998</v>
      </c>
      <c r="L11" s="345">
        <v>0</v>
      </c>
      <c r="M11" s="927">
        <v>1127.979</v>
      </c>
      <c r="N11" s="931">
        <v>0</v>
      </c>
      <c r="O11" s="931"/>
      <c r="P11" s="931"/>
      <c r="Q11" s="931">
        <v>0</v>
      </c>
      <c r="R11" s="345">
        <v>0</v>
      </c>
      <c r="S11" s="927">
        <v>0</v>
      </c>
      <c r="T11" s="345">
        <v>0</v>
      </c>
      <c r="U11" s="927">
        <v>240.11600000000001</v>
      </c>
      <c r="V11" s="345">
        <v>32.305</v>
      </c>
      <c r="W11" s="927">
        <v>60.276000000000003</v>
      </c>
      <c r="X11" s="345">
        <v>0</v>
      </c>
      <c r="Y11" s="348">
        <f t="shared" si="0"/>
        <v>27750.116000000002</v>
      </c>
      <c r="Z11" s="932">
        <f t="shared" si="0"/>
        <v>32.305</v>
      </c>
    </row>
    <row r="12" spans="1:26">
      <c r="A12" s="134">
        <v>3</v>
      </c>
      <c r="B12" s="1418"/>
      <c r="C12" s="1405" t="s">
        <v>2</v>
      </c>
      <c r="D12" s="1406"/>
      <c r="E12" s="927">
        <v>104508.22100000001</v>
      </c>
      <c r="F12" s="931">
        <v>9580.2880000000005</v>
      </c>
      <c r="G12" s="931">
        <v>13274.696</v>
      </c>
      <c r="H12" s="345">
        <v>940.846</v>
      </c>
      <c r="I12" s="927">
        <v>2291.1759999999999</v>
      </c>
      <c r="J12" s="931">
        <v>4382.13</v>
      </c>
      <c r="K12" s="931">
        <v>95.507999999999996</v>
      </c>
      <c r="L12" s="345">
        <v>1506.45</v>
      </c>
      <c r="M12" s="927">
        <v>5620.57</v>
      </c>
      <c r="N12" s="931">
        <v>762.19600000000003</v>
      </c>
      <c r="O12" s="931"/>
      <c r="P12" s="931"/>
      <c r="Q12" s="931">
        <v>275.685</v>
      </c>
      <c r="R12" s="345">
        <v>2</v>
      </c>
      <c r="S12" s="927">
        <v>10.975</v>
      </c>
      <c r="T12" s="345">
        <v>0</v>
      </c>
      <c r="U12" s="927">
        <v>898.91600000000005</v>
      </c>
      <c r="V12" s="345">
        <v>593.43299999999999</v>
      </c>
      <c r="W12" s="927">
        <v>2647.1289999999999</v>
      </c>
      <c r="X12" s="345">
        <v>859.25699999999995</v>
      </c>
      <c r="Y12" s="348">
        <f t="shared" si="0"/>
        <v>129622.876</v>
      </c>
      <c r="Z12" s="932">
        <f t="shared" si="0"/>
        <v>18626.600000000002</v>
      </c>
    </row>
    <row r="13" spans="1:26">
      <c r="A13" s="134">
        <v>4</v>
      </c>
      <c r="B13" s="1463" t="s">
        <v>8</v>
      </c>
      <c r="C13" s="1464"/>
      <c r="D13" s="1465"/>
      <c r="E13" s="927">
        <v>2967.5889999999999</v>
      </c>
      <c r="F13" s="931">
        <v>0</v>
      </c>
      <c r="G13" s="931">
        <v>0</v>
      </c>
      <c r="H13" s="345">
        <v>0</v>
      </c>
      <c r="I13" s="927">
        <v>0</v>
      </c>
      <c r="J13" s="931">
        <v>0</v>
      </c>
      <c r="K13" s="931">
        <v>0</v>
      </c>
      <c r="L13" s="345">
        <v>0</v>
      </c>
      <c r="M13" s="927">
        <v>0</v>
      </c>
      <c r="N13" s="931">
        <v>0</v>
      </c>
      <c r="O13" s="931"/>
      <c r="P13" s="931"/>
      <c r="Q13" s="931">
        <v>0</v>
      </c>
      <c r="R13" s="345">
        <v>0</v>
      </c>
      <c r="S13" s="927">
        <v>0</v>
      </c>
      <c r="T13" s="345">
        <v>0</v>
      </c>
      <c r="U13" s="927">
        <v>1196.5</v>
      </c>
      <c r="V13" s="345">
        <v>0</v>
      </c>
      <c r="W13" s="927">
        <v>10620.403</v>
      </c>
      <c r="X13" s="345">
        <v>736.33799999999997</v>
      </c>
      <c r="Y13" s="348">
        <f t="shared" si="0"/>
        <v>14784.492</v>
      </c>
      <c r="Z13" s="932">
        <f t="shared" si="0"/>
        <v>736.33799999999997</v>
      </c>
    </row>
    <row r="14" spans="1:26" ht="15.75" thickBot="1">
      <c r="A14" s="933">
        <v>5</v>
      </c>
      <c r="B14" s="1421" t="s">
        <v>25</v>
      </c>
      <c r="C14" s="1422"/>
      <c r="D14" s="1423"/>
      <c r="E14" s="927">
        <v>0</v>
      </c>
      <c r="F14" s="934">
        <v>0</v>
      </c>
      <c r="G14" s="934">
        <v>0</v>
      </c>
      <c r="H14" s="935">
        <v>0</v>
      </c>
      <c r="I14" s="927">
        <v>0</v>
      </c>
      <c r="J14" s="934">
        <v>0</v>
      </c>
      <c r="K14" s="934">
        <v>0</v>
      </c>
      <c r="L14" s="935">
        <v>0</v>
      </c>
      <c r="M14" s="927">
        <v>0</v>
      </c>
      <c r="N14" s="934">
        <v>0</v>
      </c>
      <c r="O14" s="934"/>
      <c r="P14" s="934"/>
      <c r="Q14" s="934">
        <v>0</v>
      </c>
      <c r="R14" s="935">
        <v>0</v>
      </c>
      <c r="S14" s="927">
        <v>0</v>
      </c>
      <c r="T14" s="935">
        <v>0</v>
      </c>
      <c r="U14" s="927">
        <v>0</v>
      </c>
      <c r="V14" s="345">
        <v>0</v>
      </c>
      <c r="W14" s="927">
        <v>0</v>
      </c>
      <c r="X14" s="935">
        <v>0</v>
      </c>
      <c r="Y14" s="359">
        <f t="shared" si="0"/>
        <v>0</v>
      </c>
      <c r="Z14" s="936">
        <f t="shared" si="0"/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937">
        <f>SUM(E10:E14)</f>
        <v>257954.90900000001</v>
      </c>
      <c r="F15" s="363">
        <f t="shared" ref="F15:Z15" si="1">SUM(F10:F14)</f>
        <v>10719.445</v>
      </c>
      <c r="G15" s="363">
        <f t="shared" si="1"/>
        <v>92648.252000000008</v>
      </c>
      <c r="H15" s="363">
        <f t="shared" si="1"/>
        <v>1231.7460000000001</v>
      </c>
      <c r="I15" s="937">
        <f t="shared" si="1"/>
        <v>35715.791999999994</v>
      </c>
      <c r="J15" s="363">
        <f t="shared" si="1"/>
        <v>4484.03</v>
      </c>
      <c r="K15" s="363">
        <f t="shared" si="1"/>
        <v>4519.3139999999994</v>
      </c>
      <c r="L15" s="363">
        <f t="shared" si="1"/>
        <v>1509.44</v>
      </c>
      <c r="M15" s="937">
        <f t="shared" si="1"/>
        <v>20317.377999999997</v>
      </c>
      <c r="N15" s="363">
        <f t="shared" si="1"/>
        <v>1437.06</v>
      </c>
      <c r="O15" s="363"/>
      <c r="P15" s="363"/>
      <c r="Q15" s="363">
        <f t="shared" si="1"/>
        <v>854.63200000000006</v>
      </c>
      <c r="R15" s="363">
        <f t="shared" si="1"/>
        <v>2</v>
      </c>
      <c r="S15" s="937">
        <f t="shared" si="1"/>
        <v>160.59700000000001</v>
      </c>
      <c r="T15" s="363">
        <f t="shared" si="1"/>
        <v>0</v>
      </c>
      <c r="U15" s="937">
        <f t="shared" si="1"/>
        <v>7651.0780000000004</v>
      </c>
      <c r="V15" s="363">
        <f t="shared" si="1"/>
        <v>630.93799999999999</v>
      </c>
      <c r="W15" s="937">
        <f t="shared" si="1"/>
        <v>15315.869999999999</v>
      </c>
      <c r="X15" s="363">
        <f t="shared" si="1"/>
        <v>1751.5949999999998</v>
      </c>
      <c r="Y15" s="370">
        <f t="shared" si="1"/>
        <v>435137.82199999999</v>
      </c>
      <c r="Z15" s="938">
        <f t="shared" si="1"/>
        <v>21766.254000000001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48"/>
      <c r="V21" s="48"/>
      <c r="W21" s="48"/>
      <c r="X21" s="48"/>
      <c r="Y21" s="48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68">
        <v>49.1</v>
      </c>
      <c r="F22" s="69">
        <v>42151.826999999997</v>
      </c>
      <c r="G22" s="939">
        <v>71.540779022403257</v>
      </c>
      <c r="H22" s="68">
        <v>10.52</v>
      </c>
      <c r="I22" s="69">
        <v>6950.0010000000002</v>
      </c>
      <c r="J22" s="940"/>
      <c r="K22" s="941">
        <f t="shared" ref="K22:L31" si="2">SUM(E22,H22)</f>
        <v>59.620000000000005</v>
      </c>
      <c r="L22" s="942">
        <f t="shared" si="2"/>
        <v>49101.827999999994</v>
      </c>
      <c r="M22" s="939">
        <f t="shared" ref="M22:M32" si="3">IF(AND(ISNUMBER(K22),K22&gt;0),L22/(12*K22),0)</f>
        <v>68.631650452868158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72">
        <v>82.3</v>
      </c>
      <c r="F23" s="67">
        <v>48493.034</v>
      </c>
      <c r="G23" s="939">
        <v>49.101897529364116</v>
      </c>
      <c r="H23" s="72">
        <v>21.62</v>
      </c>
      <c r="I23" s="67">
        <v>11723.106</v>
      </c>
      <c r="J23" s="940"/>
      <c r="K23" s="943">
        <f t="shared" si="2"/>
        <v>103.92</v>
      </c>
      <c r="L23" s="944">
        <f t="shared" si="2"/>
        <v>60216.14</v>
      </c>
      <c r="M23" s="939">
        <f t="shared" si="3"/>
        <v>48.287256222735436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72">
        <v>212.35</v>
      </c>
      <c r="F24" s="67">
        <v>93414.740999999995</v>
      </c>
      <c r="G24" s="939">
        <v>36.659108782670124</v>
      </c>
      <c r="H24" s="72">
        <v>48.29</v>
      </c>
      <c r="I24" s="67">
        <v>21411.14</v>
      </c>
      <c r="J24" s="940"/>
      <c r="K24" s="943">
        <f t="shared" si="2"/>
        <v>260.64</v>
      </c>
      <c r="L24" s="944">
        <f t="shared" si="2"/>
        <v>114825.88099999999</v>
      </c>
      <c r="M24" s="939">
        <f t="shared" si="3"/>
        <v>36.712797025271129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72">
        <v>88.78</v>
      </c>
      <c r="F25" s="67">
        <v>31136.989000000001</v>
      </c>
      <c r="G25" s="939">
        <v>29.226729931666288</v>
      </c>
      <c r="H25" s="72">
        <v>10.6</v>
      </c>
      <c r="I25" s="67">
        <v>4216.5169999999998</v>
      </c>
      <c r="J25" s="940"/>
      <c r="K25" s="943">
        <f t="shared" si="2"/>
        <v>99.38</v>
      </c>
      <c r="L25" s="944">
        <f t="shared" si="2"/>
        <v>35353.506000000001</v>
      </c>
      <c r="M25" s="939">
        <f t="shared" si="3"/>
        <v>29.645054336888712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72">
        <v>0</v>
      </c>
      <c r="F26" s="67">
        <v>0</v>
      </c>
      <c r="G26" s="939">
        <f t="shared" ref="G26:G32" si="4">IF(AND(ISNUMBER(E26),E26&gt;0),F26/(12*E26),0)</f>
        <v>0</v>
      </c>
      <c r="H26" s="72">
        <v>1.36</v>
      </c>
      <c r="I26" s="67">
        <v>944.76900000000001</v>
      </c>
      <c r="J26" s="940"/>
      <c r="K26" s="943">
        <f t="shared" si="2"/>
        <v>1.36</v>
      </c>
      <c r="L26" s="944">
        <f t="shared" si="2"/>
        <v>944.76900000000001</v>
      </c>
      <c r="M26" s="939">
        <f t="shared" si="3"/>
        <v>57.890257352941177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>
        <v>543.827</v>
      </c>
      <c r="B27" s="1394"/>
      <c r="C27" s="1459"/>
      <c r="D27" s="133"/>
      <c r="E27" s="72"/>
      <c r="F27" s="67"/>
      <c r="G27" s="939"/>
      <c r="H27" s="72"/>
      <c r="I27" s="67"/>
      <c r="J27" s="940"/>
      <c r="K27" s="943"/>
      <c r="L27" s="944"/>
      <c r="M27" s="939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945">
        <f>SUM(E22:E26)</f>
        <v>432.53</v>
      </c>
      <c r="F28" s="944">
        <f>SUM(F22:F26)</f>
        <v>215196.59100000001</v>
      </c>
      <c r="G28" s="939">
        <f t="shared" si="4"/>
        <v>41.460821792708025</v>
      </c>
      <c r="H28" s="945">
        <f>SUM(H22:H26)</f>
        <v>92.39</v>
      </c>
      <c r="I28" s="944">
        <f>SUM(I22:I26)</f>
        <v>45245.533000000003</v>
      </c>
      <c r="J28" s="940"/>
      <c r="K28" s="943">
        <f t="shared" si="2"/>
        <v>524.91999999999996</v>
      </c>
      <c r="L28" s="944">
        <f t="shared" si="2"/>
        <v>260442.12400000001</v>
      </c>
      <c r="M28" s="939">
        <f t="shared" si="3"/>
        <v>41.346320074170038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72">
        <v>27.65</v>
      </c>
      <c r="F29" s="67">
        <v>14461.605</v>
      </c>
      <c r="G29" s="939">
        <f t="shared" si="4"/>
        <v>43.585307414104889</v>
      </c>
      <c r="H29" s="72">
        <v>34.909999999999997</v>
      </c>
      <c r="I29" s="67">
        <v>15826.725</v>
      </c>
      <c r="J29" s="940"/>
      <c r="K29" s="943">
        <f t="shared" si="2"/>
        <v>62.559999999999995</v>
      </c>
      <c r="L29" s="944">
        <f t="shared" si="2"/>
        <v>30288.33</v>
      </c>
      <c r="M29" s="939">
        <f t="shared" si="3"/>
        <v>40.345708120204613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72">
        <v>371.49</v>
      </c>
      <c r="F30" s="67">
        <v>117433.549</v>
      </c>
      <c r="G30" s="939">
        <f t="shared" si="4"/>
        <v>26.34291389629151</v>
      </c>
      <c r="H30" s="72">
        <v>30.83</v>
      </c>
      <c r="I30" s="67">
        <v>12189.326999999999</v>
      </c>
      <c r="J30" s="940"/>
      <c r="K30" s="943">
        <f t="shared" si="2"/>
        <v>402.32</v>
      </c>
      <c r="L30" s="944">
        <f t="shared" si="2"/>
        <v>129622.876</v>
      </c>
      <c r="M30" s="939">
        <f t="shared" si="3"/>
        <v>26.84904139325247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72">
        <v>17.52</v>
      </c>
      <c r="F31" s="67">
        <v>2967.5889999999999</v>
      </c>
      <c r="G31" s="939">
        <f t="shared" si="4"/>
        <v>14.115244482496195</v>
      </c>
      <c r="H31" s="72">
        <v>46.19</v>
      </c>
      <c r="I31" s="67">
        <v>11816.903</v>
      </c>
      <c r="J31" s="940"/>
      <c r="K31" s="943">
        <f t="shared" si="2"/>
        <v>63.709999999999994</v>
      </c>
      <c r="L31" s="944">
        <f t="shared" si="2"/>
        <v>14784.492</v>
      </c>
      <c r="M31" s="939">
        <f t="shared" si="3"/>
        <v>19.338267148014442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80">
        <v>0</v>
      </c>
      <c r="F32" s="78">
        <v>0</v>
      </c>
      <c r="G32" s="946">
        <f t="shared" si="4"/>
        <v>0</v>
      </c>
      <c r="H32" s="80">
        <v>0</v>
      </c>
      <c r="I32" s="78">
        <v>0</v>
      </c>
      <c r="J32" s="947"/>
      <c r="K32" s="948">
        <f>SUM(E32,H32)</f>
        <v>0</v>
      </c>
      <c r="L32" s="949">
        <f>SUM(F32,I32)</f>
        <v>0</v>
      </c>
      <c r="M32" s="946">
        <f t="shared" si="3"/>
        <v>0</v>
      </c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950">
        <f t="shared" ref="E33:L33" si="5">SUM(E28:E32)</f>
        <v>849.18999999999994</v>
      </c>
      <c r="F33" s="951">
        <f t="shared" si="5"/>
        <v>350059.33399999997</v>
      </c>
      <c r="G33" s="952">
        <f>IF(AND(ISNUMBER(E33),E33&gt;0),F33/(12*E33),0)</f>
        <v>34.352278249469101</v>
      </c>
      <c r="H33" s="950">
        <f t="shared" si="5"/>
        <v>204.32</v>
      </c>
      <c r="I33" s="951">
        <f t="shared" si="5"/>
        <v>85078.488000000012</v>
      </c>
      <c r="J33" s="953"/>
      <c r="K33" s="950">
        <f t="shared" si="5"/>
        <v>1053.51</v>
      </c>
      <c r="L33" s="951">
        <f t="shared" si="5"/>
        <v>435137.82200000004</v>
      </c>
      <c r="M33" s="954">
        <f>IF(AND(ISNUMBER(K33),K33&gt;0),L33/(12*K33),0)</f>
        <v>34.419687678965246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50"/>
    </row>
    <row r="34" spans="1:26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7.5703125" customWidth="1"/>
    <col min="3" max="3" width="12" customWidth="1"/>
    <col min="4" max="4" width="16.28515625" customWidth="1"/>
    <col min="5" max="14" width="10.7109375" customWidth="1"/>
    <col min="15" max="16" width="10.7109375" style="28" customWidth="1"/>
    <col min="17" max="26" width="10.7109375" customWidth="1"/>
  </cols>
  <sheetData>
    <row r="1" spans="1:26" ht="15.75">
      <c r="A1" s="59" t="s">
        <v>51</v>
      </c>
      <c r="B1" s="955"/>
      <c r="C1" s="955"/>
      <c r="D1" s="955"/>
      <c r="E1" s="955"/>
      <c r="F1" s="955"/>
      <c r="G1" s="955"/>
      <c r="H1" s="955"/>
      <c r="I1" s="956"/>
      <c r="J1" s="956"/>
      <c r="K1" s="956"/>
      <c r="L1" s="956"/>
      <c r="M1" s="956"/>
      <c r="N1" s="956"/>
      <c r="O1" s="956"/>
      <c r="P1" s="956"/>
      <c r="Q1" s="957"/>
      <c r="R1" s="957"/>
      <c r="S1" s="957"/>
      <c r="T1" s="957"/>
      <c r="U1" s="957"/>
      <c r="V1" s="957"/>
      <c r="W1" s="956"/>
      <c r="X1" s="956"/>
      <c r="Y1" s="60"/>
      <c r="Z1" s="60"/>
    </row>
    <row r="2" spans="1:26">
      <c r="A2" s="958"/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958"/>
      <c r="S2" s="958"/>
      <c r="T2" s="958"/>
      <c r="U2" s="958"/>
      <c r="V2" s="958"/>
      <c r="W2" s="958"/>
      <c r="X2" s="958"/>
      <c r="Y2" s="958"/>
      <c r="Z2" s="958"/>
    </row>
    <row r="3" spans="1:26">
      <c r="A3" s="959" t="s">
        <v>57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958"/>
      <c r="Q3" s="958"/>
      <c r="R3" s="958"/>
      <c r="S3" s="958"/>
      <c r="T3" s="958"/>
      <c r="U3" s="958"/>
      <c r="V3" s="958"/>
      <c r="W3" s="958"/>
      <c r="X3" s="958"/>
      <c r="Y3" s="958"/>
      <c r="Z3" s="958"/>
    </row>
    <row r="4" spans="1:26" ht="15.75" thickBot="1">
      <c r="A4" s="958"/>
      <c r="B4" s="958"/>
      <c r="C4" s="958"/>
      <c r="D4" s="958"/>
      <c r="E4" s="958"/>
      <c r="F4" s="958"/>
      <c r="G4" s="958"/>
      <c r="H4" s="958"/>
      <c r="I4" s="958"/>
      <c r="J4" s="958"/>
      <c r="K4" s="958"/>
      <c r="L4" s="958"/>
      <c r="M4" s="958"/>
      <c r="N4" s="958"/>
      <c r="O4" s="958"/>
      <c r="P4" s="958"/>
      <c r="Q4" s="958"/>
      <c r="R4" s="956"/>
      <c r="S4" s="958"/>
      <c r="T4" s="958"/>
      <c r="U4" s="958"/>
      <c r="V4" s="958"/>
      <c r="W4" s="958"/>
      <c r="X4" s="958"/>
      <c r="Y4" s="958"/>
      <c r="Z4" s="960" t="s">
        <v>4</v>
      </c>
    </row>
    <row r="5" spans="1:26" ht="15.75" customHeight="1" thickBot="1">
      <c r="A5" s="1443" t="s">
        <v>1</v>
      </c>
      <c r="B5" s="1431" t="s">
        <v>7</v>
      </c>
      <c r="C5" s="1432"/>
      <c r="D5" s="1433"/>
      <c r="E5" s="1909" t="s">
        <v>35</v>
      </c>
      <c r="F5" s="1910"/>
      <c r="G5" s="1910"/>
      <c r="H5" s="1910"/>
      <c r="I5" s="1910"/>
      <c r="J5" s="1910"/>
      <c r="K5" s="1910"/>
      <c r="L5" s="1910"/>
      <c r="M5" s="1910"/>
      <c r="N5" s="1910"/>
      <c r="O5" s="1910"/>
      <c r="P5" s="1910"/>
      <c r="Q5" s="1910"/>
      <c r="R5" s="1910"/>
      <c r="S5" s="1910"/>
      <c r="T5" s="1910"/>
      <c r="U5" s="1910"/>
      <c r="V5" s="1910"/>
      <c r="W5" s="1910"/>
      <c r="X5" s="1910"/>
      <c r="Y5" s="1910"/>
      <c r="Z5" s="1911"/>
    </row>
    <row r="6" spans="1:26" ht="15" customHeight="1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912" t="s">
        <v>17</v>
      </c>
      <c r="Z6" s="1913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157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914"/>
      <c r="Z7" s="1915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126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68">
        <v>289213.18199999997</v>
      </c>
      <c r="F10" s="71">
        <v>4602.97</v>
      </c>
      <c r="G10" s="69">
        <v>225226.65700000001</v>
      </c>
      <c r="H10" s="70">
        <v>105.92</v>
      </c>
      <c r="I10" s="68">
        <v>32355.384999999998</v>
      </c>
      <c r="J10" s="69">
        <v>178</v>
      </c>
      <c r="K10" s="69">
        <v>3907.9389999999999</v>
      </c>
      <c r="L10" s="70">
        <v>0</v>
      </c>
      <c r="M10" s="68">
        <v>2743.491</v>
      </c>
      <c r="N10" s="69">
        <v>206.3</v>
      </c>
      <c r="O10" s="69"/>
      <c r="P10" s="69"/>
      <c r="Q10" s="69">
        <v>0</v>
      </c>
      <c r="R10" s="70">
        <v>0</v>
      </c>
      <c r="S10" s="68">
        <v>31187.277999999998</v>
      </c>
      <c r="T10" s="70">
        <v>337.4</v>
      </c>
      <c r="U10" s="68">
        <v>25562.503000000001</v>
      </c>
      <c r="V10" s="70">
        <v>137.88</v>
      </c>
      <c r="W10" s="961">
        <v>70999.159</v>
      </c>
      <c r="X10" s="962">
        <v>2619.85</v>
      </c>
      <c r="Y10" s="963">
        <f t="shared" ref="Y10:Z13" si="0">E10+G10+I10+K10+M10+S10+U10+W10</f>
        <v>681195.59400000004</v>
      </c>
      <c r="Z10" s="964">
        <f t="shared" si="0"/>
        <v>8188.32</v>
      </c>
    </row>
    <row r="11" spans="1:26">
      <c r="A11" s="30">
        <v>2</v>
      </c>
      <c r="B11" s="1418"/>
      <c r="C11" s="1461" t="s">
        <v>9</v>
      </c>
      <c r="D11" s="1462"/>
      <c r="E11" s="72">
        <v>7128.2240000000002</v>
      </c>
      <c r="F11" s="75">
        <v>537.42200000000003</v>
      </c>
      <c r="G11" s="67">
        <v>47322.074000000001</v>
      </c>
      <c r="H11" s="74">
        <v>192</v>
      </c>
      <c r="I11" s="72">
        <v>39546.347000000002</v>
      </c>
      <c r="J11" s="67">
        <v>551.1</v>
      </c>
      <c r="K11" s="67">
        <v>9246.2559999999994</v>
      </c>
      <c r="L11" s="74">
        <v>0</v>
      </c>
      <c r="M11" s="72">
        <v>7504.3909999999996</v>
      </c>
      <c r="N11" s="67">
        <v>0</v>
      </c>
      <c r="O11" s="67"/>
      <c r="P11" s="67"/>
      <c r="Q11" s="67">
        <v>0</v>
      </c>
      <c r="R11" s="74">
        <v>0</v>
      </c>
      <c r="S11" s="72">
        <v>3807.1089999999999</v>
      </c>
      <c r="T11" s="74">
        <v>16</v>
      </c>
      <c r="U11" s="72">
        <v>14693.433999999999</v>
      </c>
      <c r="V11" s="74">
        <v>80.73</v>
      </c>
      <c r="W11" s="965">
        <v>62960.995999999999</v>
      </c>
      <c r="X11" s="966">
        <v>450.15</v>
      </c>
      <c r="Y11" s="967">
        <f t="shared" si="0"/>
        <v>192208.83100000001</v>
      </c>
      <c r="Z11" s="968">
        <f t="shared" si="0"/>
        <v>1827.402</v>
      </c>
    </row>
    <row r="12" spans="1:26">
      <c r="A12" s="33">
        <v>3</v>
      </c>
      <c r="B12" s="1418"/>
      <c r="C12" s="1405" t="s">
        <v>2</v>
      </c>
      <c r="D12" s="1406"/>
      <c r="E12" s="72">
        <v>272279.35700000002</v>
      </c>
      <c r="F12" s="75">
        <v>10745.205</v>
      </c>
      <c r="G12" s="67">
        <v>81604.350999999995</v>
      </c>
      <c r="H12" s="74">
        <v>3503.279</v>
      </c>
      <c r="I12" s="72">
        <v>40388.436000000002</v>
      </c>
      <c r="J12" s="67">
        <v>9510.2849999999999</v>
      </c>
      <c r="K12" s="67">
        <v>5501.1639999999998</v>
      </c>
      <c r="L12" s="74">
        <v>628.69399999999996</v>
      </c>
      <c r="M12" s="72">
        <v>12282.724</v>
      </c>
      <c r="N12" s="67">
        <v>278.92</v>
      </c>
      <c r="O12" s="67"/>
      <c r="P12" s="67"/>
      <c r="Q12" s="67">
        <v>0</v>
      </c>
      <c r="R12" s="74">
        <v>0</v>
      </c>
      <c r="S12" s="72">
        <v>39868.576999999997</v>
      </c>
      <c r="T12" s="74">
        <v>2106.2179999999998</v>
      </c>
      <c r="U12" s="72">
        <v>30450.696</v>
      </c>
      <c r="V12" s="74">
        <v>22532.972000000002</v>
      </c>
      <c r="W12" s="965">
        <v>93625.03</v>
      </c>
      <c r="X12" s="966">
        <v>19568.988000000001</v>
      </c>
      <c r="Y12" s="967">
        <f t="shared" si="0"/>
        <v>576000.33499999996</v>
      </c>
      <c r="Z12" s="968">
        <f t="shared" si="0"/>
        <v>68874.561000000002</v>
      </c>
    </row>
    <row r="13" spans="1:26">
      <c r="A13" s="33">
        <v>4</v>
      </c>
      <c r="B13" s="1463" t="s">
        <v>8</v>
      </c>
      <c r="C13" s="1464"/>
      <c r="D13" s="1465"/>
      <c r="E13" s="72">
        <v>10183.465</v>
      </c>
      <c r="F13" s="75">
        <v>19.507000000000001</v>
      </c>
      <c r="G13" s="67">
        <v>0</v>
      </c>
      <c r="H13" s="74">
        <v>0</v>
      </c>
      <c r="I13" s="72">
        <v>0</v>
      </c>
      <c r="J13" s="67">
        <v>0</v>
      </c>
      <c r="K13" s="67">
        <v>0</v>
      </c>
      <c r="L13" s="74">
        <v>0</v>
      </c>
      <c r="M13" s="72">
        <v>0</v>
      </c>
      <c r="N13" s="67">
        <v>0</v>
      </c>
      <c r="O13" s="67"/>
      <c r="P13" s="67"/>
      <c r="Q13" s="67">
        <v>0</v>
      </c>
      <c r="R13" s="74">
        <v>0</v>
      </c>
      <c r="S13" s="72">
        <v>0</v>
      </c>
      <c r="T13" s="74">
        <v>0</v>
      </c>
      <c r="U13" s="72">
        <v>2832.72</v>
      </c>
      <c r="V13" s="74">
        <v>340.584</v>
      </c>
      <c r="W13" s="965">
        <v>29402.657999999999</v>
      </c>
      <c r="X13" s="966">
        <v>435.38499999999999</v>
      </c>
      <c r="Y13" s="967">
        <f t="shared" si="0"/>
        <v>42418.843000000001</v>
      </c>
      <c r="Z13" s="968">
        <f t="shared" si="0"/>
        <v>795.476</v>
      </c>
    </row>
    <row r="14" spans="1:26" ht="15.75" thickBot="1">
      <c r="A14" s="36">
        <v>5</v>
      </c>
      <c r="B14" s="1421" t="s">
        <v>25</v>
      </c>
      <c r="C14" s="1422"/>
      <c r="D14" s="1423"/>
      <c r="E14" s="104"/>
      <c r="F14" s="719"/>
      <c r="G14" s="105"/>
      <c r="H14" s="106"/>
      <c r="I14" s="104"/>
      <c r="J14" s="105"/>
      <c r="K14" s="105"/>
      <c r="L14" s="106"/>
      <c r="M14" s="104"/>
      <c r="N14" s="105"/>
      <c r="O14" s="105"/>
      <c r="P14" s="105"/>
      <c r="Q14" s="105"/>
      <c r="R14" s="106"/>
      <c r="S14" s="128"/>
      <c r="T14" s="969"/>
      <c r="U14" s="128"/>
      <c r="V14" s="969"/>
      <c r="W14" s="970"/>
      <c r="X14" s="969"/>
      <c r="Y14" s="971"/>
      <c r="Z14" s="972"/>
    </row>
    <row r="15" spans="1:26" ht="15.75" thickBot="1">
      <c r="A15" s="37">
        <v>6</v>
      </c>
      <c r="B15" s="1399" t="s">
        <v>17</v>
      </c>
      <c r="C15" s="1400"/>
      <c r="D15" s="1401"/>
      <c r="E15" s="118">
        <f>SUM(E10:E14)</f>
        <v>578804.228</v>
      </c>
      <c r="F15" s="720">
        <f t="shared" ref="F15:Z15" si="1">SUM(F10:F14)</f>
        <v>15905.103999999999</v>
      </c>
      <c r="G15" s="119">
        <f t="shared" si="1"/>
        <v>354153.08200000005</v>
      </c>
      <c r="H15" s="120">
        <f t="shared" si="1"/>
        <v>3801.1990000000001</v>
      </c>
      <c r="I15" s="118">
        <f t="shared" si="1"/>
        <v>112290.16800000001</v>
      </c>
      <c r="J15" s="119">
        <f t="shared" si="1"/>
        <v>10239.385</v>
      </c>
      <c r="K15" s="119">
        <f t="shared" si="1"/>
        <v>18655.359</v>
      </c>
      <c r="L15" s="120">
        <f t="shared" si="1"/>
        <v>628.69399999999996</v>
      </c>
      <c r="M15" s="118">
        <f t="shared" si="1"/>
        <v>22530.606</v>
      </c>
      <c r="N15" s="119">
        <f t="shared" si="1"/>
        <v>485.22</v>
      </c>
      <c r="O15" s="119"/>
      <c r="P15" s="119"/>
      <c r="Q15" s="119">
        <f t="shared" si="1"/>
        <v>0</v>
      </c>
      <c r="R15" s="120">
        <f t="shared" si="1"/>
        <v>0</v>
      </c>
      <c r="S15" s="973">
        <f t="shared" si="1"/>
        <v>74862.963999999993</v>
      </c>
      <c r="T15" s="974">
        <f t="shared" si="1"/>
        <v>2459.6179999999999</v>
      </c>
      <c r="U15" s="973">
        <f t="shared" si="1"/>
        <v>73539.353000000003</v>
      </c>
      <c r="V15" s="974">
        <f t="shared" si="1"/>
        <v>23092.166000000001</v>
      </c>
      <c r="W15" s="975">
        <f t="shared" si="1"/>
        <v>256987.84299999999</v>
      </c>
      <c r="X15" s="974">
        <f t="shared" si="1"/>
        <v>23074.373</v>
      </c>
      <c r="Y15" s="820">
        <f t="shared" si="1"/>
        <v>1491823.6030000001</v>
      </c>
      <c r="Z15" s="976">
        <f t="shared" si="1"/>
        <v>79685.758999999991</v>
      </c>
    </row>
    <row r="16" spans="1:26">
      <c r="A16" s="958"/>
      <c r="B16" s="958"/>
      <c r="C16" s="958"/>
      <c r="D16" s="958"/>
      <c r="E16" s="958"/>
      <c r="F16" s="958"/>
      <c r="G16" s="958"/>
      <c r="H16" s="958"/>
      <c r="I16" s="958"/>
      <c r="J16" s="958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/>
      <c r="Z16" s="958"/>
    </row>
    <row r="17" spans="1:26">
      <c r="A17" s="959" t="s">
        <v>58</v>
      </c>
      <c r="B17" s="977"/>
      <c r="C17" s="977"/>
      <c r="D17" s="977"/>
      <c r="E17" s="977"/>
      <c r="F17" s="977"/>
      <c r="G17" s="977"/>
      <c r="H17" s="977"/>
      <c r="I17" s="977"/>
      <c r="J17" s="977"/>
      <c r="K17" s="977"/>
      <c r="L17" s="977"/>
      <c r="M17" s="977"/>
      <c r="N17" s="977"/>
      <c r="O17" s="977"/>
      <c r="P17" s="977"/>
      <c r="Q17" s="977"/>
      <c r="R17" s="977"/>
      <c r="S17" s="977"/>
      <c r="T17" s="977"/>
      <c r="U17" s="977"/>
      <c r="V17" s="977"/>
      <c r="W17" s="977"/>
      <c r="X17" s="977"/>
      <c r="Y17" s="977"/>
      <c r="Z17" s="977"/>
    </row>
    <row r="18" spans="1:26" ht="15.75" thickBot="1">
      <c r="A18" s="959"/>
      <c r="B18" s="977"/>
      <c r="C18" s="977"/>
      <c r="D18" s="977"/>
      <c r="E18" s="977"/>
      <c r="F18" s="977"/>
      <c r="G18" s="977"/>
      <c r="H18" s="977"/>
      <c r="I18" s="977"/>
      <c r="J18" s="977"/>
      <c r="K18" s="977"/>
      <c r="L18" s="977"/>
      <c r="M18" s="978" t="s">
        <v>4</v>
      </c>
      <c r="N18" s="958"/>
      <c r="O18" s="958"/>
      <c r="P18" s="958"/>
      <c r="Q18" s="958"/>
      <c r="R18" s="958"/>
      <c r="S18" s="958"/>
      <c r="T18" s="958"/>
      <c r="U18" s="958"/>
      <c r="V18" s="958"/>
      <c r="W18" s="958"/>
      <c r="X18" s="958"/>
      <c r="Y18" s="958"/>
      <c r="Z18" s="958"/>
    </row>
    <row r="19" spans="1:26">
      <c r="A19" s="1895" t="s">
        <v>1</v>
      </c>
      <c r="B19" s="1898" t="s">
        <v>7</v>
      </c>
      <c r="C19" s="1898"/>
      <c r="D19" s="1898"/>
      <c r="E19" s="1901" t="s">
        <v>32</v>
      </c>
      <c r="F19" s="1902"/>
      <c r="G19" s="1903"/>
      <c r="H19" s="1904" t="s">
        <v>34</v>
      </c>
      <c r="I19" s="1905"/>
      <c r="J19" s="1906"/>
      <c r="K19" s="1902" t="s">
        <v>17</v>
      </c>
      <c r="L19" s="1902"/>
      <c r="M19" s="1903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8"/>
      <c r="Y19" s="958"/>
      <c r="Z19" s="958"/>
    </row>
    <row r="20" spans="1:26" ht="38.25">
      <c r="A20" s="1896"/>
      <c r="B20" s="1899"/>
      <c r="C20" s="1899"/>
      <c r="D20" s="1899"/>
      <c r="E20" s="979" t="s">
        <v>22</v>
      </c>
      <c r="F20" s="980" t="s">
        <v>33</v>
      </c>
      <c r="G20" s="981" t="s">
        <v>23</v>
      </c>
      <c r="H20" s="979" t="s">
        <v>22</v>
      </c>
      <c r="I20" s="980" t="s">
        <v>33</v>
      </c>
      <c r="J20" s="981" t="s">
        <v>23</v>
      </c>
      <c r="K20" s="982" t="s">
        <v>22</v>
      </c>
      <c r="L20" s="61" t="s">
        <v>33</v>
      </c>
      <c r="M20" s="981" t="s">
        <v>23</v>
      </c>
      <c r="N20" s="958"/>
      <c r="O20" s="958"/>
      <c r="P20" s="958"/>
      <c r="Q20" s="958"/>
      <c r="R20" s="958"/>
      <c r="S20" s="958"/>
      <c r="T20" s="958"/>
      <c r="U20" s="958"/>
      <c r="V20" s="958"/>
      <c r="W20" s="958"/>
      <c r="X20" s="958"/>
      <c r="Y20" s="958"/>
      <c r="Z20" s="958"/>
    </row>
    <row r="21" spans="1:26" ht="26.25" thickBot="1">
      <c r="A21" s="1897"/>
      <c r="B21" s="1900"/>
      <c r="C21" s="1900"/>
      <c r="D21" s="1900"/>
      <c r="E21" s="707">
        <v>1</v>
      </c>
      <c r="F21" s="708">
        <v>2</v>
      </c>
      <c r="G21" s="709" t="s">
        <v>47</v>
      </c>
      <c r="H21" s="707">
        <v>4</v>
      </c>
      <c r="I21" s="708">
        <v>5</v>
      </c>
      <c r="J21" s="709" t="s">
        <v>48</v>
      </c>
      <c r="K21" s="983">
        <v>7</v>
      </c>
      <c r="L21" s="984">
        <v>8</v>
      </c>
      <c r="M21" s="709" t="s">
        <v>49</v>
      </c>
      <c r="N21" s="985"/>
      <c r="O21" s="985"/>
      <c r="P21" s="985"/>
      <c r="Q21" s="958"/>
      <c r="R21" s="958"/>
      <c r="S21" s="958"/>
      <c r="T21" s="958"/>
      <c r="U21" s="985"/>
      <c r="V21" s="985"/>
      <c r="W21" s="985"/>
      <c r="X21" s="985"/>
      <c r="Y21" s="985"/>
      <c r="Z21" s="985"/>
    </row>
    <row r="22" spans="1:26">
      <c r="A22" s="986">
        <v>1</v>
      </c>
      <c r="B22" s="1916" t="s">
        <v>26</v>
      </c>
      <c r="C22" s="1919" t="s">
        <v>16</v>
      </c>
      <c r="D22" s="987" t="s">
        <v>11</v>
      </c>
      <c r="E22" s="988">
        <v>106.627</v>
      </c>
      <c r="F22" s="989">
        <v>109572.042</v>
      </c>
      <c r="G22" s="990">
        <f>F22/0.012/E22</f>
        <v>85635.003329363113</v>
      </c>
      <c r="H22" s="991">
        <f>K22-E22</f>
        <v>26.900999999999996</v>
      </c>
      <c r="I22" s="992">
        <f>L22-F22</f>
        <v>31996.009999999995</v>
      </c>
      <c r="J22" s="993">
        <f>I22/0.012/H22</f>
        <v>99116.544614202678</v>
      </c>
      <c r="K22" s="994">
        <v>133.52799999999999</v>
      </c>
      <c r="L22" s="989">
        <v>141568.052</v>
      </c>
      <c r="M22" s="990">
        <f>L22/0.012/K22</f>
        <v>88351.039981626833</v>
      </c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95"/>
      <c r="Y22" s="958"/>
      <c r="Z22" s="996"/>
    </row>
    <row r="23" spans="1:26">
      <c r="A23" s="997">
        <v>2</v>
      </c>
      <c r="B23" s="1917"/>
      <c r="C23" s="1919"/>
      <c r="D23" s="998" t="s">
        <v>12</v>
      </c>
      <c r="E23" s="999">
        <v>218.08699999999999</v>
      </c>
      <c r="F23" s="1000">
        <v>166143.52600000001</v>
      </c>
      <c r="G23" s="1001">
        <f>F23/0.012/E23</f>
        <v>63485.186340008047</v>
      </c>
      <c r="H23" s="1002">
        <f>K23-E23</f>
        <v>54.727000000000032</v>
      </c>
      <c r="I23" s="1003">
        <f>L23-F23</f>
        <v>59413.617999999988</v>
      </c>
      <c r="J23" s="1004">
        <f>I23/0.012/H23</f>
        <v>90469.69198628336</v>
      </c>
      <c r="K23" s="1005">
        <v>272.81400000000002</v>
      </c>
      <c r="L23" s="1000">
        <v>225557.144</v>
      </c>
      <c r="M23" s="990">
        <f t="shared" ref="M23:M31" si="2">L23/0.012/K23</f>
        <v>68898.328775893708</v>
      </c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1006"/>
    </row>
    <row r="24" spans="1:26">
      <c r="A24" s="997">
        <v>3</v>
      </c>
      <c r="B24" s="1917"/>
      <c r="C24" s="1919"/>
      <c r="D24" s="998" t="s">
        <v>13</v>
      </c>
      <c r="E24" s="999">
        <v>412.904</v>
      </c>
      <c r="F24" s="1000">
        <v>198456.93400000001</v>
      </c>
      <c r="G24" s="1001">
        <f t="shared" ref="G24:G31" si="3">F24/0.012/E24</f>
        <v>40053.082153075135</v>
      </c>
      <c r="H24" s="1002">
        <f t="shared" ref="H24:I31" si="4">K24-E24</f>
        <v>80.692000000000007</v>
      </c>
      <c r="I24" s="1003">
        <f t="shared" si="4"/>
        <v>64878.118000000017</v>
      </c>
      <c r="J24" s="1004">
        <f t="shared" ref="J24:J31" si="5">I24/0.012/H24</f>
        <v>67001.807283663002</v>
      </c>
      <c r="K24" s="1005">
        <v>493.596</v>
      </c>
      <c r="L24" s="1000">
        <v>263335.05200000003</v>
      </c>
      <c r="M24" s="990">
        <f t="shared" si="2"/>
        <v>44458.601096173123</v>
      </c>
      <c r="N24" s="958"/>
      <c r="O24" s="958"/>
      <c r="P24" s="958"/>
      <c r="Q24" s="958"/>
      <c r="R24" s="958"/>
      <c r="S24" s="958"/>
      <c r="T24" s="958"/>
      <c r="U24" s="958"/>
      <c r="V24" s="958"/>
      <c r="W24" s="958"/>
      <c r="X24" s="958"/>
      <c r="Y24" s="958"/>
      <c r="Z24" s="1006"/>
    </row>
    <row r="25" spans="1:26">
      <c r="A25" s="997">
        <v>4</v>
      </c>
      <c r="B25" s="1917"/>
      <c r="C25" s="1919"/>
      <c r="D25" s="998" t="s">
        <v>14</v>
      </c>
      <c r="E25" s="999">
        <v>114.352</v>
      </c>
      <c r="F25" s="1000">
        <v>36306.266000000003</v>
      </c>
      <c r="G25" s="1001">
        <f t="shared" si="3"/>
        <v>26457.973333799731</v>
      </c>
      <c r="H25" s="1002">
        <f t="shared" si="4"/>
        <v>7.4099999999999966</v>
      </c>
      <c r="I25" s="1003">
        <f t="shared" si="4"/>
        <v>6344.1993999999977</v>
      </c>
      <c r="J25" s="1004">
        <f t="shared" si="5"/>
        <v>71347.27170490328</v>
      </c>
      <c r="K25" s="1005">
        <v>121.762</v>
      </c>
      <c r="L25" s="1000">
        <v>42650.465400000001</v>
      </c>
      <c r="M25" s="990">
        <f t="shared" si="2"/>
        <v>29189.775545736768</v>
      </c>
      <c r="N25" s="958"/>
      <c r="O25" s="958"/>
      <c r="P25" s="958"/>
      <c r="Q25" s="958"/>
      <c r="R25" s="958"/>
      <c r="S25" s="958"/>
      <c r="T25" s="958"/>
      <c r="U25" s="958"/>
      <c r="V25" s="958"/>
      <c r="W25" s="958"/>
      <c r="X25" s="958"/>
      <c r="Y25" s="958"/>
      <c r="Z25" s="1006"/>
    </row>
    <row r="26" spans="1:26">
      <c r="A26" s="997">
        <v>5</v>
      </c>
      <c r="B26" s="1917"/>
      <c r="C26" s="1919"/>
      <c r="D26" s="998" t="s">
        <v>15</v>
      </c>
      <c r="E26" s="999">
        <v>2.823</v>
      </c>
      <c r="F26" s="1000">
        <v>1056.4860000000001</v>
      </c>
      <c r="G26" s="1001">
        <f t="shared" si="3"/>
        <v>31186.857952532766</v>
      </c>
      <c r="H26" s="1002">
        <f t="shared" si="4"/>
        <v>0.57500000000000018</v>
      </c>
      <c r="I26" s="1003">
        <f t="shared" si="4"/>
        <v>358.42399999999998</v>
      </c>
      <c r="J26" s="1004">
        <f t="shared" si="5"/>
        <v>51945.507246376794</v>
      </c>
      <c r="K26" s="1005">
        <v>3.3980000000000001</v>
      </c>
      <c r="L26" s="1000">
        <v>1414.91</v>
      </c>
      <c r="M26" s="990">
        <f t="shared" si="2"/>
        <v>34699.578183245045</v>
      </c>
      <c r="N26" s="958"/>
      <c r="O26" s="958"/>
      <c r="P26" s="958"/>
      <c r="Q26" s="958"/>
      <c r="R26" s="958"/>
      <c r="S26" s="958"/>
      <c r="T26" s="958"/>
      <c r="U26" s="958"/>
      <c r="V26" s="958"/>
      <c r="W26" s="958"/>
      <c r="X26" s="958"/>
      <c r="Y26" s="958"/>
      <c r="Z26" s="958"/>
    </row>
    <row r="27" spans="1:26">
      <c r="A27" s="997"/>
      <c r="B27" s="1917"/>
      <c r="C27" s="1919"/>
      <c r="D27" s="998" t="s">
        <v>160</v>
      </c>
      <c r="E27" s="999">
        <v>2.8250000000000002</v>
      </c>
      <c r="F27" s="1000">
        <v>2904.5859999999998</v>
      </c>
      <c r="G27" s="1001">
        <f t="shared" si="3"/>
        <v>85681.002949852496</v>
      </c>
      <c r="H27" s="1002">
        <f t="shared" si="4"/>
        <v>3.6630000000000003</v>
      </c>
      <c r="I27" s="1003">
        <f t="shared" si="4"/>
        <v>3765.3049999999998</v>
      </c>
      <c r="J27" s="1004">
        <f t="shared" si="5"/>
        <v>85660.774410774393</v>
      </c>
      <c r="K27" s="1005">
        <v>6.4880000000000004</v>
      </c>
      <c r="L27" s="1000">
        <v>6669.8909999999996</v>
      </c>
      <c r="M27" s="990">
        <f t="shared" si="2"/>
        <v>85669.582305795309</v>
      </c>
      <c r="N27" s="958"/>
      <c r="O27" s="958"/>
      <c r="P27" s="958"/>
      <c r="Q27" s="958"/>
      <c r="R27" s="958"/>
      <c r="S27" s="958"/>
      <c r="T27" s="958"/>
      <c r="U27" s="958"/>
      <c r="V27" s="958"/>
      <c r="W27" s="958"/>
      <c r="X27" s="958"/>
      <c r="Y27" s="958"/>
      <c r="Z27" s="958"/>
    </row>
    <row r="28" spans="1:26">
      <c r="A28" s="997">
        <v>6</v>
      </c>
      <c r="B28" s="1917"/>
      <c r="C28" s="1920"/>
      <c r="D28" s="998" t="s">
        <v>17</v>
      </c>
      <c r="E28" s="999">
        <v>857.61800000000005</v>
      </c>
      <c r="F28" s="1000">
        <v>514439.84</v>
      </c>
      <c r="G28" s="1001">
        <f t="shared" si="3"/>
        <v>49987.274831762705</v>
      </c>
      <c r="H28" s="1002">
        <f t="shared" si="4"/>
        <v>173.96799999999996</v>
      </c>
      <c r="I28" s="1003">
        <f t="shared" si="4"/>
        <v>166755.67300000001</v>
      </c>
      <c r="J28" s="1004">
        <f t="shared" si="5"/>
        <v>79878.518367362602</v>
      </c>
      <c r="K28" s="1005">
        <v>1031.586</v>
      </c>
      <c r="L28" s="1000">
        <v>681195.51300000004</v>
      </c>
      <c r="M28" s="990">
        <f t="shared" si="2"/>
        <v>55028.172881369079</v>
      </c>
      <c r="N28" s="958"/>
      <c r="O28" s="958"/>
      <c r="P28" s="958"/>
      <c r="Q28" s="958"/>
      <c r="R28" s="958"/>
      <c r="S28" s="958"/>
      <c r="T28" s="958"/>
      <c r="U28" s="958"/>
      <c r="V28" s="958"/>
      <c r="W28" s="958"/>
      <c r="X28" s="958"/>
      <c r="Y28" s="958"/>
      <c r="Z28" s="958"/>
    </row>
    <row r="29" spans="1:26">
      <c r="A29" s="997">
        <v>7</v>
      </c>
      <c r="B29" s="1917"/>
      <c r="C29" s="1921" t="s">
        <v>9</v>
      </c>
      <c r="D29" s="1922"/>
      <c r="E29" s="999">
        <v>75.153000000000006</v>
      </c>
      <c r="F29" s="1000">
        <v>54450.298999999999</v>
      </c>
      <c r="G29" s="1001">
        <f t="shared" si="3"/>
        <v>60377.162810089627</v>
      </c>
      <c r="H29" s="1002">
        <f t="shared" si="4"/>
        <v>234.46999999999997</v>
      </c>
      <c r="I29" s="1003">
        <f t="shared" si="4"/>
        <v>137758.53599999999</v>
      </c>
      <c r="J29" s="1004">
        <f t="shared" si="5"/>
        <v>48960.967287925967</v>
      </c>
      <c r="K29" s="1005">
        <v>309.62299999999999</v>
      </c>
      <c r="L29" s="1000">
        <v>192208.83499999999</v>
      </c>
      <c r="M29" s="990">
        <f t="shared" si="2"/>
        <v>51731.954398305897</v>
      </c>
      <c r="N29" s="958"/>
      <c r="O29" s="958"/>
      <c r="P29" s="958"/>
      <c r="Q29" s="958"/>
      <c r="R29" s="958"/>
      <c r="S29" s="958"/>
      <c r="T29" s="958"/>
      <c r="U29" s="958"/>
      <c r="V29" s="958"/>
      <c r="W29" s="958"/>
      <c r="X29" s="958"/>
      <c r="Y29" s="958"/>
      <c r="Z29" s="958"/>
    </row>
    <row r="30" spans="1:26">
      <c r="A30" s="997">
        <v>8</v>
      </c>
      <c r="B30" s="1918"/>
      <c r="C30" s="1923" t="s">
        <v>2</v>
      </c>
      <c r="D30" s="1924"/>
      <c r="E30" s="999">
        <v>950.73900000000003</v>
      </c>
      <c r="F30" s="1000">
        <v>353883.70799999998</v>
      </c>
      <c r="G30" s="1001">
        <f t="shared" si="3"/>
        <v>31018.301552792087</v>
      </c>
      <c r="H30" s="1002">
        <f t="shared" si="4"/>
        <v>417.66100000000006</v>
      </c>
      <c r="I30" s="1003">
        <f t="shared" si="4"/>
        <v>222116.70999999996</v>
      </c>
      <c r="J30" s="1004">
        <f t="shared" si="5"/>
        <v>44317.582521071694</v>
      </c>
      <c r="K30" s="1005">
        <v>1368.4</v>
      </c>
      <c r="L30" s="1000">
        <v>576000.41799999995</v>
      </c>
      <c r="M30" s="990">
        <f t="shared" si="2"/>
        <v>35077.488185715672</v>
      </c>
      <c r="N30" s="958"/>
      <c r="O30" s="958"/>
      <c r="P30" s="958"/>
      <c r="Q30" s="958"/>
      <c r="R30" s="958"/>
      <c r="S30" s="958"/>
      <c r="T30" s="958"/>
      <c r="U30" s="958"/>
      <c r="V30" s="958"/>
      <c r="W30" s="958"/>
      <c r="X30" s="958"/>
      <c r="Y30" s="958"/>
      <c r="Z30" s="958"/>
    </row>
    <row r="31" spans="1:26">
      <c r="A31" s="997">
        <v>9</v>
      </c>
      <c r="B31" s="1925" t="s">
        <v>8</v>
      </c>
      <c r="C31" s="1925"/>
      <c r="D31" s="1925"/>
      <c r="E31" s="999">
        <v>41.076000000000001</v>
      </c>
      <c r="F31" s="1000">
        <v>10183.465</v>
      </c>
      <c r="G31" s="1001">
        <f t="shared" si="3"/>
        <v>20659.80337261012</v>
      </c>
      <c r="H31" s="1002">
        <f t="shared" si="4"/>
        <v>116.876</v>
      </c>
      <c r="I31" s="1003">
        <f t="shared" si="4"/>
        <v>32235.378000000001</v>
      </c>
      <c r="J31" s="1004">
        <f t="shared" si="5"/>
        <v>22984.030083165064</v>
      </c>
      <c r="K31" s="1005">
        <v>157.952</v>
      </c>
      <c r="L31" s="1000">
        <v>42418.843000000001</v>
      </c>
      <c r="M31" s="990">
        <f t="shared" si="2"/>
        <v>22379.606357205565</v>
      </c>
      <c r="N31" s="958"/>
      <c r="O31" s="958"/>
      <c r="P31" s="958"/>
      <c r="Q31" s="958"/>
      <c r="R31" s="958"/>
      <c r="S31" s="958"/>
      <c r="T31" s="958"/>
      <c r="U31" s="958"/>
      <c r="V31" s="958"/>
      <c r="W31" s="958"/>
      <c r="X31" s="958"/>
      <c r="Y31" s="958"/>
      <c r="Z31" s="958"/>
    </row>
    <row r="32" spans="1:26" ht="15.75" thickBot="1">
      <c r="A32" s="1007">
        <v>10</v>
      </c>
      <c r="B32" s="1908" t="s">
        <v>25</v>
      </c>
      <c r="C32" s="1908"/>
      <c r="D32" s="1908"/>
      <c r="E32" s="1008"/>
      <c r="F32" s="1009"/>
      <c r="G32" s="1010"/>
      <c r="H32" s="1011"/>
      <c r="I32" s="1009"/>
      <c r="J32" s="1010"/>
      <c r="K32" s="1012">
        <f>E32+H32</f>
        <v>0</v>
      </c>
      <c r="L32" s="1009">
        <f>F32+I32</f>
        <v>0</v>
      </c>
      <c r="M32" s="1010"/>
      <c r="N32" s="958"/>
      <c r="O32" s="958"/>
      <c r="P32" s="958"/>
      <c r="Q32" s="958"/>
      <c r="R32" s="958"/>
      <c r="S32" s="958"/>
      <c r="T32" s="958"/>
      <c r="U32" s="958"/>
      <c r="V32" s="958"/>
      <c r="W32" s="958"/>
      <c r="X32" s="958"/>
      <c r="Y32" s="958"/>
      <c r="Z32" s="958"/>
    </row>
    <row r="33" spans="1:26" ht="15.75" thickBot="1">
      <c r="A33" s="1013">
        <v>11</v>
      </c>
      <c r="B33" s="1907" t="s">
        <v>17</v>
      </c>
      <c r="C33" s="1907"/>
      <c r="D33" s="1907"/>
      <c r="E33" s="1014">
        <f>E28+E29+E30+E31+E32</f>
        <v>1924.5860000000002</v>
      </c>
      <c r="F33" s="1015">
        <f t="shared" ref="F33:L33" si="6">F28+F29+F30+F31+F32</f>
        <v>932957.31199999992</v>
      </c>
      <c r="G33" s="1016">
        <f>F33/0.012/E33</f>
        <v>40396.450284199636</v>
      </c>
      <c r="H33" s="1017">
        <f t="shared" si="6"/>
        <v>942.97499999999991</v>
      </c>
      <c r="I33" s="1015">
        <f t="shared" si="6"/>
        <v>558866.29700000002</v>
      </c>
      <c r="J33" s="1016">
        <f>I33/0.012/H33</f>
        <v>49388.574900359679</v>
      </c>
      <c r="K33" s="1018">
        <f t="shared" si="6"/>
        <v>2867.5610000000006</v>
      </c>
      <c r="L33" s="1015">
        <f t="shared" si="6"/>
        <v>1491823.6089999999</v>
      </c>
      <c r="M33" s="1016">
        <f>L33/0.012/K33</f>
        <v>43353.44011281131</v>
      </c>
      <c r="N33" s="958"/>
      <c r="O33" s="958"/>
      <c r="P33" s="958"/>
      <c r="Q33" s="958"/>
      <c r="R33" s="958"/>
      <c r="S33" s="958"/>
      <c r="T33" s="958"/>
      <c r="U33" s="958"/>
      <c r="V33" s="958"/>
      <c r="W33" s="1019"/>
      <c r="X33" s="1019"/>
      <c r="Y33" s="1019"/>
      <c r="Z33" s="1019"/>
    </row>
  </sheetData>
  <mergeCells count="35">
    <mergeCell ref="C29:D29"/>
    <mergeCell ref="C30:D30"/>
    <mergeCell ref="B31:D31"/>
    <mergeCell ref="B15:D15"/>
    <mergeCell ref="B14:D14"/>
    <mergeCell ref="B10:B12"/>
    <mergeCell ref="C10:D10"/>
    <mergeCell ref="B33:D33"/>
    <mergeCell ref="B32:D32"/>
    <mergeCell ref="G7:H7"/>
    <mergeCell ref="B5:D9"/>
    <mergeCell ref="E5:Z5"/>
    <mergeCell ref="E6:H6"/>
    <mergeCell ref="I6:L6"/>
    <mergeCell ref="Y6:Z7"/>
    <mergeCell ref="B22:B30"/>
    <mergeCell ref="C22:C28"/>
    <mergeCell ref="A19:A21"/>
    <mergeCell ref="B19:D21"/>
    <mergeCell ref="E19:G19"/>
    <mergeCell ref="H19:J19"/>
    <mergeCell ref="K19:M19"/>
    <mergeCell ref="A5:A9"/>
    <mergeCell ref="C11:D11"/>
    <mergeCell ref="C12:D12"/>
    <mergeCell ref="B13:D13"/>
    <mergeCell ref="M6:R6"/>
    <mergeCell ref="S6:T7"/>
    <mergeCell ref="U6:V7"/>
    <mergeCell ref="W6:X7"/>
    <mergeCell ref="E7:F7"/>
    <mergeCell ref="I7:J7"/>
    <mergeCell ref="K7:L7"/>
    <mergeCell ref="M7:N7"/>
    <mergeCell ref="Q7:R7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11.5703125" customWidth="1"/>
    <col min="4" max="4" width="17.28515625" customWidth="1"/>
    <col min="5" max="5" width="11.140625" customWidth="1"/>
    <col min="6" max="6" width="9.7109375" customWidth="1"/>
    <col min="7" max="7" width="8.7109375" customWidth="1"/>
    <col min="8" max="8" width="9.7109375" customWidth="1"/>
    <col min="9" max="10" width="10.42578125" customWidth="1"/>
    <col min="11" max="11" width="11.1406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59" t="s">
        <v>51</v>
      </c>
      <c r="B1" s="955"/>
      <c r="C1" s="955"/>
      <c r="D1" s="955"/>
      <c r="E1" s="955"/>
      <c r="F1" s="955"/>
      <c r="G1" s="955"/>
      <c r="H1" s="955"/>
      <c r="I1" s="956"/>
      <c r="J1" s="956"/>
      <c r="K1" s="956"/>
      <c r="L1" s="956"/>
      <c r="M1" s="956"/>
      <c r="N1" s="956"/>
      <c r="O1" s="956"/>
      <c r="P1" s="956"/>
      <c r="Q1" s="957"/>
      <c r="R1" s="957"/>
      <c r="S1" s="957"/>
      <c r="T1" s="957"/>
      <c r="U1" s="957"/>
      <c r="V1" s="957"/>
      <c r="W1" s="956"/>
      <c r="X1" s="956"/>
      <c r="Y1" s="60"/>
      <c r="Z1" s="60"/>
    </row>
    <row r="2" spans="1:26">
      <c r="A2" s="958"/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958"/>
      <c r="S2" s="958"/>
      <c r="T2" s="958"/>
      <c r="U2" s="958"/>
      <c r="V2" s="958"/>
      <c r="W2" s="958"/>
      <c r="X2" s="958"/>
      <c r="Y2" s="958"/>
      <c r="Z2" s="958"/>
    </row>
    <row r="3" spans="1:26">
      <c r="A3" s="959" t="s">
        <v>57</v>
      </c>
      <c r="B3" s="958"/>
      <c r="C3" s="958"/>
      <c r="D3" s="958"/>
      <c r="E3" s="958"/>
      <c r="F3" s="958"/>
      <c r="G3" s="958"/>
      <c r="H3" s="958"/>
      <c r="I3" s="958"/>
      <c r="J3" s="958"/>
      <c r="K3" s="958"/>
      <c r="L3" s="958"/>
      <c r="M3" s="958"/>
      <c r="N3" s="958"/>
      <c r="O3" s="958"/>
      <c r="P3" s="958"/>
      <c r="Q3" s="958"/>
      <c r="R3" s="958"/>
      <c r="S3" s="958"/>
      <c r="T3" s="958"/>
      <c r="U3" s="958"/>
      <c r="V3" s="958"/>
      <c r="W3" s="958"/>
      <c r="X3" s="958"/>
      <c r="Y3" s="958"/>
      <c r="Z3" s="958"/>
    </row>
    <row r="4" spans="1:26" ht="15.75" thickBot="1">
      <c r="A4" s="958"/>
      <c r="B4" s="958"/>
      <c r="C4" s="958"/>
      <c r="D4" s="958"/>
      <c r="E4" s="958"/>
      <c r="F4" s="958"/>
      <c r="G4" s="958"/>
      <c r="H4" s="958"/>
      <c r="I4" s="958"/>
      <c r="J4" s="958"/>
      <c r="K4" s="958"/>
      <c r="L4" s="958"/>
      <c r="M4" s="958"/>
      <c r="N4" s="958"/>
      <c r="O4" s="958"/>
      <c r="P4" s="958"/>
      <c r="Q4" s="958"/>
      <c r="R4" s="956"/>
      <c r="S4" s="958"/>
      <c r="T4" s="958"/>
      <c r="U4" s="958"/>
      <c r="V4" s="958"/>
      <c r="W4" s="958"/>
      <c r="X4" s="958"/>
      <c r="Y4" s="958"/>
      <c r="Z4" s="960" t="s">
        <v>4</v>
      </c>
    </row>
    <row r="5" spans="1:26" ht="15.75" thickBot="1">
      <c r="A5" s="1926" t="s">
        <v>1</v>
      </c>
      <c r="B5" s="1929" t="s">
        <v>7</v>
      </c>
      <c r="C5" s="1930"/>
      <c r="D5" s="1931"/>
      <c r="E5" s="1938" t="s">
        <v>35</v>
      </c>
      <c r="F5" s="1939"/>
      <c r="G5" s="1939"/>
      <c r="H5" s="1939"/>
      <c r="I5" s="1939"/>
      <c r="J5" s="1939"/>
      <c r="K5" s="1939"/>
      <c r="L5" s="1939"/>
      <c r="M5" s="1939"/>
      <c r="N5" s="1939"/>
      <c r="O5" s="1939"/>
      <c r="P5" s="1939"/>
      <c r="Q5" s="1939"/>
      <c r="R5" s="1939"/>
      <c r="S5" s="1939"/>
      <c r="T5" s="1939"/>
      <c r="U5" s="1939"/>
      <c r="V5" s="1939"/>
      <c r="W5" s="1939"/>
      <c r="X5" s="1939"/>
      <c r="Y5" s="1939"/>
      <c r="Z5" s="1940"/>
    </row>
    <row r="6" spans="1:26">
      <c r="A6" s="1927"/>
      <c r="B6" s="1932"/>
      <c r="C6" s="1933"/>
      <c r="D6" s="1934"/>
      <c r="E6" s="1904" t="s">
        <v>24</v>
      </c>
      <c r="F6" s="1905"/>
      <c r="G6" s="1905"/>
      <c r="H6" s="1906"/>
      <c r="I6" s="1904" t="s">
        <v>28</v>
      </c>
      <c r="J6" s="1905"/>
      <c r="K6" s="1905"/>
      <c r="L6" s="1906"/>
      <c r="M6" s="1904" t="s">
        <v>20</v>
      </c>
      <c r="N6" s="1905"/>
      <c r="O6" s="1905"/>
      <c r="P6" s="1905"/>
      <c r="Q6" s="1905"/>
      <c r="R6" s="1906"/>
      <c r="S6" s="1941" t="s">
        <v>18</v>
      </c>
      <c r="T6" s="1942"/>
      <c r="U6" s="1941" t="s">
        <v>5</v>
      </c>
      <c r="V6" s="1942"/>
      <c r="W6" s="1941" t="s">
        <v>21</v>
      </c>
      <c r="X6" s="1942"/>
      <c r="Y6" s="1945" t="s">
        <v>17</v>
      </c>
      <c r="Z6" s="1946"/>
    </row>
    <row r="7" spans="1:26">
      <c r="A7" s="1927"/>
      <c r="B7" s="1932"/>
      <c r="C7" s="1933"/>
      <c r="D7" s="1934"/>
      <c r="E7" s="1949" t="s">
        <v>19</v>
      </c>
      <c r="F7" s="1950"/>
      <c r="G7" s="1951" t="s">
        <v>27</v>
      </c>
      <c r="H7" s="1952"/>
      <c r="I7" s="1949" t="s">
        <v>73</v>
      </c>
      <c r="J7" s="1950"/>
      <c r="K7" s="1951" t="s">
        <v>29</v>
      </c>
      <c r="L7" s="1952"/>
      <c r="M7" s="1949" t="s">
        <v>59</v>
      </c>
      <c r="N7" s="1950"/>
      <c r="O7" s="1380"/>
      <c r="P7" s="1380"/>
      <c r="Q7" s="1951" t="s">
        <v>31</v>
      </c>
      <c r="R7" s="1952"/>
      <c r="S7" s="1943"/>
      <c r="T7" s="1944"/>
      <c r="U7" s="1943"/>
      <c r="V7" s="1944"/>
      <c r="W7" s="1943"/>
      <c r="X7" s="1944"/>
      <c r="Y7" s="1947"/>
      <c r="Z7" s="1948"/>
    </row>
    <row r="8" spans="1:26" ht="15.75" thickBot="1">
      <c r="A8" s="1927"/>
      <c r="B8" s="1932"/>
      <c r="C8" s="1933"/>
      <c r="D8" s="1934"/>
      <c r="E8" s="707" t="s">
        <v>6</v>
      </c>
      <c r="F8" s="983" t="s">
        <v>38</v>
      </c>
      <c r="G8" s="708" t="s">
        <v>6</v>
      </c>
      <c r="H8" s="709" t="s">
        <v>38</v>
      </c>
      <c r="I8" s="707" t="s">
        <v>6</v>
      </c>
      <c r="J8" s="708" t="s">
        <v>38</v>
      </c>
      <c r="K8" s="708" t="s">
        <v>6</v>
      </c>
      <c r="L8" s="709" t="s">
        <v>38</v>
      </c>
      <c r="M8" s="707" t="s">
        <v>6</v>
      </c>
      <c r="N8" s="708" t="s">
        <v>38</v>
      </c>
      <c r="O8" s="708"/>
      <c r="P8" s="708"/>
      <c r="Q8" s="708" t="s">
        <v>6</v>
      </c>
      <c r="R8" s="709" t="s">
        <v>38</v>
      </c>
      <c r="S8" s="707" t="s">
        <v>6</v>
      </c>
      <c r="T8" s="709" t="s">
        <v>38</v>
      </c>
      <c r="U8" s="707" t="s">
        <v>6</v>
      </c>
      <c r="V8" s="709" t="s">
        <v>38</v>
      </c>
      <c r="W8" s="707" t="s">
        <v>6</v>
      </c>
      <c r="X8" s="709" t="s">
        <v>38</v>
      </c>
      <c r="Y8" s="707" t="s">
        <v>80</v>
      </c>
      <c r="Z8" s="709" t="s">
        <v>38</v>
      </c>
    </row>
    <row r="9" spans="1:26" ht="15.75" thickBot="1">
      <c r="A9" s="1928"/>
      <c r="B9" s="1935"/>
      <c r="C9" s="1936"/>
      <c r="D9" s="1937"/>
      <c r="E9" s="707">
        <v>1</v>
      </c>
      <c r="F9" s="983">
        <v>2</v>
      </c>
      <c r="G9" s="708">
        <v>3</v>
      </c>
      <c r="H9" s="709">
        <v>4</v>
      </c>
      <c r="I9" s="707">
        <v>5</v>
      </c>
      <c r="J9" s="708">
        <v>6</v>
      </c>
      <c r="K9" s="708">
        <v>7</v>
      </c>
      <c r="L9" s="709">
        <v>8</v>
      </c>
      <c r="M9" s="707">
        <v>9</v>
      </c>
      <c r="N9" s="708">
        <v>10</v>
      </c>
      <c r="O9" s="708"/>
      <c r="P9" s="708"/>
      <c r="Q9" s="708">
        <v>11</v>
      </c>
      <c r="R9" s="709">
        <v>12</v>
      </c>
      <c r="S9" s="707">
        <v>13</v>
      </c>
      <c r="T9" s="709">
        <v>14</v>
      </c>
      <c r="U9" s="707">
        <v>15</v>
      </c>
      <c r="V9" s="709">
        <v>16</v>
      </c>
      <c r="W9" s="707">
        <v>17</v>
      </c>
      <c r="X9" s="709">
        <v>18</v>
      </c>
      <c r="Y9" s="707">
        <v>19</v>
      </c>
      <c r="Z9" s="709">
        <v>20</v>
      </c>
    </row>
    <row r="10" spans="1:26">
      <c r="A10" s="1020">
        <v>1</v>
      </c>
      <c r="B10" s="1956" t="s">
        <v>30</v>
      </c>
      <c r="C10" s="1958" t="s">
        <v>16</v>
      </c>
      <c r="D10" s="1959"/>
      <c r="E10" s="1021">
        <f>F28</f>
        <v>380515.45399999997</v>
      </c>
      <c r="F10" s="1022">
        <f>5359-N10</f>
        <v>5325</v>
      </c>
      <c r="G10" s="1023">
        <v>0</v>
      </c>
      <c r="H10" s="1024">
        <v>0</v>
      </c>
      <c r="I10" s="1021">
        <v>23221</v>
      </c>
      <c r="J10" s="1023">
        <v>262</v>
      </c>
      <c r="K10" s="1023">
        <v>2286</v>
      </c>
      <c r="L10" s="1024">
        <v>14</v>
      </c>
      <c r="M10" s="1021">
        <f>10732-2384</f>
        <v>8348</v>
      </c>
      <c r="N10" s="1023">
        <v>34</v>
      </c>
      <c r="O10" s="1023"/>
      <c r="P10" s="1023"/>
      <c r="Q10" s="1023">
        <v>347</v>
      </c>
      <c r="R10" s="1024">
        <v>0</v>
      </c>
      <c r="S10" s="1021">
        <v>16176</v>
      </c>
      <c r="T10" s="1024">
        <v>313</v>
      </c>
      <c r="U10" s="1021">
        <v>15180</v>
      </c>
      <c r="V10" s="1024">
        <v>1249</v>
      </c>
      <c r="W10" s="1025">
        <v>4823</v>
      </c>
      <c r="X10" s="1026">
        <v>1404</v>
      </c>
      <c r="Y10" s="1027">
        <f>+E10+G10+I10+K10+Q10+S10+U10+W10+M10</f>
        <v>450896.45399999997</v>
      </c>
      <c r="Z10" s="1026">
        <f>+F10+H10+J10+L10+R10+T10+V10+X10+N10</f>
        <v>8601</v>
      </c>
    </row>
    <row r="11" spans="1:26">
      <c r="A11" s="1020">
        <v>2</v>
      </c>
      <c r="B11" s="1957"/>
      <c r="C11" s="1960" t="s">
        <v>9</v>
      </c>
      <c r="D11" s="1961"/>
      <c r="E11" s="1028">
        <v>0</v>
      </c>
      <c r="F11" s="1029">
        <v>0</v>
      </c>
      <c r="G11" s="1028">
        <f>F29</f>
        <v>48386</v>
      </c>
      <c r="H11" s="1030">
        <f>6107-4000</f>
        <v>2107</v>
      </c>
      <c r="I11" s="1028">
        <f>41811-K11</f>
        <v>32768</v>
      </c>
      <c r="J11" s="1031">
        <f>20269-L11</f>
        <v>15558</v>
      </c>
      <c r="K11" s="1031">
        <v>9043</v>
      </c>
      <c r="L11" s="1030">
        <v>4711</v>
      </c>
      <c r="M11" s="1028">
        <f>33046-31195</f>
        <v>1851</v>
      </c>
      <c r="N11" s="1031">
        <v>4000</v>
      </c>
      <c r="O11" s="1031"/>
      <c r="P11" s="1031"/>
      <c r="Q11" s="1031">
        <v>0</v>
      </c>
      <c r="R11" s="1030">
        <v>130</v>
      </c>
      <c r="S11" s="1028">
        <v>9351</v>
      </c>
      <c r="T11" s="1030">
        <v>3473</v>
      </c>
      <c r="U11" s="1028">
        <v>11304</v>
      </c>
      <c r="V11" s="1030">
        <v>10256</v>
      </c>
      <c r="W11" s="1032">
        <v>330</v>
      </c>
      <c r="X11" s="1033">
        <v>1145</v>
      </c>
      <c r="Y11" s="1034">
        <f t="shared" ref="Y11:Z14" si="0">+E11+G11+I11+K11+M11+Q11+S11+U11+W11</f>
        <v>113033</v>
      </c>
      <c r="Z11" s="1033">
        <f t="shared" si="0"/>
        <v>41380</v>
      </c>
    </row>
    <row r="12" spans="1:26">
      <c r="A12" s="1035">
        <v>3</v>
      </c>
      <c r="B12" s="1957"/>
      <c r="C12" s="1962" t="s">
        <v>2</v>
      </c>
      <c r="D12" s="1963"/>
      <c r="E12" s="1028">
        <f>F30</f>
        <v>239957</v>
      </c>
      <c r="F12" s="1029">
        <f>9667-N12</f>
        <v>7440</v>
      </c>
      <c r="G12" s="1031">
        <v>0</v>
      </c>
      <c r="H12" s="1030">
        <v>0</v>
      </c>
      <c r="I12" s="1028">
        <f>14579-K12</f>
        <v>10465</v>
      </c>
      <c r="J12" s="1031">
        <f>5365-L12</f>
        <v>4933</v>
      </c>
      <c r="K12" s="1031">
        <v>4114</v>
      </c>
      <c r="L12" s="1030">
        <v>432</v>
      </c>
      <c r="M12" s="1028">
        <f>36355-29598</f>
        <v>6757</v>
      </c>
      <c r="N12" s="1031">
        <v>2227</v>
      </c>
      <c r="O12" s="1031"/>
      <c r="P12" s="1031"/>
      <c r="Q12" s="1031">
        <v>423</v>
      </c>
      <c r="R12" s="1030">
        <v>135</v>
      </c>
      <c r="S12" s="1028">
        <v>21700</v>
      </c>
      <c r="T12" s="1030">
        <v>2670</v>
      </c>
      <c r="U12" s="1028">
        <v>19137</v>
      </c>
      <c r="V12" s="1030">
        <v>4415</v>
      </c>
      <c r="W12" s="1032">
        <v>5743</v>
      </c>
      <c r="X12" s="1033">
        <v>2370</v>
      </c>
      <c r="Y12" s="1034">
        <f t="shared" si="0"/>
        <v>308296</v>
      </c>
      <c r="Z12" s="1033">
        <f t="shared" si="0"/>
        <v>24622</v>
      </c>
    </row>
    <row r="13" spans="1:26">
      <c r="A13" s="1035">
        <v>4</v>
      </c>
      <c r="B13" s="1964" t="s">
        <v>8</v>
      </c>
      <c r="C13" s="1965"/>
      <c r="D13" s="1966"/>
      <c r="E13" s="1028">
        <f>F31</f>
        <v>3804</v>
      </c>
      <c r="F13" s="1029">
        <v>0</v>
      </c>
      <c r="G13" s="1031">
        <v>0</v>
      </c>
      <c r="H13" s="1030">
        <v>0</v>
      </c>
      <c r="I13" s="1028">
        <v>0</v>
      </c>
      <c r="J13" s="1031">
        <v>0</v>
      </c>
      <c r="K13" s="1031">
        <v>0</v>
      </c>
      <c r="L13" s="1030">
        <v>0</v>
      </c>
      <c r="M13" s="1028">
        <v>0</v>
      </c>
      <c r="N13" s="1031">
        <v>0</v>
      </c>
      <c r="O13" s="1031"/>
      <c r="P13" s="1031"/>
      <c r="Q13" s="1031">
        <v>0</v>
      </c>
      <c r="R13" s="1030">
        <v>0</v>
      </c>
      <c r="S13" s="1028">
        <v>951</v>
      </c>
      <c r="T13" s="1030">
        <v>0</v>
      </c>
      <c r="U13" s="1028">
        <v>1521</v>
      </c>
      <c r="V13" s="1030">
        <v>0</v>
      </c>
      <c r="W13" s="1032">
        <v>20555</v>
      </c>
      <c r="X13" s="1033">
        <v>61</v>
      </c>
      <c r="Y13" s="1034">
        <f t="shared" si="0"/>
        <v>26831</v>
      </c>
      <c r="Z13" s="1033">
        <f t="shared" si="0"/>
        <v>61</v>
      </c>
    </row>
    <row r="14" spans="1:26" ht="15.75" thickBot="1">
      <c r="A14" s="1036">
        <v>5</v>
      </c>
      <c r="B14" s="1967" t="s">
        <v>25</v>
      </c>
      <c r="C14" s="1968"/>
      <c r="D14" s="1969"/>
      <c r="E14" s="1028">
        <f>F32</f>
        <v>0</v>
      </c>
      <c r="F14" s="1037">
        <v>0</v>
      </c>
      <c r="G14" s="1038">
        <v>0</v>
      </c>
      <c r="H14" s="1039">
        <v>0</v>
      </c>
      <c r="I14" s="1040">
        <v>0</v>
      </c>
      <c r="J14" s="1038">
        <v>0</v>
      </c>
      <c r="K14" s="1038">
        <v>0</v>
      </c>
      <c r="L14" s="1039">
        <v>0</v>
      </c>
      <c r="M14" s="1040">
        <v>0</v>
      </c>
      <c r="N14" s="1038">
        <v>0</v>
      </c>
      <c r="O14" s="1038"/>
      <c r="P14" s="1038"/>
      <c r="Q14" s="1038">
        <v>0</v>
      </c>
      <c r="R14" s="1039">
        <v>0</v>
      </c>
      <c r="S14" s="1041">
        <v>0</v>
      </c>
      <c r="T14" s="1042">
        <v>0</v>
      </c>
      <c r="U14" s="1041">
        <v>0</v>
      </c>
      <c r="V14" s="1042">
        <v>0</v>
      </c>
      <c r="W14" s="1043">
        <v>0</v>
      </c>
      <c r="X14" s="1042">
        <v>0</v>
      </c>
      <c r="Y14" s="1040">
        <f t="shared" si="0"/>
        <v>0</v>
      </c>
      <c r="Z14" s="1042">
        <f t="shared" si="0"/>
        <v>0</v>
      </c>
    </row>
    <row r="15" spans="1:26" ht="15.75" thickBot="1">
      <c r="A15" s="1044">
        <v>6</v>
      </c>
      <c r="B15" s="1953" t="s">
        <v>17</v>
      </c>
      <c r="C15" s="1954"/>
      <c r="D15" s="1955"/>
      <c r="E15" s="1045">
        <f>SUM(E10:E14)</f>
        <v>624276.45399999991</v>
      </c>
      <c r="F15" s="1046">
        <f t="shared" ref="F15:Z15" si="1">SUM(F10:F14)</f>
        <v>12765</v>
      </c>
      <c r="G15" s="1047">
        <f t="shared" si="1"/>
        <v>48386</v>
      </c>
      <c r="H15" s="1048">
        <f t="shared" si="1"/>
        <v>2107</v>
      </c>
      <c r="I15" s="1045">
        <f t="shared" si="1"/>
        <v>66454</v>
      </c>
      <c r="J15" s="1047">
        <f t="shared" si="1"/>
        <v>20753</v>
      </c>
      <c r="K15" s="1047">
        <f t="shared" si="1"/>
        <v>15443</v>
      </c>
      <c r="L15" s="1048">
        <f t="shared" si="1"/>
        <v>5157</v>
      </c>
      <c r="M15" s="1045">
        <f t="shared" si="1"/>
        <v>16956</v>
      </c>
      <c r="N15" s="1047">
        <f t="shared" si="1"/>
        <v>6261</v>
      </c>
      <c r="O15" s="1047"/>
      <c r="P15" s="1047"/>
      <c r="Q15" s="1047">
        <f t="shared" si="1"/>
        <v>770</v>
      </c>
      <c r="R15" s="1048">
        <f t="shared" si="1"/>
        <v>265</v>
      </c>
      <c r="S15" s="1049">
        <f t="shared" si="1"/>
        <v>48178</v>
      </c>
      <c r="T15" s="1050">
        <f t="shared" si="1"/>
        <v>6456</v>
      </c>
      <c r="U15" s="1049">
        <f t="shared" si="1"/>
        <v>47142</v>
      </c>
      <c r="V15" s="1050">
        <f t="shared" si="1"/>
        <v>15920</v>
      </c>
      <c r="W15" s="1051">
        <f t="shared" si="1"/>
        <v>31451</v>
      </c>
      <c r="X15" s="1050">
        <f t="shared" si="1"/>
        <v>4980</v>
      </c>
      <c r="Y15" s="1045">
        <f t="shared" si="1"/>
        <v>899056.45399999991</v>
      </c>
      <c r="Z15" s="1050">
        <f t="shared" si="1"/>
        <v>74664</v>
      </c>
    </row>
    <row r="16" spans="1:26">
      <c r="A16" s="958"/>
      <c r="B16" s="958"/>
      <c r="C16" s="958"/>
      <c r="D16" s="958"/>
      <c r="E16" s="958"/>
      <c r="F16" s="958"/>
      <c r="G16" s="1052"/>
      <c r="H16" s="958"/>
      <c r="I16" s="958"/>
      <c r="J16" s="958"/>
      <c r="K16" s="958"/>
      <c r="L16" s="958"/>
      <c r="M16" s="958"/>
      <c r="N16" s="958"/>
      <c r="O16" s="958"/>
      <c r="P16" s="958"/>
      <c r="Q16" s="958"/>
      <c r="R16" s="958"/>
      <c r="S16" s="958"/>
      <c r="T16" s="958"/>
      <c r="U16" s="958"/>
      <c r="V16" s="958"/>
      <c r="W16" s="958"/>
      <c r="X16" s="958"/>
      <c r="Y16" s="958"/>
      <c r="Z16" s="958"/>
    </row>
    <row r="17" spans="1:26">
      <c r="A17" s="959" t="s">
        <v>58</v>
      </c>
      <c r="B17" s="977"/>
      <c r="C17" s="977"/>
      <c r="D17" s="977"/>
      <c r="E17" s="977"/>
      <c r="F17" s="977"/>
      <c r="G17" s="977"/>
      <c r="H17" s="977"/>
      <c r="I17" s="977"/>
      <c r="J17" s="977"/>
      <c r="K17" s="977"/>
      <c r="L17" s="977"/>
      <c r="M17" s="977"/>
      <c r="N17" s="977"/>
      <c r="O17" s="977"/>
      <c r="P17" s="977"/>
      <c r="Q17" s="977"/>
      <c r="R17" s="977"/>
      <c r="S17" s="977"/>
      <c r="T17" s="977"/>
      <c r="U17" s="977"/>
      <c r="V17" s="956"/>
      <c r="W17" s="1053"/>
      <c r="X17" s="1053"/>
      <c r="Y17" s="1054"/>
      <c r="Z17" s="60"/>
    </row>
    <row r="18" spans="1:26" s="28" customFormat="1" ht="15.75" thickBot="1">
      <c r="A18" s="959"/>
      <c r="B18" s="977"/>
      <c r="C18" s="977"/>
      <c r="D18" s="977"/>
      <c r="E18" s="977"/>
      <c r="F18" s="977"/>
      <c r="G18" s="977"/>
      <c r="H18" s="977"/>
      <c r="I18" s="977"/>
      <c r="J18" s="977"/>
      <c r="K18" s="977"/>
      <c r="L18" s="977"/>
      <c r="M18" s="977"/>
      <c r="N18" s="977"/>
      <c r="O18" s="977"/>
      <c r="P18" s="977"/>
      <c r="Q18" s="977"/>
      <c r="R18" s="977"/>
      <c r="S18" s="977"/>
      <c r="T18" s="977"/>
      <c r="U18" s="977"/>
      <c r="V18" s="956"/>
      <c r="W18" s="1053"/>
      <c r="X18" s="1053"/>
      <c r="Y18" s="1054"/>
      <c r="Z18" s="60"/>
    </row>
    <row r="19" spans="1:26">
      <c r="A19" s="1895" t="s">
        <v>1</v>
      </c>
      <c r="B19" s="1898" t="s">
        <v>7</v>
      </c>
      <c r="C19" s="1898"/>
      <c r="D19" s="1898"/>
      <c r="E19" s="1901" t="s">
        <v>32</v>
      </c>
      <c r="F19" s="1902"/>
      <c r="G19" s="1903"/>
      <c r="H19" s="1904" t="s">
        <v>34</v>
      </c>
      <c r="I19" s="1905"/>
      <c r="J19" s="1906"/>
      <c r="K19" s="1902" t="s">
        <v>17</v>
      </c>
      <c r="L19" s="1902"/>
      <c r="M19" s="1903"/>
      <c r="N19" s="958"/>
      <c r="O19" s="958"/>
      <c r="P19" s="958"/>
      <c r="Q19" s="958"/>
      <c r="R19" s="958"/>
      <c r="S19" s="958"/>
      <c r="T19" s="958"/>
      <c r="U19" s="958"/>
      <c r="V19" s="958"/>
      <c r="W19" s="1052"/>
      <c r="X19" s="958"/>
      <c r="Y19" s="958"/>
      <c r="Z19" s="958"/>
    </row>
    <row r="20" spans="1:26" ht="38.25">
      <c r="A20" s="1896"/>
      <c r="B20" s="1899"/>
      <c r="C20" s="1899"/>
      <c r="D20" s="1899"/>
      <c r="E20" s="979" t="s">
        <v>22</v>
      </c>
      <c r="F20" s="980" t="s">
        <v>33</v>
      </c>
      <c r="G20" s="981" t="s">
        <v>23</v>
      </c>
      <c r="H20" s="979" t="s">
        <v>22</v>
      </c>
      <c r="I20" s="980" t="s">
        <v>33</v>
      </c>
      <c r="J20" s="981" t="s">
        <v>23</v>
      </c>
      <c r="K20" s="982" t="s">
        <v>22</v>
      </c>
      <c r="L20" s="61" t="s">
        <v>33</v>
      </c>
      <c r="M20" s="981" t="s">
        <v>23</v>
      </c>
      <c r="N20" s="958"/>
      <c r="O20" s="958"/>
      <c r="P20" s="958"/>
      <c r="Q20" s="958"/>
      <c r="R20" s="958"/>
      <c r="S20" s="958"/>
      <c r="T20" s="958"/>
      <c r="U20" s="958"/>
      <c r="V20" s="958"/>
      <c r="W20" s="958"/>
      <c r="X20" s="958"/>
      <c r="Y20" s="958"/>
      <c r="Z20" s="958"/>
    </row>
    <row r="21" spans="1:26" ht="26.25" thickBot="1">
      <c r="A21" s="1897"/>
      <c r="B21" s="1900"/>
      <c r="C21" s="1900"/>
      <c r="D21" s="1900"/>
      <c r="E21" s="707">
        <v>1</v>
      </c>
      <c r="F21" s="708">
        <v>2</v>
      </c>
      <c r="G21" s="709" t="s">
        <v>47</v>
      </c>
      <c r="H21" s="707">
        <v>4</v>
      </c>
      <c r="I21" s="708">
        <v>5</v>
      </c>
      <c r="J21" s="709" t="s">
        <v>48</v>
      </c>
      <c r="K21" s="983">
        <v>7</v>
      </c>
      <c r="L21" s="984">
        <v>8</v>
      </c>
      <c r="M21" s="709" t="s">
        <v>49</v>
      </c>
      <c r="N21" s="958"/>
      <c r="O21" s="958"/>
      <c r="P21" s="958"/>
      <c r="Q21" s="958"/>
      <c r="R21" s="958"/>
      <c r="S21" s="958"/>
      <c r="T21" s="958"/>
      <c r="U21" s="958"/>
      <c r="V21" s="958"/>
      <c r="W21" s="958"/>
      <c r="X21" s="958"/>
      <c r="Y21" s="958"/>
      <c r="Z21" s="958"/>
    </row>
    <row r="22" spans="1:26">
      <c r="A22" s="986">
        <v>1</v>
      </c>
      <c r="B22" s="1916" t="s">
        <v>26</v>
      </c>
      <c r="C22" s="1919" t="s">
        <v>76</v>
      </c>
      <c r="D22" s="987" t="s">
        <v>11</v>
      </c>
      <c r="E22" s="1055">
        <f>82.257+1.47</f>
        <v>83.727000000000004</v>
      </c>
      <c r="F22" s="1056">
        <f>59175.696+711</f>
        <v>59886.696000000004</v>
      </c>
      <c r="G22" s="1057">
        <f t="shared" ref="G22:G33" si="2">+F22/12/E22</f>
        <v>59.605121406475803</v>
      </c>
      <c r="H22" s="1055">
        <f>+K22-E22</f>
        <v>5.4709999999999894</v>
      </c>
      <c r="I22" s="1058">
        <f>+L22-F22</f>
        <v>13974.794999999991</v>
      </c>
      <c r="J22" s="1057">
        <f t="shared" ref="J22:J31" si="3">+I22/12/H22</f>
        <v>212.86167976603937</v>
      </c>
      <c r="K22" s="1059">
        <f>87.728+1.47</f>
        <v>89.197999999999993</v>
      </c>
      <c r="L22" s="1058">
        <f>72887.491+1003-2-27</f>
        <v>73861.490999999995</v>
      </c>
      <c r="M22" s="1057">
        <f t="shared" ref="M22:M33" si="4">+L22/12/K22</f>
        <v>69.005182291082761</v>
      </c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</row>
    <row r="23" spans="1:26">
      <c r="A23" s="997">
        <v>2</v>
      </c>
      <c r="B23" s="1917"/>
      <c r="C23" s="1919"/>
      <c r="D23" s="998" t="s">
        <v>12</v>
      </c>
      <c r="E23" s="1060">
        <f>193.442+1.37</f>
        <v>194.81200000000001</v>
      </c>
      <c r="F23" s="1056">
        <f>116143.529+397</f>
        <v>116540.52899999999</v>
      </c>
      <c r="G23" s="1030">
        <f t="shared" si="2"/>
        <v>49.851707030367734</v>
      </c>
      <c r="H23" s="1060">
        <f t="shared" ref="H23:I32" si="5">+K23-E23</f>
        <v>22.48399999999998</v>
      </c>
      <c r="I23" s="1061">
        <f t="shared" si="5"/>
        <v>24951.023000000001</v>
      </c>
      <c r="J23" s="1030">
        <f t="shared" si="3"/>
        <v>92.476957688430375</v>
      </c>
      <c r="K23" s="1062">
        <f>215.926+1.37</f>
        <v>217.29599999999999</v>
      </c>
      <c r="L23" s="1061">
        <f>140998.552+493</f>
        <v>141491.552</v>
      </c>
      <c r="M23" s="1030">
        <f t="shared" si="4"/>
        <v>54.262216822521658</v>
      </c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58"/>
    </row>
    <row r="24" spans="1:26" s="28" customFormat="1">
      <c r="A24" s="997">
        <v>3</v>
      </c>
      <c r="B24" s="1917"/>
      <c r="C24" s="1919"/>
      <c r="D24" s="998" t="s">
        <v>13</v>
      </c>
      <c r="E24" s="1060">
        <f>479.786+10.87-1.47-1.37-0.01</f>
        <v>487.80599999999998</v>
      </c>
      <c r="F24" s="1056">
        <f>196966.379+3411</f>
        <v>200377.37899999999</v>
      </c>
      <c r="G24" s="1030">
        <f t="shared" si="2"/>
        <v>34.231056847735914</v>
      </c>
      <c r="H24" s="1060">
        <f t="shared" si="5"/>
        <v>35.45700000000005</v>
      </c>
      <c r="I24" s="1061">
        <f t="shared" si="5"/>
        <v>30978.748000000021</v>
      </c>
      <c r="J24" s="1030">
        <f t="shared" si="3"/>
        <v>72.808256009626632</v>
      </c>
      <c r="K24" s="1062">
        <f>513.633+12.47-1.47-1.37</f>
        <v>523.26300000000003</v>
      </c>
      <c r="L24" s="1061">
        <f>226505.127+4851</f>
        <v>231356.12700000001</v>
      </c>
      <c r="M24" s="1030">
        <f t="shared" si="4"/>
        <v>36.845099405079281</v>
      </c>
      <c r="N24" s="958"/>
      <c r="O24" s="958"/>
      <c r="P24" s="958"/>
      <c r="Q24" s="958"/>
      <c r="R24" s="958"/>
      <c r="S24" s="958"/>
      <c r="T24" s="958"/>
      <c r="U24" s="958"/>
      <c r="V24" s="958"/>
      <c r="W24" s="958"/>
      <c r="X24" s="958"/>
      <c r="Y24" s="958"/>
      <c r="Z24" s="958"/>
    </row>
    <row r="25" spans="1:26">
      <c r="A25" s="997">
        <v>4</v>
      </c>
      <c r="B25" s="1917"/>
      <c r="C25" s="1919"/>
      <c r="D25" s="998" t="s">
        <v>14</v>
      </c>
      <c r="E25" s="1060">
        <v>9.3740000000000006</v>
      </c>
      <c r="F25" s="1056">
        <v>3467.306</v>
      </c>
      <c r="G25" s="1030">
        <f t="shared" si="2"/>
        <v>30.823785648246922</v>
      </c>
      <c r="H25" s="1060">
        <f t="shared" si="5"/>
        <v>0.98799999999999955</v>
      </c>
      <c r="I25" s="1061">
        <f t="shared" si="5"/>
        <v>430.18499999999995</v>
      </c>
      <c r="J25" s="1030">
        <f t="shared" si="3"/>
        <v>36.284159919028355</v>
      </c>
      <c r="K25" s="1062">
        <v>10.362</v>
      </c>
      <c r="L25" s="1061">
        <v>3897.491</v>
      </c>
      <c r="M25" s="1030">
        <f t="shared" si="4"/>
        <v>31.344423534710156</v>
      </c>
      <c r="N25" s="958"/>
      <c r="O25" s="958"/>
      <c r="P25" s="958"/>
      <c r="Q25" s="958"/>
      <c r="R25" s="958"/>
      <c r="S25" s="958"/>
      <c r="T25" s="958"/>
      <c r="U25" s="958"/>
      <c r="V25" s="958"/>
      <c r="W25" s="958"/>
      <c r="X25" s="958"/>
      <c r="Y25" s="958"/>
      <c r="Z25" s="958"/>
    </row>
    <row r="26" spans="1:26">
      <c r="A26" s="997">
        <v>5</v>
      </c>
      <c r="B26" s="1917"/>
      <c r="C26" s="1919"/>
      <c r="D26" s="998" t="s">
        <v>15</v>
      </c>
      <c r="E26" s="1060">
        <v>0.85</v>
      </c>
      <c r="F26" s="1056">
        <v>243.54400000000001</v>
      </c>
      <c r="G26" s="1030">
        <f t="shared" si="2"/>
        <v>23.876862745098041</v>
      </c>
      <c r="H26" s="1060">
        <f t="shared" si="5"/>
        <v>0</v>
      </c>
      <c r="I26" s="1061">
        <f t="shared" si="5"/>
        <v>19.670999999999964</v>
      </c>
      <c r="J26" s="1030"/>
      <c r="K26" s="1062">
        <v>0.85</v>
      </c>
      <c r="L26" s="1061">
        <v>263.21499999999997</v>
      </c>
      <c r="M26" s="1030">
        <f t="shared" si="4"/>
        <v>25.805392156862744</v>
      </c>
      <c r="N26" s="958"/>
      <c r="O26" s="958"/>
      <c r="P26" s="958"/>
      <c r="Q26" s="958"/>
      <c r="R26" s="958"/>
      <c r="S26" s="958"/>
      <c r="T26" s="958"/>
      <c r="U26" s="958"/>
      <c r="V26" s="958"/>
      <c r="W26" s="958"/>
      <c r="X26" s="958"/>
      <c r="Y26" s="958"/>
      <c r="Z26" s="958"/>
    </row>
    <row r="27" spans="1:26">
      <c r="A27" s="997"/>
      <c r="B27" s="1917"/>
      <c r="C27" s="1919"/>
      <c r="D27" s="998"/>
      <c r="E27" s="1062"/>
      <c r="F27" s="1382"/>
      <c r="G27" s="1030"/>
      <c r="H27" s="1060"/>
      <c r="I27" s="1061"/>
      <c r="J27" s="1030"/>
      <c r="K27" s="1062"/>
      <c r="L27" s="1061"/>
      <c r="M27" s="1030"/>
      <c r="N27" s="958"/>
      <c r="O27" s="958"/>
      <c r="P27" s="958"/>
      <c r="Q27" s="958"/>
      <c r="R27" s="958"/>
      <c r="S27" s="958"/>
      <c r="T27" s="958"/>
      <c r="U27" s="958"/>
      <c r="V27" s="958"/>
      <c r="W27" s="958"/>
      <c r="X27" s="958"/>
      <c r="Y27" s="958"/>
      <c r="Z27" s="958"/>
    </row>
    <row r="28" spans="1:26">
      <c r="A28" s="997">
        <v>6</v>
      </c>
      <c r="B28" s="1917"/>
      <c r="C28" s="1920"/>
      <c r="D28" s="998" t="s">
        <v>17</v>
      </c>
      <c r="E28" s="1063">
        <f>SUM(E22:E26)</f>
        <v>776.56900000000007</v>
      </c>
      <c r="F28" s="1064">
        <f>SUM(F22:F26)</f>
        <v>380515.45399999997</v>
      </c>
      <c r="G28" s="1065">
        <f t="shared" si="2"/>
        <v>40.832973202209544</v>
      </c>
      <c r="H28" s="1066">
        <f t="shared" si="5"/>
        <v>64.399999999999977</v>
      </c>
      <c r="I28" s="1064">
        <f t="shared" si="5"/>
        <v>70354.422000000079</v>
      </c>
      <c r="J28" s="1065">
        <f t="shared" si="3"/>
        <v>91.038330745341753</v>
      </c>
      <c r="K28" s="1067">
        <f>SUM(K22:K26)</f>
        <v>840.96900000000005</v>
      </c>
      <c r="L28" s="1064">
        <f>SUM(L22:L26)</f>
        <v>450869.87600000005</v>
      </c>
      <c r="M28" s="1065">
        <f t="shared" si="4"/>
        <v>44.677615544290774</v>
      </c>
      <c r="N28" s="958"/>
      <c r="O28" s="958"/>
      <c r="P28" s="958"/>
      <c r="Q28" s="958"/>
      <c r="R28" s="958"/>
      <c r="S28" s="958"/>
      <c r="T28" s="958"/>
      <c r="U28" s="958"/>
      <c r="V28" s="958"/>
      <c r="W28" s="958"/>
      <c r="X28" s="958"/>
      <c r="Y28" s="958"/>
      <c r="Z28" s="958"/>
    </row>
    <row r="29" spans="1:26">
      <c r="A29" s="997">
        <v>7</v>
      </c>
      <c r="B29" s="1917"/>
      <c r="C29" s="1921" t="s">
        <v>77</v>
      </c>
      <c r="D29" s="1922"/>
      <c r="E29" s="1068">
        <v>125.5</v>
      </c>
      <c r="F29" s="1061">
        <v>48386</v>
      </c>
      <c r="G29" s="1030">
        <f t="shared" si="2"/>
        <v>32.128818061088978</v>
      </c>
      <c r="H29" s="1060">
        <f t="shared" si="5"/>
        <v>107.77000000000001</v>
      </c>
      <c r="I29" s="1061">
        <f t="shared" si="5"/>
        <v>64647</v>
      </c>
      <c r="J29" s="1030">
        <f t="shared" si="3"/>
        <v>49.988401224830653</v>
      </c>
      <c r="K29" s="1062">
        <v>233.27</v>
      </c>
      <c r="L29" s="1061">
        <v>113033</v>
      </c>
      <c r="M29" s="1030">
        <f t="shared" si="4"/>
        <v>40.379888826967317</v>
      </c>
      <c r="N29" s="958"/>
      <c r="O29" s="958"/>
      <c r="P29" s="958"/>
      <c r="Q29" s="958"/>
      <c r="R29" s="958"/>
      <c r="S29" s="958"/>
      <c r="T29" s="958"/>
      <c r="U29" s="958"/>
      <c r="V29" s="958"/>
      <c r="W29" s="958"/>
      <c r="X29" s="958"/>
      <c r="Y29" s="958"/>
      <c r="Z29" s="958"/>
    </row>
    <row r="30" spans="1:26">
      <c r="A30" s="997">
        <v>8</v>
      </c>
      <c r="B30" s="1918"/>
      <c r="C30" s="1923" t="s">
        <v>78</v>
      </c>
      <c r="D30" s="1924"/>
      <c r="E30" s="1060">
        <f>842.37-E31</f>
        <v>821.36500000000001</v>
      </c>
      <c r="F30" s="1061">
        <f>243761-F31</f>
        <v>239957</v>
      </c>
      <c r="G30" s="1030">
        <f t="shared" si="2"/>
        <v>24.345347886343667</v>
      </c>
      <c r="H30" s="1060">
        <f t="shared" si="5"/>
        <v>88.853000000000065</v>
      </c>
      <c r="I30" s="1061">
        <f t="shared" si="5"/>
        <v>68339</v>
      </c>
      <c r="J30" s="1030">
        <f t="shared" si="3"/>
        <v>64.093690327469673</v>
      </c>
      <c r="K30" s="1062">
        <f>1033.528-K31</f>
        <v>910.21800000000007</v>
      </c>
      <c r="L30" s="1061">
        <f>335154-L31</f>
        <v>308296</v>
      </c>
      <c r="M30" s="1030">
        <f t="shared" si="4"/>
        <v>28.225472725581486</v>
      </c>
      <c r="N30" s="958"/>
      <c r="O30" s="958"/>
      <c r="P30" s="958"/>
      <c r="Q30" s="958"/>
      <c r="R30" s="958"/>
      <c r="S30" s="958"/>
      <c r="T30" s="958"/>
      <c r="U30" s="958"/>
      <c r="V30" s="958"/>
      <c r="W30" s="1019"/>
      <c r="X30" s="1019"/>
      <c r="Y30" s="1019"/>
      <c r="Z30" s="1019"/>
    </row>
    <row r="31" spans="1:26">
      <c r="A31" s="997">
        <v>9</v>
      </c>
      <c r="B31" s="1925" t="s">
        <v>8</v>
      </c>
      <c r="C31" s="1925"/>
      <c r="D31" s="1925"/>
      <c r="E31" s="1060">
        <v>21.004999999999999</v>
      </c>
      <c r="F31" s="1061">
        <v>3804</v>
      </c>
      <c r="G31" s="1030">
        <f t="shared" si="2"/>
        <v>15.091644846465128</v>
      </c>
      <c r="H31" s="1060">
        <f t="shared" si="5"/>
        <v>102.30500000000001</v>
      </c>
      <c r="I31" s="1061">
        <f t="shared" si="5"/>
        <v>23054</v>
      </c>
      <c r="J31" s="1030">
        <f t="shared" si="3"/>
        <v>18.778814981346628</v>
      </c>
      <c r="K31" s="1062">
        <v>123.31</v>
      </c>
      <c r="L31" s="1061">
        <v>26858</v>
      </c>
      <c r="M31" s="1030">
        <f t="shared" si="4"/>
        <v>18.150731219419889</v>
      </c>
    </row>
    <row r="32" spans="1:26" ht="15.75" thickBot="1">
      <c r="A32" s="1007">
        <v>10</v>
      </c>
      <c r="B32" s="1908" t="s">
        <v>25</v>
      </c>
      <c r="C32" s="1908"/>
      <c r="D32" s="1908"/>
      <c r="E32" s="1069">
        <v>0</v>
      </c>
      <c r="F32" s="1070">
        <v>0</v>
      </c>
      <c r="G32" s="1071"/>
      <c r="H32" s="1069">
        <f t="shared" si="5"/>
        <v>0</v>
      </c>
      <c r="I32" s="1070">
        <v>0</v>
      </c>
      <c r="J32" s="1071"/>
      <c r="K32" s="1072">
        <v>0</v>
      </c>
      <c r="L32" s="1070">
        <v>0</v>
      </c>
      <c r="M32" s="1071"/>
    </row>
    <row r="33" spans="1:13" ht="15.75" thickBot="1">
      <c r="A33" s="1013">
        <v>11</v>
      </c>
      <c r="B33" s="1907" t="s">
        <v>17</v>
      </c>
      <c r="C33" s="1907"/>
      <c r="D33" s="1907"/>
      <c r="E33" s="1073">
        <f>E28+E29+E30+E31+E32</f>
        <v>1744.4390000000003</v>
      </c>
      <c r="F33" s="1074">
        <f t="shared" ref="F33:L33" si="6">F28+F29+F30+F31+F32</f>
        <v>672662.45399999991</v>
      </c>
      <c r="G33" s="1075">
        <f t="shared" si="2"/>
        <v>32.133657009502755</v>
      </c>
      <c r="H33" s="1073">
        <f t="shared" si="6"/>
        <v>363.32800000000003</v>
      </c>
      <c r="I33" s="1074">
        <f t="shared" si="6"/>
        <v>226394.42200000008</v>
      </c>
      <c r="J33" s="1075">
        <f>+I33/12/H33</f>
        <v>51.926088364599863</v>
      </c>
      <c r="K33" s="1076">
        <f t="shared" si="6"/>
        <v>2107.7670000000003</v>
      </c>
      <c r="L33" s="1074">
        <f t="shared" si="6"/>
        <v>899056.87600000005</v>
      </c>
      <c r="M33" s="1075">
        <f t="shared" si="4"/>
        <v>35.545392983822843</v>
      </c>
    </row>
  </sheetData>
  <mergeCells count="35">
    <mergeCell ref="B33:D33"/>
    <mergeCell ref="A19:A21"/>
    <mergeCell ref="B19:D21"/>
    <mergeCell ref="E19:G19"/>
    <mergeCell ref="H19:J19"/>
    <mergeCell ref="K19:M19"/>
    <mergeCell ref="B22:B30"/>
    <mergeCell ref="C22:C28"/>
    <mergeCell ref="C29:D29"/>
    <mergeCell ref="C30:D30"/>
    <mergeCell ref="B31:D31"/>
    <mergeCell ref="B32:D32"/>
    <mergeCell ref="B15:D15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9" customWidth="1"/>
    <col min="5" max="5" width="9.7109375" customWidth="1"/>
    <col min="6" max="6" width="8.570312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8.85546875" customWidth="1"/>
    <col min="13" max="13" width="14.5703125" bestFit="1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18" t="s">
        <v>161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86">
        <v>139617</v>
      </c>
      <c r="F10" s="87">
        <v>11706</v>
      </c>
      <c r="G10" s="88">
        <v>55368</v>
      </c>
      <c r="H10" s="89">
        <v>452</v>
      </c>
      <c r="I10" s="86">
        <v>11761</v>
      </c>
      <c r="J10" s="88">
        <v>25</v>
      </c>
      <c r="K10" s="88">
        <v>163</v>
      </c>
      <c r="L10" s="89">
        <v>0</v>
      </c>
      <c r="M10" s="86">
        <v>7300</v>
      </c>
      <c r="N10" s="88">
        <v>389</v>
      </c>
      <c r="O10" s="88"/>
      <c r="P10" s="88"/>
      <c r="Q10" s="69">
        <v>0</v>
      </c>
      <c r="R10" s="70">
        <v>0</v>
      </c>
      <c r="S10" s="68">
        <v>212</v>
      </c>
      <c r="T10" s="70">
        <v>16</v>
      </c>
      <c r="U10" s="68">
        <v>3810</v>
      </c>
      <c r="V10" s="70">
        <v>82</v>
      </c>
      <c r="W10" s="90">
        <v>1198</v>
      </c>
      <c r="X10" s="91">
        <v>497</v>
      </c>
      <c r="Y10" s="92">
        <v>219429</v>
      </c>
      <c r="Z10" s="93">
        <v>13167</v>
      </c>
    </row>
    <row r="11" spans="1:26">
      <c r="A11" s="30">
        <v>2</v>
      </c>
      <c r="B11" s="1418"/>
      <c r="C11" s="1461" t="s">
        <v>9</v>
      </c>
      <c r="D11" s="1462"/>
      <c r="E11" s="76">
        <v>4398</v>
      </c>
      <c r="F11" s="94">
        <v>178</v>
      </c>
      <c r="G11" s="73">
        <v>6799</v>
      </c>
      <c r="H11" s="95">
        <v>71</v>
      </c>
      <c r="I11" s="76">
        <v>3545</v>
      </c>
      <c r="J11" s="73">
        <v>1583</v>
      </c>
      <c r="K11" s="73">
        <v>0</v>
      </c>
      <c r="L11" s="95">
        <v>0</v>
      </c>
      <c r="M11" s="76">
        <v>118</v>
      </c>
      <c r="N11" s="73">
        <v>0</v>
      </c>
      <c r="O11" s="73"/>
      <c r="P11" s="73"/>
      <c r="Q11" s="67">
        <v>0</v>
      </c>
      <c r="R11" s="74">
        <v>0</v>
      </c>
      <c r="S11" s="72">
        <v>123</v>
      </c>
      <c r="T11" s="74">
        <v>0</v>
      </c>
      <c r="U11" s="72">
        <v>1762</v>
      </c>
      <c r="V11" s="74">
        <v>20</v>
      </c>
      <c r="W11" s="96">
        <v>0</v>
      </c>
      <c r="X11" s="97">
        <v>0</v>
      </c>
      <c r="Y11" s="98">
        <v>16745</v>
      </c>
      <c r="Z11" s="99">
        <v>1852</v>
      </c>
    </row>
    <row r="12" spans="1:26">
      <c r="A12" s="33">
        <v>3</v>
      </c>
      <c r="B12" s="1418"/>
      <c r="C12" s="1405" t="s">
        <v>2</v>
      </c>
      <c r="D12" s="1406"/>
      <c r="E12" s="76">
        <v>97210</v>
      </c>
      <c r="F12" s="94">
        <v>5768</v>
      </c>
      <c r="G12" s="73">
        <v>9686</v>
      </c>
      <c r="H12" s="95">
        <v>644</v>
      </c>
      <c r="I12" s="76">
        <v>5610</v>
      </c>
      <c r="J12" s="73">
        <v>2941</v>
      </c>
      <c r="K12" s="73">
        <v>0</v>
      </c>
      <c r="L12" s="95">
        <v>35</v>
      </c>
      <c r="M12" s="76">
        <v>4096</v>
      </c>
      <c r="N12" s="73">
        <v>288</v>
      </c>
      <c r="O12" s="73"/>
      <c r="P12" s="73"/>
      <c r="Q12" s="67">
        <v>0</v>
      </c>
      <c r="R12" s="74">
        <v>0</v>
      </c>
      <c r="S12" s="72">
        <v>252</v>
      </c>
      <c r="T12" s="74">
        <v>0</v>
      </c>
      <c r="U12" s="72">
        <v>2985</v>
      </c>
      <c r="V12" s="74">
        <v>583</v>
      </c>
      <c r="W12" s="96">
        <v>1285</v>
      </c>
      <c r="X12" s="97">
        <v>540</v>
      </c>
      <c r="Y12" s="98">
        <v>121124</v>
      </c>
      <c r="Z12" s="99">
        <v>10799</v>
      </c>
    </row>
    <row r="13" spans="1:26">
      <c r="A13" s="33">
        <v>4</v>
      </c>
      <c r="B13" s="1463" t="s">
        <v>8</v>
      </c>
      <c r="C13" s="1464"/>
      <c r="D13" s="1465"/>
      <c r="E13" s="76">
        <v>2041</v>
      </c>
      <c r="F13" s="94">
        <v>0</v>
      </c>
      <c r="G13" s="73">
        <v>0</v>
      </c>
      <c r="H13" s="95">
        <v>0</v>
      </c>
      <c r="I13" s="76">
        <v>0</v>
      </c>
      <c r="J13" s="73">
        <v>0</v>
      </c>
      <c r="K13" s="73">
        <v>0</v>
      </c>
      <c r="L13" s="95">
        <v>0</v>
      </c>
      <c r="M13" s="76">
        <v>0</v>
      </c>
      <c r="N13" s="73">
        <v>0</v>
      </c>
      <c r="O13" s="73"/>
      <c r="P13" s="73"/>
      <c r="Q13" s="67">
        <v>0</v>
      </c>
      <c r="R13" s="74">
        <v>0</v>
      </c>
      <c r="S13" s="72">
        <v>0</v>
      </c>
      <c r="T13" s="74">
        <v>0</v>
      </c>
      <c r="U13" s="72">
        <v>1467</v>
      </c>
      <c r="V13" s="74">
        <v>568</v>
      </c>
      <c r="W13" s="96">
        <v>7580</v>
      </c>
      <c r="X13" s="97">
        <v>213</v>
      </c>
      <c r="Y13" s="98">
        <v>11088</v>
      </c>
      <c r="Z13" s="99">
        <v>781</v>
      </c>
    </row>
    <row r="14" spans="1:26" ht="15.75" thickBot="1">
      <c r="A14" s="36">
        <v>5</v>
      </c>
      <c r="B14" s="1421" t="s">
        <v>25</v>
      </c>
      <c r="C14" s="1422"/>
      <c r="D14" s="1423"/>
      <c r="E14" s="100">
        <v>0</v>
      </c>
      <c r="F14" s="101">
        <v>0</v>
      </c>
      <c r="G14" s="102">
        <v>0</v>
      </c>
      <c r="H14" s="103">
        <v>0</v>
      </c>
      <c r="I14" s="104">
        <v>0</v>
      </c>
      <c r="J14" s="105">
        <v>0</v>
      </c>
      <c r="K14" s="105">
        <v>0</v>
      </c>
      <c r="L14" s="106">
        <v>0</v>
      </c>
      <c r="M14" s="104">
        <v>0</v>
      </c>
      <c r="N14" s="105">
        <v>0</v>
      </c>
      <c r="O14" s="105"/>
      <c r="P14" s="105"/>
      <c r="Q14" s="105">
        <v>0</v>
      </c>
      <c r="R14" s="106">
        <v>0</v>
      </c>
      <c r="S14" s="107">
        <v>0</v>
      </c>
      <c r="T14" s="108">
        <v>0</v>
      </c>
      <c r="U14" s="109">
        <v>0</v>
      </c>
      <c r="V14" s="110">
        <v>0</v>
      </c>
      <c r="W14" s="111">
        <v>0</v>
      </c>
      <c r="X14" s="108">
        <v>0</v>
      </c>
      <c r="Y14" s="112">
        <v>0</v>
      </c>
      <c r="Z14" s="113"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114">
        <f>SUM(E10:E14)</f>
        <v>243266</v>
      </c>
      <c r="F15" s="115">
        <f t="shared" ref="F15:Z15" si="0">SUM(F10:F14)</f>
        <v>17652</v>
      </c>
      <c r="G15" s="116">
        <f t="shared" si="0"/>
        <v>71853</v>
      </c>
      <c r="H15" s="117">
        <f t="shared" si="0"/>
        <v>1167</v>
      </c>
      <c r="I15" s="118">
        <f t="shared" si="0"/>
        <v>20916</v>
      </c>
      <c r="J15" s="119">
        <f t="shared" si="0"/>
        <v>4549</v>
      </c>
      <c r="K15" s="119">
        <f t="shared" si="0"/>
        <v>163</v>
      </c>
      <c r="L15" s="120">
        <f t="shared" si="0"/>
        <v>35</v>
      </c>
      <c r="M15" s="118">
        <f t="shared" si="0"/>
        <v>11514</v>
      </c>
      <c r="N15" s="119">
        <f t="shared" si="0"/>
        <v>677</v>
      </c>
      <c r="O15" s="119"/>
      <c r="P15" s="119"/>
      <c r="Q15" s="119">
        <f t="shared" si="0"/>
        <v>0</v>
      </c>
      <c r="R15" s="120">
        <f t="shared" si="0"/>
        <v>0</v>
      </c>
      <c r="S15" s="121">
        <f t="shared" si="0"/>
        <v>587</v>
      </c>
      <c r="T15" s="122">
        <f t="shared" si="0"/>
        <v>16</v>
      </c>
      <c r="U15" s="123">
        <f t="shared" si="0"/>
        <v>10024</v>
      </c>
      <c r="V15" s="124">
        <f t="shared" si="0"/>
        <v>1253</v>
      </c>
      <c r="W15" s="125">
        <f t="shared" si="0"/>
        <v>10063</v>
      </c>
      <c r="X15" s="122">
        <f t="shared" si="0"/>
        <v>1250</v>
      </c>
      <c r="Y15" s="126">
        <f t="shared" si="0"/>
        <v>368386</v>
      </c>
      <c r="Z15" s="127">
        <f t="shared" si="0"/>
        <v>26599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/>
      <c r="B22" s="1394"/>
      <c r="C22" s="1459"/>
      <c r="D22" s="38" t="s">
        <v>11</v>
      </c>
      <c r="E22" s="1078">
        <v>36</v>
      </c>
      <c r="F22" s="1079">
        <v>24418</v>
      </c>
      <c r="G22" s="1080">
        <f>F22/12/E22*1000</f>
        <v>56523.148148148146</v>
      </c>
      <c r="H22" s="1078">
        <v>4</v>
      </c>
      <c r="I22" s="1079">
        <v>2402</v>
      </c>
      <c r="J22" s="1080">
        <f t="shared" ref="J22:J33" si="1">I22/12/H22*1000</f>
        <v>50041.666666666664</v>
      </c>
      <c r="K22" s="1083">
        <f>E22+H22</f>
        <v>40</v>
      </c>
      <c r="L22" s="1079">
        <f>F22+I22</f>
        <v>26820</v>
      </c>
      <c r="M22" s="1080">
        <f t="shared" ref="M22:M33" si="2">L22/12/K22*1000</f>
        <v>55875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1084">
        <v>83</v>
      </c>
      <c r="F23" s="830">
        <v>52974</v>
      </c>
      <c r="G23" s="1085">
        <f t="shared" ref="G23:G33" si="3">F23/12/E23*1000</f>
        <v>53186.74698795181</v>
      </c>
      <c r="H23" s="1084">
        <v>13</v>
      </c>
      <c r="I23" s="1086">
        <v>6703</v>
      </c>
      <c r="J23" s="1085">
        <f t="shared" si="1"/>
        <v>42967.948717948726</v>
      </c>
      <c r="K23" s="1083">
        <f>E23+H23</f>
        <v>96</v>
      </c>
      <c r="L23" s="1086">
        <f t="shared" ref="L23:L31" si="4">F23+I23</f>
        <v>59677</v>
      </c>
      <c r="M23" s="1085">
        <f t="shared" si="2"/>
        <v>51802.951388888883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829">
        <v>210</v>
      </c>
      <c r="F24" s="1086">
        <v>95503</v>
      </c>
      <c r="G24" s="1085">
        <f t="shared" si="3"/>
        <v>37898.015873015873</v>
      </c>
      <c r="H24" s="1084">
        <v>29</v>
      </c>
      <c r="I24" s="1086">
        <v>13923</v>
      </c>
      <c r="J24" s="1085">
        <f t="shared" si="1"/>
        <v>40008.620689655174</v>
      </c>
      <c r="K24" s="1083">
        <f>E24+H24</f>
        <v>239</v>
      </c>
      <c r="L24" s="1086">
        <f t="shared" si="4"/>
        <v>109426</v>
      </c>
      <c r="M24" s="1085">
        <f t="shared" si="2"/>
        <v>38154.114365411435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829">
        <v>30</v>
      </c>
      <c r="F25" s="1086">
        <v>10291</v>
      </c>
      <c r="G25" s="1085">
        <f t="shared" si="3"/>
        <v>28586.111111111113</v>
      </c>
      <c r="H25" s="1084">
        <v>1</v>
      </c>
      <c r="I25" s="1086">
        <v>505</v>
      </c>
      <c r="J25" s="1085">
        <f t="shared" si="1"/>
        <v>42083.333333333336</v>
      </c>
      <c r="K25" s="1083">
        <f>E25+H25</f>
        <v>31</v>
      </c>
      <c r="L25" s="1086">
        <f t="shared" si="4"/>
        <v>10796</v>
      </c>
      <c r="M25" s="1085">
        <f t="shared" si="2"/>
        <v>29021.505376344085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829">
        <v>27</v>
      </c>
      <c r="F26" s="1086">
        <v>9415</v>
      </c>
      <c r="G26" s="1085">
        <f t="shared" si="3"/>
        <v>29058.641975308641</v>
      </c>
      <c r="H26" s="1084">
        <v>0.5</v>
      </c>
      <c r="I26" s="1086">
        <v>216</v>
      </c>
      <c r="J26" s="1085">
        <f t="shared" si="1"/>
        <v>36000</v>
      </c>
      <c r="K26" s="1082">
        <f>E26+H26</f>
        <v>27.5</v>
      </c>
      <c r="L26" s="1086">
        <f t="shared" si="4"/>
        <v>9631</v>
      </c>
      <c r="M26" s="1085">
        <f t="shared" si="2"/>
        <v>29184.848484848488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38" t="s">
        <v>162</v>
      </c>
      <c r="E27" s="1078">
        <v>5</v>
      </c>
      <c r="F27" s="1079">
        <v>2384</v>
      </c>
      <c r="G27" s="1080">
        <f t="shared" si="3"/>
        <v>39733.333333333336</v>
      </c>
      <c r="H27" s="1081">
        <v>1.5</v>
      </c>
      <c r="I27" s="1079">
        <v>695</v>
      </c>
      <c r="J27" s="1080">
        <f t="shared" si="1"/>
        <v>38611.111111111109</v>
      </c>
      <c r="K27" s="1082">
        <f>E27+H27</f>
        <v>6.5</v>
      </c>
      <c r="L27" s="1079">
        <f>F27+I27</f>
        <v>3079</v>
      </c>
      <c r="M27" s="1080">
        <f t="shared" si="2"/>
        <v>39474.358974358969</v>
      </c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1084">
        <f>SUM(E22:E27)</f>
        <v>391</v>
      </c>
      <c r="F28" s="1084">
        <f>SUM(F22:F27)</f>
        <v>194985</v>
      </c>
      <c r="G28" s="1084">
        <f t="shared" si="3"/>
        <v>41556.90537084399</v>
      </c>
      <c r="H28" s="1084">
        <f>SUM(H22:H27)</f>
        <v>49</v>
      </c>
      <c r="I28" s="1084">
        <f>SUM(I22:I27)</f>
        <v>24444</v>
      </c>
      <c r="J28" s="1084">
        <f t="shared" si="1"/>
        <v>41571.428571428572</v>
      </c>
      <c r="K28" s="1084">
        <f>SUM(K22:K27)</f>
        <v>440</v>
      </c>
      <c r="L28" s="1084">
        <f>SUM(L22:L27)</f>
        <v>219429</v>
      </c>
      <c r="M28" s="1084">
        <f t="shared" si="2"/>
        <v>41558.522727272721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829">
        <v>27</v>
      </c>
      <c r="F29" s="1086">
        <v>11197</v>
      </c>
      <c r="G29" s="1085">
        <f t="shared" si="3"/>
        <v>34558.641975308645</v>
      </c>
      <c r="H29" s="1084">
        <v>11</v>
      </c>
      <c r="I29" s="1086">
        <v>5548</v>
      </c>
      <c r="J29" s="1085">
        <f t="shared" si="1"/>
        <v>42030.303030303032</v>
      </c>
      <c r="K29" s="1087">
        <f>E29+H29</f>
        <v>38</v>
      </c>
      <c r="L29" s="1086">
        <f t="shared" si="4"/>
        <v>16745</v>
      </c>
      <c r="M29" s="1085">
        <f t="shared" si="2"/>
        <v>36721.491228070176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829">
        <v>289</v>
      </c>
      <c r="F30" s="1086">
        <v>106896</v>
      </c>
      <c r="G30" s="1085">
        <f t="shared" si="3"/>
        <v>30823.529411764706</v>
      </c>
      <c r="H30" s="1084">
        <v>36</v>
      </c>
      <c r="I30" s="1086">
        <v>14228</v>
      </c>
      <c r="J30" s="1085">
        <f t="shared" si="1"/>
        <v>32935.18518518519</v>
      </c>
      <c r="K30" s="1087">
        <f>E30+H30</f>
        <v>325</v>
      </c>
      <c r="L30" s="1086">
        <f t="shared" si="4"/>
        <v>121124</v>
      </c>
      <c r="M30" s="1085">
        <f t="shared" si="2"/>
        <v>31057.435897435895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829">
        <v>11</v>
      </c>
      <c r="F31" s="1086">
        <v>2041</v>
      </c>
      <c r="G31" s="1085">
        <f t="shared" si="3"/>
        <v>15462.121212121212</v>
      </c>
      <c r="H31" s="1084">
        <v>43</v>
      </c>
      <c r="I31" s="1086">
        <v>9047</v>
      </c>
      <c r="J31" s="1085">
        <f t="shared" si="1"/>
        <v>17532.945736434107</v>
      </c>
      <c r="K31" s="1087">
        <f>E31+H31</f>
        <v>54</v>
      </c>
      <c r="L31" s="1086">
        <f t="shared" si="4"/>
        <v>11088</v>
      </c>
      <c r="M31" s="1085">
        <f t="shared" si="2"/>
        <v>17111.111111111109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15"/>
      <c r="F32" s="731"/>
      <c r="G32" s="732"/>
      <c r="H32" s="729"/>
      <c r="I32" s="731"/>
      <c r="J32" s="732"/>
      <c r="K32" s="730"/>
      <c r="L32" s="731"/>
      <c r="M32" s="732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1088">
        <f>E28+E29+E30+E31+E32</f>
        <v>718</v>
      </c>
      <c r="F33" s="1089">
        <f t="shared" ref="F33:L33" si="5">F28+F29+F30+F31+F32</f>
        <v>315119</v>
      </c>
      <c r="G33" s="1090">
        <f t="shared" si="3"/>
        <v>36573.700092850515</v>
      </c>
      <c r="H33" s="1091">
        <f t="shared" si="5"/>
        <v>139</v>
      </c>
      <c r="I33" s="1089">
        <f t="shared" si="5"/>
        <v>53267</v>
      </c>
      <c r="J33" s="1090">
        <f t="shared" si="1"/>
        <v>31934.652278177458</v>
      </c>
      <c r="K33" s="1092">
        <f t="shared" si="5"/>
        <v>857</v>
      </c>
      <c r="L33" s="1089">
        <f t="shared" si="5"/>
        <v>368386</v>
      </c>
      <c r="M33" s="1090">
        <f t="shared" si="2"/>
        <v>35821.275768183579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9.7109375" customWidth="1"/>
    <col min="6" max="6" width="9.4257812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1093">
        <v>251041</v>
      </c>
      <c r="F10" s="1094">
        <v>15143</v>
      </c>
      <c r="G10" s="1095">
        <v>31839</v>
      </c>
      <c r="H10" s="1096">
        <v>1366</v>
      </c>
      <c r="I10" s="1093">
        <v>451</v>
      </c>
      <c r="J10" s="1095">
        <v>1665</v>
      </c>
      <c r="K10" s="1095">
        <v>71</v>
      </c>
      <c r="L10" s="1096">
        <v>1545</v>
      </c>
      <c r="M10" s="1093">
        <v>185</v>
      </c>
      <c r="N10" s="1095">
        <v>4173</v>
      </c>
      <c r="O10" s="1095"/>
      <c r="P10" s="1095"/>
      <c r="Q10" s="1095">
        <v>0</v>
      </c>
      <c r="R10" s="1096">
        <v>81</v>
      </c>
      <c r="S10" s="1093">
        <v>0</v>
      </c>
      <c r="T10" s="1096">
        <v>0</v>
      </c>
      <c r="U10" s="1093">
        <v>4433</v>
      </c>
      <c r="V10" s="1096">
        <v>11469</v>
      </c>
      <c r="W10" s="1097">
        <v>22730</v>
      </c>
      <c r="X10" s="1098">
        <v>4522</v>
      </c>
      <c r="Y10" s="1099">
        <f t="shared" ref="Y10:Z14" si="0">E10+G10+I10+K10+M10+Q10+S10+U10+W10</f>
        <v>310750</v>
      </c>
      <c r="Z10" s="1100">
        <f t="shared" si="0"/>
        <v>39964</v>
      </c>
    </row>
    <row r="11" spans="1:26">
      <c r="A11" s="30">
        <v>2</v>
      </c>
      <c r="B11" s="1418"/>
      <c r="C11" s="1461" t="s">
        <v>9</v>
      </c>
      <c r="D11" s="1462"/>
      <c r="E11" s="745">
        <v>916</v>
      </c>
      <c r="F11" s="748">
        <v>360</v>
      </c>
      <c r="G11" s="746">
        <v>2226</v>
      </c>
      <c r="H11" s="747">
        <v>464</v>
      </c>
      <c r="I11" s="745">
        <v>10510</v>
      </c>
      <c r="J11" s="746">
        <v>4544</v>
      </c>
      <c r="K11" s="746">
        <v>1340</v>
      </c>
      <c r="L11" s="747">
        <v>0</v>
      </c>
      <c r="M11" s="745">
        <v>0</v>
      </c>
      <c r="N11" s="746">
        <v>120</v>
      </c>
      <c r="O11" s="746"/>
      <c r="P11" s="746"/>
      <c r="Q11" s="746">
        <v>0</v>
      </c>
      <c r="R11" s="747">
        <v>0</v>
      </c>
      <c r="S11" s="745">
        <v>0</v>
      </c>
      <c r="T11" s="747">
        <v>0</v>
      </c>
      <c r="U11" s="745">
        <v>549</v>
      </c>
      <c r="V11" s="747">
        <v>130</v>
      </c>
      <c r="W11" s="1101">
        <v>140</v>
      </c>
      <c r="X11" s="1102">
        <v>146</v>
      </c>
      <c r="Y11" s="1103">
        <f t="shared" si="0"/>
        <v>15681</v>
      </c>
      <c r="Z11" s="1104">
        <f t="shared" si="0"/>
        <v>5764</v>
      </c>
    </row>
    <row r="12" spans="1:26">
      <c r="A12" s="33">
        <v>3</v>
      </c>
      <c r="B12" s="1418"/>
      <c r="C12" s="1405" t="s">
        <v>2</v>
      </c>
      <c r="D12" s="1406"/>
      <c r="E12" s="745">
        <v>116776</v>
      </c>
      <c r="F12" s="748">
        <v>1486</v>
      </c>
      <c r="G12" s="746">
        <v>2372</v>
      </c>
      <c r="H12" s="747">
        <v>565</v>
      </c>
      <c r="I12" s="745">
        <v>612</v>
      </c>
      <c r="J12" s="746">
        <v>1034</v>
      </c>
      <c r="K12" s="746">
        <v>12</v>
      </c>
      <c r="L12" s="747">
        <v>0</v>
      </c>
      <c r="M12" s="745">
        <v>2759</v>
      </c>
      <c r="N12" s="746">
        <v>390</v>
      </c>
      <c r="O12" s="746"/>
      <c r="P12" s="746"/>
      <c r="Q12" s="746">
        <v>0</v>
      </c>
      <c r="R12" s="747">
        <v>316</v>
      </c>
      <c r="S12" s="745">
        <v>0</v>
      </c>
      <c r="T12" s="747">
        <v>0</v>
      </c>
      <c r="U12" s="745">
        <v>14330</v>
      </c>
      <c r="V12" s="747">
        <v>1060</v>
      </c>
      <c r="W12" s="1101">
        <v>14100</v>
      </c>
      <c r="X12" s="1102">
        <v>1040</v>
      </c>
      <c r="Y12" s="1103">
        <f t="shared" si="0"/>
        <v>150961</v>
      </c>
      <c r="Z12" s="1104">
        <f t="shared" si="0"/>
        <v>5891</v>
      </c>
    </row>
    <row r="13" spans="1:26">
      <c r="A13" s="33">
        <v>4</v>
      </c>
      <c r="B13" s="1463" t="s">
        <v>8</v>
      </c>
      <c r="C13" s="1464"/>
      <c r="D13" s="1465"/>
      <c r="E13" s="745">
        <v>851</v>
      </c>
      <c r="F13" s="748">
        <v>0</v>
      </c>
      <c r="G13" s="746">
        <v>0</v>
      </c>
      <c r="H13" s="747">
        <v>0</v>
      </c>
      <c r="I13" s="745">
        <v>0</v>
      </c>
      <c r="J13" s="746">
        <v>0</v>
      </c>
      <c r="K13" s="746">
        <v>0</v>
      </c>
      <c r="L13" s="747">
        <v>0</v>
      </c>
      <c r="M13" s="745">
        <v>0</v>
      </c>
      <c r="N13" s="746">
        <v>0</v>
      </c>
      <c r="O13" s="746"/>
      <c r="P13" s="746"/>
      <c r="Q13" s="746">
        <v>0</v>
      </c>
      <c r="R13" s="747">
        <v>0</v>
      </c>
      <c r="S13" s="745">
        <v>0</v>
      </c>
      <c r="T13" s="747">
        <v>0</v>
      </c>
      <c r="U13" s="745">
        <v>32232</v>
      </c>
      <c r="V13" s="747">
        <v>1526</v>
      </c>
      <c r="W13" s="1101">
        <v>0</v>
      </c>
      <c r="X13" s="1102">
        <v>0</v>
      </c>
      <c r="Y13" s="1103">
        <f t="shared" si="0"/>
        <v>33083</v>
      </c>
      <c r="Z13" s="1104">
        <f t="shared" si="0"/>
        <v>1526</v>
      </c>
    </row>
    <row r="14" spans="1:26" ht="15.75" thickBot="1">
      <c r="A14" s="36">
        <v>5</v>
      </c>
      <c r="B14" s="1421" t="s">
        <v>25</v>
      </c>
      <c r="C14" s="1422"/>
      <c r="D14" s="1423"/>
      <c r="E14" s="1105">
        <v>0</v>
      </c>
      <c r="F14" s="1106">
        <v>0</v>
      </c>
      <c r="G14" s="1107">
        <v>0</v>
      </c>
      <c r="H14" s="1108">
        <v>0</v>
      </c>
      <c r="I14" s="1105">
        <v>0</v>
      </c>
      <c r="J14" s="1107">
        <v>0</v>
      </c>
      <c r="K14" s="1107">
        <v>0</v>
      </c>
      <c r="L14" s="1108">
        <v>0</v>
      </c>
      <c r="M14" s="1105">
        <v>0</v>
      </c>
      <c r="N14" s="1107">
        <v>0</v>
      </c>
      <c r="O14" s="1107"/>
      <c r="P14" s="1107"/>
      <c r="Q14" s="1107">
        <v>0</v>
      </c>
      <c r="R14" s="1108">
        <v>0</v>
      </c>
      <c r="S14" s="1109">
        <v>0</v>
      </c>
      <c r="T14" s="1110">
        <v>0</v>
      </c>
      <c r="U14" s="1109">
        <v>0</v>
      </c>
      <c r="V14" s="1110">
        <v>0</v>
      </c>
      <c r="W14" s="1111">
        <v>0</v>
      </c>
      <c r="X14" s="1110">
        <v>0</v>
      </c>
      <c r="Y14" s="1112">
        <f t="shared" si="0"/>
        <v>0</v>
      </c>
      <c r="Z14" s="1113">
        <f t="shared" si="0"/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1114">
        <f>SUM(E10:E14)</f>
        <v>369584</v>
      </c>
      <c r="F15" s="1115">
        <f t="shared" ref="F15:Z15" si="1">SUM(F10:F14)</f>
        <v>16989</v>
      </c>
      <c r="G15" s="1116">
        <f t="shared" si="1"/>
        <v>36437</v>
      </c>
      <c r="H15" s="1117">
        <f t="shared" si="1"/>
        <v>2395</v>
      </c>
      <c r="I15" s="1114">
        <f t="shared" si="1"/>
        <v>11573</v>
      </c>
      <c r="J15" s="1116">
        <f t="shared" si="1"/>
        <v>7243</v>
      </c>
      <c r="K15" s="1116">
        <f t="shared" si="1"/>
        <v>1423</v>
      </c>
      <c r="L15" s="1117">
        <f t="shared" si="1"/>
        <v>1545</v>
      </c>
      <c r="M15" s="1114">
        <f t="shared" si="1"/>
        <v>2944</v>
      </c>
      <c r="N15" s="1116">
        <f t="shared" si="1"/>
        <v>4683</v>
      </c>
      <c r="O15" s="1116"/>
      <c r="P15" s="1116"/>
      <c r="Q15" s="1116">
        <f t="shared" si="1"/>
        <v>0</v>
      </c>
      <c r="R15" s="1117">
        <f t="shared" si="1"/>
        <v>397</v>
      </c>
      <c r="S15" s="1118">
        <f t="shared" si="1"/>
        <v>0</v>
      </c>
      <c r="T15" s="1119">
        <f t="shared" si="1"/>
        <v>0</v>
      </c>
      <c r="U15" s="1118">
        <f t="shared" si="1"/>
        <v>51544</v>
      </c>
      <c r="V15" s="1119">
        <f t="shared" si="1"/>
        <v>14185</v>
      </c>
      <c r="W15" s="1120">
        <f t="shared" si="1"/>
        <v>36970</v>
      </c>
      <c r="X15" s="1119">
        <f t="shared" si="1"/>
        <v>5708</v>
      </c>
      <c r="Y15" s="1121">
        <f t="shared" si="1"/>
        <v>510475</v>
      </c>
      <c r="Z15" s="1122">
        <f t="shared" si="1"/>
        <v>53145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334">
        <v>58</v>
      </c>
      <c r="F22" s="336">
        <v>46628</v>
      </c>
      <c r="G22" s="337">
        <f>F22/12/E22</f>
        <v>66.994252873563212</v>
      </c>
      <c r="H22" s="334">
        <v>0</v>
      </c>
      <c r="I22" s="336">
        <v>3742</v>
      </c>
      <c r="J22" s="337" t="s">
        <v>163</v>
      </c>
      <c r="K22" s="335">
        <f>E22+H22</f>
        <v>58</v>
      </c>
      <c r="L22" s="336">
        <f>F22+I22</f>
        <v>50370</v>
      </c>
      <c r="M22" s="337">
        <f>L22/12/K22</f>
        <v>72.370689655172413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342">
        <v>119</v>
      </c>
      <c r="F23" s="344">
        <v>86508</v>
      </c>
      <c r="G23" s="345">
        <f t="shared" ref="G23:G31" si="2">F23/12/E23</f>
        <v>60.579831932773111</v>
      </c>
      <c r="H23" s="342">
        <v>0</v>
      </c>
      <c r="I23" s="344">
        <v>11026</v>
      </c>
      <c r="J23" s="345" t="s">
        <v>163</v>
      </c>
      <c r="K23" s="343">
        <f t="shared" ref="K23:L32" si="3">E23+H23</f>
        <v>119</v>
      </c>
      <c r="L23" s="344">
        <f t="shared" si="3"/>
        <v>97534</v>
      </c>
      <c r="M23" s="345">
        <f t="shared" ref="M23:M31" si="4">L23/12/K23</f>
        <v>68.301120448179276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342">
        <v>301</v>
      </c>
      <c r="F24" s="344">
        <v>144200</v>
      </c>
      <c r="G24" s="345">
        <f t="shared" si="2"/>
        <v>39.922480620155035</v>
      </c>
      <c r="H24" s="342">
        <v>1</v>
      </c>
      <c r="I24" s="344">
        <v>12712</v>
      </c>
      <c r="J24" s="345" t="s">
        <v>163</v>
      </c>
      <c r="K24" s="343">
        <f t="shared" si="3"/>
        <v>302</v>
      </c>
      <c r="L24" s="344">
        <f t="shared" si="3"/>
        <v>156912</v>
      </c>
      <c r="M24" s="345">
        <f t="shared" si="4"/>
        <v>43.298013245033111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342">
        <v>17</v>
      </c>
      <c r="F25" s="344">
        <v>5253</v>
      </c>
      <c r="G25" s="345">
        <f t="shared" si="2"/>
        <v>25.75</v>
      </c>
      <c r="H25" s="342">
        <v>0</v>
      </c>
      <c r="I25" s="344">
        <v>390</v>
      </c>
      <c r="J25" s="345" t="s">
        <v>163</v>
      </c>
      <c r="K25" s="343">
        <f t="shared" si="3"/>
        <v>17</v>
      </c>
      <c r="L25" s="344">
        <f t="shared" si="3"/>
        <v>5643</v>
      </c>
      <c r="M25" s="345">
        <f t="shared" si="4"/>
        <v>27.661764705882351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342">
        <v>1</v>
      </c>
      <c r="F26" s="344">
        <v>291</v>
      </c>
      <c r="G26" s="345">
        <f t="shared" si="2"/>
        <v>24.25</v>
      </c>
      <c r="H26" s="342">
        <v>0</v>
      </c>
      <c r="I26" s="344">
        <v>0</v>
      </c>
      <c r="J26" s="345" t="s">
        <v>163</v>
      </c>
      <c r="K26" s="343">
        <f t="shared" si="3"/>
        <v>1</v>
      </c>
      <c r="L26" s="344">
        <f t="shared" si="3"/>
        <v>291</v>
      </c>
      <c r="M26" s="345">
        <f t="shared" si="4"/>
        <v>24.25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133"/>
      <c r="E27" s="342"/>
      <c r="F27" s="344"/>
      <c r="G27" s="345"/>
      <c r="H27" s="342"/>
      <c r="I27" s="344"/>
      <c r="J27" s="345"/>
      <c r="K27" s="343"/>
      <c r="L27" s="344"/>
      <c r="M27" s="345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342">
        <v>496</v>
      </c>
      <c r="F28" s="344">
        <v>282880</v>
      </c>
      <c r="G28" s="345">
        <f t="shared" si="2"/>
        <v>47.526881720430104</v>
      </c>
      <c r="H28" s="342">
        <v>1</v>
      </c>
      <c r="I28" s="344">
        <v>27870</v>
      </c>
      <c r="J28" s="345" t="s">
        <v>163</v>
      </c>
      <c r="K28" s="343">
        <f t="shared" si="3"/>
        <v>497</v>
      </c>
      <c r="L28" s="344">
        <f t="shared" si="3"/>
        <v>310750</v>
      </c>
      <c r="M28" s="345">
        <f t="shared" si="4"/>
        <v>52.104292421193826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342">
        <v>7</v>
      </c>
      <c r="F29" s="344">
        <v>3142</v>
      </c>
      <c r="G29" s="345">
        <f t="shared" si="2"/>
        <v>37.404761904761905</v>
      </c>
      <c r="H29" s="342">
        <v>29</v>
      </c>
      <c r="I29" s="344">
        <v>12539</v>
      </c>
      <c r="J29" s="345" t="s">
        <v>163</v>
      </c>
      <c r="K29" s="343">
        <f t="shared" si="3"/>
        <v>36</v>
      </c>
      <c r="L29" s="344">
        <f t="shared" si="3"/>
        <v>15681</v>
      </c>
      <c r="M29" s="345">
        <f t="shared" si="4"/>
        <v>36.298611111111114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342">
        <v>300</v>
      </c>
      <c r="F30" s="344">
        <v>119148</v>
      </c>
      <c r="G30" s="345">
        <f t="shared" si="2"/>
        <v>33.096666666666664</v>
      </c>
      <c r="H30" s="342">
        <v>48</v>
      </c>
      <c r="I30" s="344">
        <v>31813</v>
      </c>
      <c r="J30" s="345" t="s">
        <v>163</v>
      </c>
      <c r="K30" s="343">
        <f t="shared" si="3"/>
        <v>348</v>
      </c>
      <c r="L30" s="344">
        <f t="shared" si="3"/>
        <v>150961</v>
      </c>
      <c r="M30" s="345">
        <f t="shared" si="4"/>
        <v>36.149664750957854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342">
        <v>3</v>
      </c>
      <c r="F31" s="344">
        <v>851</v>
      </c>
      <c r="G31" s="345">
        <f t="shared" si="2"/>
        <v>23.638888888888889</v>
      </c>
      <c r="H31" s="342">
        <v>120</v>
      </c>
      <c r="I31" s="344">
        <v>32232</v>
      </c>
      <c r="J31" s="345" t="s">
        <v>163</v>
      </c>
      <c r="K31" s="343">
        <f t="shared" si="3"/>
        <v>123</v>
      </c>
      <c r="L31" s="344">
        <f t="shared" si="3"/>
        <v>33083</v>
      </c>
      <c r="M31" s="345">
        <f t="shared" si="4"/>
        <v>22.413956639566393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1123">
        <v>0</v>
      </c>
      <c r="F32" s="1124">
        <v>0</v>
      </c>
      <c r="G32" s="935" t="s">
        <v>163</v>
      </c>
      <c r="H32" s="1123">
        <v>0</v>
      </c>
      <c r="I32" s="1124">
        <v>0</v>
      </c>
      <c r="J32" s="935" t="s">
        <v>163</v>
      </c>
      <c r="K32" s="1125">
        <f t="shared" si="3"/>
        <v>0</v>
      </c>
      <c r="L32" s="1124">
        <f t="shared" si="3"/>
        <v>0</v>
      </c>
      <c r="M32" s="935" t="s">
        <v>163</v>
      </c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1126">
        <f>E28+E29+E30+E31+E32</f>
        <v>806</v>
      </c>
      <c r="F33" s="1127">
        <f t="shared" ref="F33:K33" si="5">F28+F29+F30+F31+F32</f>
        <v>406021</v>
      </c>
      <c r="G33" s="1128">
        <f>F33/12/E33</f>
        <v>41.979011579818035</v>
      </c>
      <c r="H33" s="1126">
        <f t="shared" si="5"/>
        <v>198</v>
      </c>
      <c r="I33" s="1127">
        <f t="shared" si="5"/>
        <v>104454</v>
      </c>
      <c r="J33" s="1128" t="s">
        <v>163</v>
      </c>
      <c r="K33" s="1129">
        <f t="shared" si="5"/>
        <v>1004</v>
      </c>
      <c r="L33" s="1127">
        <f>L28+L29+L30+L31+L32</f>
        <v>510475</v>
      </c>
      <c r="M33" s="1128">
        <f>L33/12/K33</f>
        <v>42.370102921646748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7109375" customWidth="1"/>
    <col min="4" max="4" width="14.7109375" customWidth="1"/>
    <col min="5" max="6" width="12.7109375" bestFit="1" customWidth="1"/>
    <col min="7" max="7" width="12" bestFit="1" customWidth="1"/>
    <col min="8" max="8" width="10.28515625" bestFit="1" customWidth="1"/>
    <col min="9" max="9" width="14.5703125" customWidth="1"/>
    <col min="10" max="10" width="10.42578125" customWidth="1"/>
    <col min="11" max="11" width="10" bestFit="1" customWidth="1"/>
    <col min="12" max="12" width="12.7109375" bestFit="1" customWidth="1"/>
    <col min="13" max="14" width="10" customWidth="1"/>
    <col min="15" max="16" width="10" style="28" customWidth="1"/>
    <col min="17" max="17" width="12.42578125" bestFit="1" customWidth="1"/>
    <col min="19" max="19" width="8.5703125" customWidth="1"/>
    <col min="20" max="20" width="7.7109375" customWidth="1"/>
    <col min="21" max="21" width="11.5703125" bestFit="1" customWidth="1"/>
    <col min="22" max="22" width="10" bestFit="1" customWidth="1"/>
    <col min="23" max="23" width="11" bestFit="1" customWidth="1"/>
    <col min="24" max="24" width="10" bestFit="1" customWidth="1"/>
    <col min="25" max="25" width="12.7109375" bestFit="1" customWidth="1"/>
    <col min="26" max="26" width="11" bestFit="1" customWidth="1"/>
  </cols>
  <sheetData>
    <row r="1" spans="1:26" ht="31.5">
      <c r="A1" s="136" t="s">
        <v>61</v>
      </c>
      <c r="B1" s="137"/>
      <c r="C1" s="137"/>
      <c r="D1" s="137"/>
      <c r="E1" s="137"/>
      <c r="F1" s="137"/>
      <c r="G1" s="137"/>
      <c r="H1" s="137"/>
      <c r="I1" s="138"/>
      <c r="J1" s="138"/>
      <c r="K1" s="138"/>
      <c r="L1" s="138"/>
      <c r="M1" s="138"/>
      <c r="N1" s="138"/>
      <c r="O1" s="138"/>
      <c r="P1" s="138"/>
      <c r="Q1" s="139"/>
      <c r="R1" s="139"/>
      <c r="S1" s="139"/>
      <c r="T1" s="139"/>
      <c r="U1" s="139"/>
      <c r="V1" s="139"/>
      <c r="W1" s="140"/>
      <c r="X1" s="140"/>
      <c r="Y1" s="140"/>
      <c r="Z1" s="140"/>
    </row>
    <row r="2" spans="1:26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23.25">
      <c r="A3" s="142" t="s">
        <v>72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3" t="s">
        <v>62</v>
      </c>
    </row>
    <row r="4" spans="1:26" ht="15.75" thickBot="1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38"/>
      <c r="S4" s="141"/>
      <c r="T4" s="141"/>
      <c r="U4" s="141"/>
      <c r="V4" s="141"/>
      <c r="W4" s="141"/>
      <c r="X4" s="141"/>
      <c r="Y4" s="141"/>
      <c r="Z4" s="144"/>
    </row>
    <row r="5" spans="1:26" ht="15.75">
      <c r="A5" s="1466" t="s">
        <v>1</v>
      </c>
      <c r="B5" s="1469" t="s">
        <v>7</v>
      </c>
      <c r="C5" s="1470"/>
      <c r="D5" s="1471"/>
      <c r="E5" s="1478" t="s">
        <v>35</v>
      </c>
      <c r="F5" s="1479"/>
      <c r="G5" s="1479"/>
      <c r="H5" s="1479"/>
      <c r="I5" s="1479"/>
      <c r="J5" s="1479"/>
      <c r="K5" s="1479"/>
      <c r="L5" s="1479"/>
      <c r="M5" s="1479"/>
      <c r="N5" s="1479"/>
      <c r="O5" s="1479"/>
      <c r="P5" s="1479"/>
      <c r="Q5" s="1479"/>
      <c r="R5" s="1479"/>
      <c r="S5" s="1479"/>
      <c r="T5" s="1479"/>
      <c r="U5" s="1479"/>
      <c r="V5" s="1479"/>
      <c r="W5" s="1479"/>
      <c r="X5" s="1479"/>
      <c r="Y5" s="1479"/>
      <c r="Z5" s="1480"/>
    </row>
    <row r="6" spans="1:26">
      <c r="A6" s="1467"/>
      <c r="B6" s="1472"/>
      <c r="C6" s="1473"/>
      <c r="D6" s="1474"/>
      <c r="E6" s="1481" t="s">
        <v>24</v>
      </c>
      <c r="F6" s="1482"/>
      <c r="G6" s="1482"/>
      <c r="H6" s="1483"/>
      <c r="I6" s="1481" t="s">
        <v>28</v>
      </c>
      <c r="J6" s="1482"/>
      <c r="K6" s="1482"/>
      <c r="L6" s="1483"/>
      <c r="M6" s="1481" t="s">
        <v>20</v>
      </c>
      <c r="N6" s="1482"/>
      <c r="O6" s="1482"/>
      <c r="P6" s="1482"/>
      <c r="Q6" s="1482"/>
      <c r="R6" s="1483"/>
      <c r="S6" s="1484" t="s">
        <v>18</v>
      </c>
      <c r="T6" s="1485"/>
      <c r="U6" s="1484" t="s">
        <v>5</v>
      </c>
      <c r="V6" s="1485"/>
      <c r="W6" s="1484" t="s">
        <v>21</v>
      </c>
      <c r="X6" s="1485"/>
      <c r="Y6" s="1486" t="s">
        <v>17</v>
      </c>
      <c r="Z6" s="1487"/>
    </row>
    <row r="7" spans="1:26">
      <c r="A7" s="1467"/>
      <c r="B7" s="1472"/>
      <c r="C7" s="1473"/>
      <c r="D7" s="1474"/>
      <c r="E7" s="1490" t="s">
        <v>19</v>
      </c>
      <c r="F7" s="1491"/>
      <c r="G7" s="1492" t="s">
        <v>27</v>
      </c>
      <c r="H7" s="1493"/>
      <c r="I7" s="1490" t="s">
        <v>73</v>
      </c>
      <c r="J7" s="1491"/>
      <c r="K7" s="1492" t="s">
        <v>29</v>
      </c>
      <c r="L7" s="1493"/>
      <c r="M7" s="1490" t="s">
        <v>64</v>
      </c>
      <c r="N7" s="1491"/>
      <c r="O7" s="1368"/>
      <c r="P7" s="1368"/>
      <c r="Q7" s="1492" t="s">
        <v>31</v>
      </c>
      <c r="R7" s="1493"/>
      <c r="S7" s="1481"/>
      <c r="T7" s="1483"/>
      <c r="U7" s="1481"/>
      <c r="V7" s="1483"/>
      <c r="W7" s="1481"/>
      <c r="X7" s="1483"/>
      <c r="Y7" s="1488"/>
      <c r="Z7" s="1489"/>
    </row>
    <row r="8" spans="1:26">
      <c r="A8" s="1467"/>
      <c r="B8" s="1472"/>
      <c r="C8" s="1473"/>
      <c r="D8" s="1474"/>
      <c r="E8" s="146" t="s">
        <v>6</v>
      </c>
      <c r="F8" s="145" t="s">
        <v>38</v>
      </c>
      <c r="G8" s="147" t="s">
        <v>6</v>
      </c>
      <c r="H8" s="148" t="s">
        <v>38</v>
      </c>
      <c r="I8" s="146" t="s">
        <v>6</v>
      </c>
      <c r="J8" s="147" t="s">
        <v>38</v>
      </c>
      <c r="K8" s="147" t="s">
        <v>6</v>
      </c>
      <c r="L8" s="148" t="s">
        <v>38</v>
      </c>
      <c r="M8" s="146" t="s">
        <v>6</v>
      </c>
      <c r="N8" s="147" t="s">
        <v>38</v>
      </c>
      <c r="O8" s="147"/>
      <c r="P8" s="147"/>
      <c r="Q8" s="147" t="s">
        <v>6</v>
      </c>
      <c r="R8" s="148" t="s">
        <v>38</v>
      </c>
      <c r="S8" s="146" t="s">
        <v>6</v>
      </c>
      <c r="T8" s="148" t="s">
        <v>38</v>
      </c>
      <c r="U8" s="146" t="s">
        <v>6</v>
      </c>
      <c r="V8" s="148" t="s">
        <v>38</v>
      </c>
      <c r="W8" s="146" t="s">
        <v>6</v>
      </c>
      <c r="X8" s="148" t="s">
        <v>38</v>
      </c>
      <c r="Y8" s="149" t="s">
        <v>65</v>
      </c>
      <c r="Z8" s="150" t="s">
        <v>38</v>
      </c>
    </row>
    <row r="9" spans="1:26" ht="15.75" thickBot="1">
      <c r="A9" s="1468"/>
      <c r="B9" s="1475"/>
      <c r="C9" s="1476"/>
      <c r="D9" s="1477"/>
      <c r="E9" s="151">
        <v>1</v>
      </c>
      <c r="F9" s="152">
        <f>E9+1</f>
        <v>2</v>
      </c>
      <c r="G9" s="153">
        <f t="shared" ref="G9:Z9" si="0">F9+1</f>
        <v>3</v>
      </c>
      <c r="H9" s="154">
        <f t="shared" si="0"/>
        <v>4</v>
      </c>
      <c r="I9" s="152">
        <f t="shared" si="0"/>
        <v>5</v>
      </c>
      <c r="J9" s="153">
        <f t="shared" si="0"/>
        <v>6</v>
      </c>
      <c r="K9" s="153">
        <f t="shared" si="0"/>
        <v>7</v>
      </c>
      <c r="L9" s="155">
        <f t="shared" si="0"/>
        <v>8</v>
      </c>
      <c r="M9" s="151">
        <f t="shared" si="0"/>
        <v>9</v>
      </c>
      <c r="N9" s="153">
        <f t="shared" si="0"/>
        <v>10</v>
      </c>
      <c r="O9" s="153"/>
      <c r="P9" s="153"/>
      <c r="Q9" s="153">
        <f>N9+1</f>
        <v>11</v>
      </c>
      <c r="R9" s="154">
        <f t="shared" si="0"/>
        <v>12</v>
      </c>
      <c r="S9" s="151">
        <f t="shared" si="0"/>
        <v>13</v>
      </c>
      <c r="T9" s="154">
        <f t="shared" si="0"/>
        <v>14</v>
      </c>
      <c r="U9" s="152">
        <f t="shared" si="0"/>
        <v>15</v>
      </c>
      <c r="V9" s="155">
        <f t="shared" si="0"/>
        <v>16</v>
      </c>
      <c r="W9" s="151">
        <f t="shared" si="0"/>
        <v>17</v>
      </c>
      <c r="X9" s="154">
        <f t="shared" si="0"/>
        <v>18</v>
      </c>
      <c r="Y9" s="156">
        <f t="shared" si="0"/>
        <v>19</v>
      </c>
      <c r="Z9" s="157">
        <f t="shared" si="0"/>
        <v>20</v>
      </c>
    </row>
    <row r="10" spans="1:26">
      <c r="A10" s="158">
        <v>1</v>
      </c>
      <c r="B10" s="1494" t="s">
        <v>26</v>
      </c>
      <c r="C10" s="1496" t="s">
        <v>16</v>
      </c>
      <c r="D10" s="1497"/>
      <c r="E10" s="159">
        <v>1395264.3119999999</v>
      </c>
      <c r="F10" s="160">
        <v>25810.120999999996</v>
      </c>
      <c r="G10" s="160">
        <v>417934.65199999994</v>
      </c>
      <c r="H10" s="161">
        <v>2547.924</v>
      </c>
      <c r="I10" s="162">
        <v>167468.33600000001</v>
      </c>
      <c r="J10" s="160">
        <v>8098.4550000000008</v>
      </c>
      <c r="K10" s="160">
        <v>5910.7060000000001</v>
      </c>
      <c r="L10" s="163">
        <v>470.37099999999998</v>
      </c>
      <c r="M10" s="159">
        <v>4684.3119999999999</v>
      </c>
      <c r="N10" s="160">
        <v>5475.7219999999998</v>
      </c>
      <c r="O10" s="160"/>
      <c r="P10" s="160"/>
      <c r="Q10" s="160">
        <v>12802.915000000001</v>
      </c>
      <c r="R10" s="161">
        <v>0</v>
      </c>
      <c r="S10" s="159">
        <v>0</v>
      </c>
      <c r="T10" s="161">
        <v>0</v>
      </c>
      <c r="U10" s="162">
        <v>14140.294000000002</v>
      </c>
      <c r="V10" s="163">
        <v>2373.3029999999999</v>
      </c>
      <c r="W10" s="159">
        <v>225590.36500000005</v>
      </c>
      <c r="X10" s="161">
        <v>29175.524000000001</v>
      </c>
      <c r="Y10" s="164">
        <f t="shared" ref="Y10:Z14" si="1">E10+G10+I10+K10+M10+Q10+S10+U10+W10</f>
        <v>2243795.892</v>
      </c>
      <c r="Z10" s="165">
        <f t="shared" si="1"/>
        <v>73951.42</v>
      </c>
    </row>
    <row r="11" spans="1:26">
      <c r="A11" s="158">
        <v>2</v>
      </c>
      <c r="B11" s="1495"/>
      <c r="C11" s="1498" t="s">
        <v>9</v>
      </c>
      <c r="D11" s="1499"/>
      <c r="E11" s="166">
        <v>69829.34599999999</v>
      </c>
      <c r="F11" s="167">
        <v>13844.030999999999</v>
      </c>
      <c r="G11" s="167">
        <v>111802.83199999999</v>
      </c>
      <c r="H11" s="168">
        <v>4999.7190000000001</v>
      </c>
      <c r="I11" s="169">
        <v>180438.80799999999</v>
      </c>
      <c r="J11" s="167">
        <v>13556.606999999998</v>
      </c>
      <c r="K11" s="167">
        <v>11166.761999999999</v>
      </c>
      <c r="L11" s="170">
        <v>829.56700000000001</v>
      </c>
      <c r="M11" s="166">
        <v>6128.1610000000001</v>
      </c>
      <c r="N11" s="167">
        <v>351.70000000000005</v>
      </c>
      <c r="O11" s="167"/>
      <c r="P11" s="167"/>
      <c r="Q11" s="167">
        <v>17414.654999999999</v>
      </c>
      <c r="R11" s="168">
        <v>387.91999999999996</v>
      </c>
      <c r="S11" s="166">
        <v>0</v>
      </c>
      <c r="T11" s="168">
        <v>0</v>
      </c>
      <c r="U11" s="169">
        <v>1802.2339999999997</v>
      </c>
      <c r="V11" s="170">
        <v>68.457999999999998</v>
      </c>
      <c r="W11" s="166">
        <v>16250.16</v>
      </c>
      <c r="X11" s="168">
        <v>2799.6189999999997</v>
      </c>
      <c r="Y11" s="171">
        <f t="shared" si="1"/>
        <v>414832.95799999998</v>
      </c>
      <c r="Z11" s="172">
        <f t="shared" si="1"/>
        <v>36837.620999999992</v>
      </c>
    </row>
    <row r="12" spans="1:26">
      <c r="A12" s="173">
        <v>3</v>
      </c>
      <c r="B12" s="1495"/>
      <c r="C12" s="1500" t="s">
        <v>2</v>
      </c>
      <c r="D12" s="1501"/>
      <c r="E12" s="166">
        <v>742074.73999999987</v>
      </c>
      <c r="F12" s="167">
        <v>76366.148000000016</v>
      </c>
      <c r="G12" s="167">
        <v>113136.568</v>
      </c>
      <c r="H12" s="168">
        <v>26277.125</v>
      </c>
      <c r="I12" s="169">
        <v>40012.950000000012</v>
      </c>
      <c r="J12" s="167">
        <v>32529.301000000003</v>
      </c>
      <c r="K12" s="167">
        <v>1984.2799999999997</v>
      </c>
      <c r="L12" s="170">
        <v>1486.8319999999999</v>
      </c>
      <c r="M12" s="166">
        <v>7729.0949999999993</v>
      </c>
      <c r="N12" s="167">
        <v>8394.8320000000003</v>
      </c>
      <c r="O12" s="167"/>
      <c r="P12" s="167"/>
      <c r="Q12" s="167">
        <v>5767.0069999999996</v>
      </c>
      <c r="R12" s="168">
        <v>2899.7170000000001</v>
      </c>
      <c r="S12" s="166">
        <v>199.5</v>
      </c>
      <c r="T12" s="168">
        <v>0</v>
      </c>
      <c r="U12" s="169">
        <v>32712.295000000002</v>
      </c>
      <c r="V12" s="170">
        <v>9450.3680000000022</v>
      </c>
      <c r="W12" s="166">
        <v>125245.395</v>
      </c>
      <c r="X12" s="168">
        <v>24175.903000000002</v>
      </c>
      <c r="Y12" s="171">
        <f t="shared" si="1"/>
        <v>1068861.8299999998</v>
      </c>
      <c r="Z12" s="172">
        <f t="shared" si="1"/>
        <v>181580.22600000002</v>
      </c>
    </row>
    <row r="13" spans="1:26">
      <c r="A13" s="173">
        <v>4</v>
      </c>
      <c r="B13" s="1502" t="s">
        <v>8</v>
      </c>
      <c r="C13" s="1503"/>
      <c r="D13" s="1504"/>
      <c r="E13" s="166">
        <v>105180.916</v>
      </c>
      <c r="F13" s="167">
        <v>1635.1289999999999</v>
      </c>
      <c r="G13" s="167">
        <v>0</v>
      </c>
      <c r="H13" s="168">
        <v>0</v>
      </c>
      <c r="I13" s="169">
        <v>0</v>
      </c>
      <c r="J13" s="167">
        <v>0</v>
      </c>
      <c r="K13" s="167">
        <v>0</v>
      </c>
      <c r="L13" s="170">
        <v>0</v>
      </c>
      <c r="M13" s="166">
        <v>0</v>
      </c>
      <c r="N13" s="167">
        <v>0</v>
      </c>
      <c r="O13" s="167"/>
      <c r="P13" s="167"/>
      <c r="Q13" s="167">
        <v>0</v>
      </c>
      <c r="R13" s="168">
        <v>0</v>
      </c>
      <c r="S13" s="166">
        <v>0</v>
      </c>
      <c r="T13" s="168">
        <v>0</v>
      </c>
      <c r="U13" s="169">
        <v>10615.02</v>
      </c>
      <c r="V13" s="170">
        <v>488.57499999999999</v>
      </c>
      <c r="W13" s="166">
        <v>2127.5720000000001</v>
      </c>
      <c r="X13" s="168">
        <v>33</v>
      </c>
      <c r="Y13" s="171">
        <f t="shared" si="1"/>
        <v>117923.508</v>
      </c>
      <c r="Z13" s="172">
        <f t="shared" si="1"/>
        <v>2156.7039999999997</v>
      </c>
    </row>
    <row r="14" spans="1:26" ht="15.75" thickBot="1">
      <c r="A14" s="174">
        <v>5</v>
      </c>
      <c r="B14" s="1505" t="s">
        <v>25</v>
      </c>
      <c r="C14" s="1506"/>
      <c r="D14" s="1507"/>
      <c r="E14" s="175">
        <v>0</v>
      </c>
      <c r="F14" s="176">
        <v>0</v>
      </c>
      <c r="G14" s="176">
        <v>0</v>
      </c>
      <c r="H14" s="177">
        <v>0</v>
      </c>
      <c r="I14" s="169">
        <v>0</v>
      </c>
      <c r="J14" s="167">
        <v>0</v>
      </c>
      <c r="K14" s="167">
        <v>0</v>
      </c>
      <c r="L14" s="170">
        <v>0</v>
      </c>
      <c r="M14" s="175">
        <v>0</v>
      </c>
      <c r="N14" s="176">
        <v>0</v>
      </c>
      <c r="O14" s="176"/>
      <c r="P14" s="176"/>
      <c r="Q14" s="176">
        <v>0</v>
      </c>
      <c r="R14" s="177">
        <v>0</v>
      </c>
      <c r="S14" s="175">
        <v>0</v>
      </c>
      <c r="T14" s="177">
        <v>0</v>
      </c>
      <c r="U14" s="169">
        <v>0</v>
      </c>
      <c r="V14" s="170">
        <v>0</v>
      </c>
      <c r="W14" s="175">
        <v>0</v>
      </c>
      <c r="X14" s="177">
        <v>0</v>
      </c>
      <c r="Y14" s="178">
        <f t="shared" si="1"/>
        <v>0</v>
      </c>
      <c r="Z14" s="179">
        <f t="shared" si="1"/>
        <v>0</v>
      </c>
    </row>
    <row r="15" spans="1:26" ht="15.75" thickBot="1">
      <c r="A15" s="180">
        <v>6</v>
      </c>
      <c r="B15" s="1508" t="s">
        <v>17</v>
      </c>
      <c r="C15" s="1509"/>
      <c r="D15" s="1510"/>
      <c r="E15" s="181">
        <f t="shared" ref="E15:Z15" si="2">SUM(E10:E14)</f>
        <v>2312349.3139999998</v>
      </c>
      <c r="F15" s="182">
        <f t="shared" si="2"/>
        <v>117655.42900000002</v>
      </c>
      <c r="G15" s="183">
        <f t="shared" si="2"/>
        <v>642874.05199999991</v>
      </c>
      <c r="H15" s="184">
        <f t="shared" si="2"/>
        <v>33824.767999999996</v>
      </c>
      <c r="I15" s="181">
        <f t="shared" si="2"/>
        <v>387920.09399999998</v>
      </c>
      <c r="J15" s="183">
        <f t="shared" si="2"/>
        <v>54184.362999999998</v>
      </c>
      <c r="K15" s="183">
        <f t="shared" si="2"/>
        <v>19061.748</v>
      </c>
      <c r="L15" s="184">
        <f t="shared" si="2"/>
        <v>2786.77</v>
      </c>
      <c r="M15" s="181">
        <f t="shared" si="2"/>
        <v>18541.567999999999</v>
      </c>
      <c r="N15" s="183">
        <f t="shared" si="2"/>
        <v>14222.254000000001</v>
      </c>
      <c r="O15" s="183"/>
      <c r="P15" s="183"/>
      <c r="Q15" s="183">
        <f t="shared" si="2"/>
        <v>35984.576999999997</v>
      </c>
      <c r="R15" s="184">
        <f t="shared" si="2"/>
        <v>3287.6370000000002</v>
      </c>
      <c r="S15" s="185">
        <f t="shared" si="2"/>
        <v>199.5</v>
      </c>
      <c r="T15" s="186">
        <f t="shared" si="2"/>
        <v>0</v>
      </c>
      <c r="U15" s="185">
        <f t="shared" si="2"/>
        <v>59269.843000000008</v>
      </c>
      <c r="V15" s="186">
        <f t="shared" si="2"/>
        <v>12380.704000000003</v>
      </c>
      <c r="W15" s="187">
        <f t="shared" si="2"/>
        <v>369213.49200000003</v>
      </c>
      <c r="X15" s="188">
        <f t="shared" si="2"/>
        <v>56184.046000000002</v>
      </c>
      <c r="Y15" s="189">
        <f t="shared" si="2"/>
        <v>3845414.1879999996</v>
      </c>
      <c r="Z15" s="190">
        <f t="shared" si="2"/>
        <v>294525.97100000002</v>
      </c>
    </row>
    <row r="16" spans="1:26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spans="1:26" ht="23.25">
      <c r="A17" s="142" t="s">
        <v>74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43" t="s">
        <v>62</v>
      </c>
      <c r="N17" s="191"/>
      <c r="O17" s="191"/>
      <c r="P17" s="191"/>
      <c r="Q17" s="191"/>
      <c r="R17" s="191"/>
      <c r="S17" s="191"/>
      <c r="T17" s="191"/>
      <c r="U17" s="191"/>
      <c r="V17" s="140"/>
      <c r="W17" s="140"/>
      <c r="X17" s="140"/>
      <c r="Y17" s="140"/>
      <c r="Z17" s="140"/>
    </row>
    <row r="18" spans="1:26" ht="15.75" thickBot="1">
      <c r="A18" s="192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3"/>
      <c r="N18" s="141"/>
      <c r="O18" s="141"/>
      <c r="P18" s="141"/>
      <c r="Q18" s="141"/>
      <c r="R18" s="141"/>
      <c r="S18" s="141"/>
      <c r="T18" s="141"/>
      <c r="U18" s="141"/>
      <c r="V18" s="141"/>
      <c r="W18" s="140"/>
      <c r="X18" s="140"/>
      <c r="Y18" s="140"/>
      <c r="Z18" s="140"/>
    </row>
    <row r="19" spans="1:26">
      <c r="A19" s="1511" t="s">
        <v>1</v>
      </c>
      <c r="B19" s="1514" t="s">
        <v>7</v>
      </c>
      <c r="C19" s="1514"/>
      <c r="D19" s="1514"/>
      <c r="E19" s="1517" t="s">
        <v>32</v>
      </c>
      <c r="F19" s="1518"/>
      <c r="G19" s="1519"/>
      <c r="H19" s="1520" t="s">
        <v>34</v>
      </c>
      <c r="I19" s="1521"/>
      <c r="J19" s="1522"/>
      <c r="K19" s="1518" t="s">
        <v>17</v>
      </c>
      <c r="L19" s="1518"/>
      <c r="M19" s="1519"/>
      <c r="N19" s="141"/>
      <c r="O19" s="141"/>
      <c r="P19" s="141"/>
      <c r="Q19" s="1454"/>
      <c r="R19" s="1454"/>
      <c r="S19" s="1454"/>
      <c r="T19" s="1454"/>
      <c r="U19" s="1454"/>
      <c r="V19" s="1454"/>
      <c r="W19" s="1454"/>
      <c r="X19" s="1454"/>
      <c r="Y19" s="1454"/>
      <c r="Z19" s="1454"/>
    </row>
    <row r="20" spans="1:26" ht="38.25">
      <c r="A20" s="1512"/>
      <c r="B20" s="1515"/>
      <c r="C20" s="1515"/>
      <c r="D20" s="1515"/>
      <c r="E20" s="146" t="s">
        <v>75</v>
      </c>
      <c r="F20" s="147" t="s">
        <v>33</v>
      </c>
      <c r="G20" s="148" t="s">
        <v>23</v>
      </c>
      <c r="H20" s="146" t="s">
        <v>22</v>
      </c>
      <c r="I20" s="147" t="s">
        <v>33</v>
      </c>
      <c r="J20" s="148" t="s">
        <v>23</v>
      </c>
      <c r="K20" s="145" t="s">
        <v>22</v>
      </c>
      <c r="L20" s="194" t="s">
        <v>33</v>
      </c>
      <c r="M20" s="148" t="s">
        <v>23</v>
      </c>
      <c r="N20" s="141"/>
      <c r="O20" s="141"/>
      <c r="P20" s="141"/>
      <c r="Q20" s="1454"/>
      <c r="R20" s="1454"/>
      <c r="S20" s="1454"/>
      <c r="T20" s="1454"/>
      <c r="U20" s="1454"/>
      <c r="V20" s="1454"/>
      <c r="W20" s="1454"/>
      <c r="X20" s="1454"/>
      <c r="Y20" s="1454"/>
      <c r="Z20" s="1454"/>
    </row>
    <row r="21" spans="1:26" ht="26.25" thickBot="1">
      <c r="A21" s="1513"/>
      <c r="B21" s="1516"/>
      <c r="C21" s="1516"/>
      <c r="D21" s="1516"/>
      <c r="E21" s="195">
        <v>1</v>
      </c>
      <c r="F21" s="196">
        <v>2</v>
      </c>
      <c r="G21" s="197" t="s">
        <v>47</v>
      </c>
      <c r="H21" s="195">
        <v>4</v>
      </c>
      <c r="I21" s="196">
        <v>5</v>
      </c>
      <c r="J21" s="197">
        <v>6</v>
      </c>
      <c r="K21" s="198">
        <v>7</v>
      </c>
      <c r="L21" s="199">
        <v>8</v>
      </c>
      <c r="M21" s="197" t="s">
        <v>49</v>
      </c>
      <c r="N21" s="200"/>
      <c r="O21" s="200"/>
      <c r="P21" s="200"/>
      <c r="Q21" s="141"/>
      <c r="R21" s="141"/>
      <c r="S21" s="141"/>
      <c r="T21" s="141"/>
      <c r="U21" s="200"/>
      <c r="V21" s="200"/>
      <c r="W21" s="200"/>
      <c r="X21" s="200"/>
      <c r="Y21" s="200"/>
      <c r="Z21" s="200"/>
    </row>
    <row r="22" spans="1:26">
      <c r="A22" s="201">
        <v>1</v>
      </c>
      <c r="B22" s="1525" t="s">
        <v>26</v>
      </c>
      <c r="C22" s="1527" t="s">
        <v>76</v>
      </c>
      <c r="D22" s="202" t="s">
        <v>11</v>
      </c>
      <c r="E22" s="203">
        <v>416.56</v>
      </c>
      <c r="F22" s="204">
        <v>365453.527</v>
      </c>
      <c r="G22" s="205">
        <f t="shared" ref="G22:G31" si="3">IF(E22=0,0,F22/12/E22)</f>
        <v>73.109421411881442</v>
      </c>
      <c r="H22" s="203">
        <f t="shared" ref="H22:I27" si="4">SUM(K22-E22)</f>
        <v>92.930999999999983</v>
      </c>
      <c r="I22" s="204">
        <f t="shared" si="4"/>
        <v>99112.291000000027</v>
      </c>
      <c r="J22" s="206" t="s">
        <v>68</v>
      </c>
      <c r="K22" s="207">
        <v>509.49099999999999</v>
      </c>
      <c r="L22" s="208">
        <v>464565.81800000003</v>
      </c>
      <c r="M22" s="205">
        <f t="shared" ref="M22:M33" si="5">IF(K22=0,0,L22/12/K22)</f>
        <v>75.985283678547162</v>
      </c>
      <c r="N22" s="141"/>
      <c r="O22" s="141"/>
      <c r="P22" s="141"/>
      <c r="Q22" s="141"/>
      <c r="R22" s="141"/>
      <c r="S22" s="209"/>
      <c r="T22" s="141"/>
      <c r="U22" s="141"/>
      <c r="V22" s="141"/>
      <c r="W22" s="141"/>
      <c r="X22" s="141"/>
      <c r="Y22" s="141"/>
      <c r="Z22" s="141"/>
    </row>
    <row r="23" spans="1:26">
      <c r="A23" s="201">
        <v>2</v>
      </c>
      <c r="B23" s="1526"/>
      <c r="C23" s="1527"/>
      <c r="D23" s="202" t="s">
        <v>12</v>
      </c>
      <c r="E23" s="210">
        <v>692.39</v>
      </c>
      <c r="F23" s="204">
        <v>483842.11599999998</v>
      </c>
      <c r="G23" s="205">
        <f t="shared" si="3"/>
        <v>58.233331407636349</v>
      </c>
      <c r="H23" s="210">
        <f t="shared" si="4"/>
        <v>122.15300000000002</v>
      </c>
      <c r="I23" s="204">
        <f t="shared" si="4"/>
        <v>100007.84399999998</v>
      </c>
      <c r="J23" s="206" t="s">
        <v>68</v>
      </c>
      <c r="K23" s="211">
        <v>814.54300000000001</v>
      </c>
      <c r="L23" s="212">
        <v>583849.96</v>
      </c>
      <c r="M23" s="205">
        <f t="shared" si="5"/>
        <v>59.731853730660418</v>
      </c>
      <c r="N23" s="141"/>
      <c r="O23" s="141"/>
      <c r="P23" s="141"/>
      <c r="Q23" s="141"/>
      <c r="R23" s="141"/>
      <c r="S23" s="209"/>
      <c r="T23" s="141"/>
      <c r="U23" s="141"/>
      <c r="V23" s="141"/>
      <c r="W23" s="141"/>
      <c r="X23" s="141"/>
      <c r="Y23" s="141"/>
      <c r="Z23" s="141"/>
    </row>
    <row r="24" spans="1:26">
      <c r="A24" s="213">
        <v>3</v>
      </c>
      <c r="B24" s="1526"/>
      <c r="C24" s="1527"/>
      <c r="D24" s="214" t="s">
        <v>13</v>
      </c>
      <c r="E24" s="210">
        <v>1446.9559999999999</v>
      </c>
      <c r="F24" s="204">
        <v>331383.88400000002</v>
      </c>
      <c r="G24" s="215">
        <f t="shared" si="3"/>
        <v>19.085116386860879</v>
      </c>
      <c r="H24" s="210">
        <f t="shared" si="4"/>
        <v>228.39700000000016</v>
      </c>
      <c r="I24" s="204">
        <f t="shared" si="4"/>
        <v>504246.14999999997</v>
      </c>
      <c r="J24" s="216" t="s">
        <v>68</v>
      </c>
      <c r="K24" s="211">
        <v>1675.3530000000001</v>
      </c>
      <c r="L24" s="212">
        <v>835630.03399999999</v>
      </c>
      <c r="M24" s="215">
        <f t="shared" si="5"/>
        <v>41.564873890258745</v>
      </c>
      <c r="N24" s="141"/>
      <c r="O24" s="141"/>
      <c r="P24" s="141"/>
      <c r="Q24" s="141"/>
      <c r="R24" s="141"/>
      <c r="S24" s="209"/>
      <c r="T24" s="141"/>
      <c r="U24" s="141"/>
      <c r="V24" s="141"/>
      <c r="W24" s="141"/>
      <c r="X24" s="141"/>
      <c r="Y24" s="141"/>
      <c r="Z24" s="141"/>
    </row>
    <row r="25" spans="1:26">
      <c r="A25" s="213">
        <v>4</v>
      </c>
      <c r="B25" s="1526"/>
      <c r="C25" s="1527"/>
      <c r="D25" s="214" t="s">
        <v>14</v>
      </c>
      <c r="E25" s="210">
        <v>255.946</v>
      </c>
      <c r="F25" s="204">
        <v>113308.06200000001</v>
      </c>
      <c r="G25" s="215">
        <f t="shared" si="3"/>
        <v>36.891916654294263</v>
      </c>
      <c r="H25" s="210">
        <f t="shared" si="4"/>
        <v>41.27000000000001</v>
      </c>
      <c r="I25" s="204">
        <f t="shared" si="4"/>
        <v>0</v>
      </c>
      <c r="J25" s="216" t="s">
        <v>68</v>
      </c>
      <c r="K25" s="211">
        <v>297.21600000000001</v>
      </c>
      <c r="L25" s="212">
        <v>113308.06200000001</v>
      </c>
      <c r="M25" s="215">
        <f t="shared" si="5"/>
        <v>31.769280590546941</v>
      </c>
      <c r="N25" s="141"/>
      <c r="O25" s="141"/>
      <c r="P25" s="141"/>
      <c r="Q25" s="141"/>
      <c r="R25" s="141"/>
      <c r="S25" s="209"/>
      <c r="T25" s="141"/>
      <c r="U25" s="141"/>
      <c r="V25" s="141"/>
      <c r="W25" s="141"/>
      <c r="X25" s="141"/>
      <c r="Y25" s="141"/>
      <c r="Z25" s="141"/>
    </row>
    <row r="26" spans="1:26">
      <c r="A26" s="213">
        <v>5</v>
      </c>
      <c r="B26" s="1526"/>
      <c r="C26" s="1527"/>
      <c r="D26" s="214" t="s">
        <v>15</v>
      </c>
      <c r="E26" s="210">
        <v>310.18900000000002</v>
      </c>
      <c r="F26" s="204">
        <v>121033.583</v>
      </c>
      <c r="G26" s="215">
        <f t="shared" si="3"/>
        <v>32.516085085759542</v>
      </c>
      <c r="H26" s="210">
        <f t="shared" si="4"/>
        <v>66.250999999999976</v>
      </c>
      <c r="I26" s="204">
        <f t="shared" si="4"/>
        <v>40502.723000000013</v>
      </c>
      <c r="J26" s="216" t="s">
        <v>68</v>
      </c>
      <c r="K26" s="211">
        <v>376.44</v>
      </c>
      <c r="L26" s="212">
        <v>161536.30600000001</v>
      </c>
      <c r="M26" s="215">
        <f t="shared" si="5"/>
        <v>35.759639871781253</v>
      </c>
      <c r="N26" s="141"/>
      <c r="O26" s="141"/>
      <c r="P26" s="141"/>
      <c r="Q26" s="141"/>
      <c r="R26" s="141"/>
      <c r="S26" s="209"/>
      <c r="T26" s="141"/>
      <c r="U26" s="141"/>
      <c r="V26" s="141"/>
      <c r="W26" s="141"/>
      <c r="X26" s="141"/>
      <c r="Y26" s="141"/>
      <c r="Z26" s="141"/>
    </row>
    <row r="27" spans="1:26">
      <c r="A27" s="213">
        <v>6</v>
      </c>
      <c r="B27" s="1526"/>
      <c r="C27" s="1527"/>
      <c r="D27" s="214" t="s">
        <v>69</v>
      </c>
      <c r="E27" s="210">
        <v>119.221</v>
      </c>
      <c r="F27" s="204">
        <v>70138.002999999997</v>
      </c>
      <c r="G27" s="215">
        <f t="shared" si="3"/>
        <v>49.025201796104149</v>
      </c>
      <c r="H27" s="210">
        <f t="shared" si="4"/>
        <v>37.748999999999995</v>
      </c>
      <c r="I27" s="204">
        <f t="shared" si="4"/>
        <v>14767.709000000003</v>
      </c>
      <c r="J27" s="216" t="s">
        <v>68</v>
      </c>
      <c r="K27" s="211">
        <v>156.97</v>
      </c>
      <c r="L27" s="212">
        <v>84905.712</v>
      </c>
      <c r="M27" s="215">
        <f t="shared" si="5"/>
        <v>45.075339236796836</v>
      </c>
      <c r="N27" s="217"/>
      <c r="O27" s="217"/>
      <c r="P27" s="217"/>
      <c r="Q27" s="141"/>
      <c r="R27" s="141"/>
      <c r="S27" s="209"/>
      <c r="T27" s="141"/>
      <c r="U27" s="141"/>
      <c r="V27" s="141"/>
      <c r="W27" s="141"/>
      <c r="X27" s="141"/>
      <c r="Y27" s="141"/>
      <c r="Z27" s="141"/>
    </row>
    <row r="28" spans="1:26">
      <c r="A28" s="213">
        <v>7</v>
      </c>
      <c r="B28" s="1526"/>
      <c r="C28" s="1528"/>
      <c r="D28" s="218" t="s">
        <v>17</v>
      </c>
      <c r="E28" s="219">
        <f>SUM(E22:E27)</f>
        <v>3241.2619999999997</v>
      </c>
      <c r="F28" s="220">
        <f>SUM(F22:F27)</f>
        <v>1485159.175</v>
      </c>
      <c r="G28" s="221">
        <f t="shared" si="3"/>
        <v>38.183665678162811</v>
      </c>
      <c r="H28" s="219">
        <f>SUM(H22:H27)</f>
        <v>588.7510000000002</v>
      </c>
      <c r="I28" s="220">
        <f>SUM(I22:I27)</f>
        <v>758636.71699999995</v>
      </c>
      <c r="J28" s="222" t="s">
        <v>68</v>
      </c>
      <c r="K28" s="223">
        <f t="shared" ref="K28:L32" si="6">E28+H28</f>
        <v>3830.0129999999999</v>
      </c>
      <c r="L28" s="224">
        <f t="shared" si="6"/>
        <v>2243795.892</v>
      </c>
      <c r="M28" s="221">
        <f t="shared" si="5"/>
        <v>48.820458572856019</v>
      </c>
      <c r="N28" s="225"/>
      <c r="O28" s="225"/>
      <c r="P28" s="225"/>
      <c r="Q28" s="141"/>
      <c r="R28" s="141"/>
      <c r="S28" s="209"/>
      <c r="T28" s="141"/>
      <c r="U28" s="141"/>
      <c r="V28" s="141"/>
      <c r="W28" s="141"/>
      <c r="X28" s="141"/>
      <c r="Y28" s="141"/>
      <c r="Z28" s="141"/>
    </row>
    <row r="29" spans="1:26">
      <c r="A29" s="213">
        <v>8</v>
      </c>
      <c r="B29" s="1526"/>
      <c r="C29" s="1529" t="s">
        <v>77</v>
      </c>
      <c r="D29" s="1530"/>
      <c r="E29" s="210">
        <v>369.55599999999998</v>
      </c>
      <c r="F29" s="204">
        <v>181632.17800000001</v>
      </c>
      <c r="G29" s="215">
        <f t="shared" si="3"/>
        <v>40.957296954543658</v>
      </c>
      <c r="H29" s="210">
        <f>SUM(K29-E29)</f>
        <v>517.51700000000005</v>
      </c>
      <c r="I29" s="204">
        <f>SUM(L29-F29)</f>
        <v>233200.77999999997</v>
      </c>
      <c r="J29" s="216" t="s">
        <v>68</v>
      </c>
      <c r="K29" s="211">
        <v>887.07299999999998</v>
      </c>
      <c r="L29" s="212">
        <v>414832.95799999998</v>
      </c>
      <c r="M29" s="215">
        <f t="shared" si="5"/>
        <v>38.970201061994523</v>
      </c>
      <c r="N29" s="225"/>
      <c r="O29" s="225"/>
      <c r="P29" s="225"/>
      <c r="Q29" s="141"/>
      <c r="R29" s="141"/>
      <c r="S29" s="209"/>
      <c r="T29" s="141"/>
      <c r="U29" s="141"/>
      <c r="V29" s="141"/>
      <c r="W29" s="141"/>
      <c r="X29" s="141"/>
      <c r="Y29" s="141"/>
      <c r="Z29" s="141"/>
    </row>
    <row r="30" spans="1:26">
      <c r="A30" s="213">
        <v>9</v>
      </c>
      <c r="B30" s="1494"/>
      <c r="C30" s="1531" t="s">
        <v>78</v>
      </c>
      <c r="D30" s="1532"/>
      <c r="E30" s="210">
        <v>2464.4140000000002</v>
      </c>
      <c r="F30" s="204">
        <v>855211.30799999996</v>
      </c>
      <c r="G30" s="215">
        <f t="shared" si="3"/>
        <v>28.91868371142186</v>
      </c>
      <c r="H30" s="210">
        <v>549.28899999999999</v>
      </c>
      <c r="I30" s="204">
        <v>215963.35200000001</v>
      </c>
      <c r="J30" s="216" t="s">
        <v>68</v>
      </c>
      <c r="K30" s="211">
        <v>3013.703</v>
      </c>
      <c r="L30" s="212">
        <v>1071174.6599999999</v>
      </c>
      <c r="M30" s="215">
        <f t="shared" si="5"/>
        <v>29.61955939254797</v>
      </c>
      <c r="N30" s="141"/>
      <c r="O30" s="141"/>
      <c r="P30" s="141"/>
      <c r="Q30" s="141"/>
      <c r="R30" s="141"/>
      <c r="S30" s="209"/>
      <c r="T30" s="141"/>
      <c r="U30" s="141"/>
      <c r="V30" s="141"/>
      <c r="W30" s="141"/>
      <c r="X30" s="141"/>
      <c r="Y30" s="141"/>
      <c r="Z30" s="141"/>
    </row>
    <row r="31" spans="1:26">
      <c r="A31" s="213">
        <v>10</v>
      </c>
      <c r="B31" s="1530" t="s">
        <v>8</v>
      </c>
      <c r="C31" s="1530"/>
      <c r="D31" s="1530"/>
      <c r="E31" s="210">
        <v>406.44799999999998</v>
      </c>
      <c r="F31" s="204">
        <v>105180.916</v>
      </c>
      <c r="G31" s="215">
        <f t="shared" si="3"/>
        <v>21.565062033355641</v>
      </c>
      <c r="H31" s="210">
        <v>24.957000000000001</v>
      </c>
      <c r="I31" s="204">
        <v>10429.762000000001</v>
      </c>
      <c r="J31" s="216" t="s">
        <v>68</v>
      </c>
      <c r="K31" s="211">
        <v>431.40300000000002</v>
      </c>
      <c r="L31" s="212">
        <f t="shared" si="6"/>
        <v>115610.678</v>
      </c>
      <c r="M31" s="215">
        <f t="shared" si="5"/>
        <v>22.332304519594594</v>
      </c>
      <c r="N31" s="141"/>
      <c r="O31" s="141"/>
      <c r="P31" s="141"/>
      <c r="Q31" s="5"/>
      <c r="R31" s="5"/>
      <c r="S31" s="5"/>
      <c r="T31" s="5"/>
      <c r="U31" s="5"/>
      <c r="V31" s="5"/>
      <c r="W31" s="5"/>
      <c r="X31" s="141"/>
      <c r="Y31" s="141"/>
      <c r="Z31" s="141"/>
    </row>
    <row r="32" spans="1:26" ht="15.75" thickBot="1">
      <c r="A32" s="226">
        <v>11</v>
      </c>
      <c r="B32" s="1523" t="s">
        <v>25</v>
      </c>
      <c r="C32" s="1523"/>
      <c r="D32" s="1523"/>
      <c r="E32" s="227">
        <v>0</v>
      </c>
      <c r="F32" s="228">
        <v>0</v>
      </c>
      <c r="G32" s="229" t="s">
        <v>68</v>
      </c>
      <c r="H32" s="227">
        <v>0</v>
      </c>
      <c r="I32" s="228">
        <v>0</v>
      </c>
      <c r="J32" s="230" t="s">
        <v>68</v>
      </c>
      <c r="K32" s="231">
        <f t="shared" si="6"/>
        <v>0</v>
      </c>
      <c r="L32" s="232">
        <f t="shared" si="6"/>
        <v>0</v>
      </c>
      <c r="M32" s="229" t="s">
        <v>68</v>
      </c>
      <c r="N32" s="141"/>
      <c r="O32" s="141"/>
      <c r="P32" s="141"/>
      <c r="Q32" s="5"/>
      <c r="R32" s="5"/>
      <c r="S32" s="5"/>
      <c r="T32" s="5"/>
      <c r="U32" s="5"/>
      <c r="V32" s="5"/>
      <c r="W32" s="5"/>
      <c r="X32" s="141"/>
      <c r="Y32" s="141"/>
      <c r="Z32" s="141"/>
    </row>
    <row r="33" spans="1:26" ht="15.75" thickBot="1">
      <c r="A33" s="233">
        <v>12</v>
      </c>
      <c r="B33" s="1524" t="s">
        <v>17</v>
      </c>
      <c r="C33" s="1524"/>
      <c r="D33" s="1524"/>
      <c r="E33" s="234">
        <f>E28+E29+E30+E31+E32</f>
        <v>6481.68</v>
      </c>
      <c r="F33" s="235">
        <f>F28+F29+F30+F31+F32</f>
        <v>2627183.5770000005</v>
      </c>
      <c r="G33" s="236">
        <f>IF(E33=0,0,F33/12/E33)</f>
        <v>33.777040018945712</v>
      </c>
      <c r="H33" s="234">
        <f>H28+H29+H30+H31+H32</f>
        <v>1680.5140000000004</v>
      </c>
      <c r="I33" s="235">
        <f>I28+I29+I30+I31+I32</f>
        <v>1218230.611</v>
      </c>
      <c r="J33" s="237" t="s">
        <v>68</v>
      </c>
      <c r="K33" s="238">
        <f>K28+K29+K30+K31+K32</f>
        <v>8162.1920000000009</v>
      </c>
      <c r="L33" s="235">
        <f>L28+L29+L30+L31+L32</f>
        <v>3845414.1879999996</v>
      </c>
      <c r="M33" s="239">
        <f t="shared" si="5"/>
        <v>39.260431797406049</v>
      </c>
      <c r="N33" s="141"/>
      <c r="O33" s="141"/>
      <c r="P33" s="141"/>
      <c r="Q33" s="1359"/>
      <c r="R33" s="240"/>
      <c r="S33" s="240"/>
      <c r="T33" s="240"/>
      <c r="U33" s="1359"/>
      <c r="V33" s="240"/>
      <c r="W33" s="240"/>
      <c r="X33" s="241"/>
      <c r="Y33" s="1360"/>
      <c r="Z33" s="241"/>
    </row>
  </sheetData>
  <mergeCells count="36">
    <mergeCell ref="B32:D32"/>
    <mergeCell ref="B33:D33"/>
    <mergeCell ref="Q19:Z20"/>
    <mergeCell ref="B22:B30"/>
    <mergeCell ref="C22:C28"/>
    <mergeCell ref="C29:D29"/>
    <mergeCell ref="C30:D30"/>
    <mergeCell ref="B31:D31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4.5703125" customWidth="1"/>
    <col min="5" max="5" width="13.5703125" customWidth="1"/>
    <col min="6" max="6" width="11.5703125" customWidth="1"/>
    <col min="7" max="7" width="10.7109375" customWidth="1"/>
    <col min="8" max="8" width="12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12.7109375" customWidth="1"/>
    <col min="18" max="18" width="16.85546875" customWidth="1"/>
    <col min="19" max="19" width="8.42578125" customWidth="1"/>
    <col min="20" max="20" width="15.28515625" customWidth="1"/>
    <col min="21" max="21" width="11.28515625" customWidth="1"/>
    <col min="25" max="25" width="11.42578125" customWidth="1"/>
  </cols>
  <sheetData>
    <row r="1" spans="1:26" s="28" customFormat="1"/>
    <row r="2" spans="1:26" s="28" customFormat="1"/>
    <row r="3" spans="1:26" s="28" customFormat="1"/>
    <row r="4" spans="1:26" s="28" customFormat="1" ht="15.75" thickBot="1"/>
    <row r="5" spans="1:26" ht="15.75" thickBot="1">
      <c r="A5" s="1744" t="s">
        <v>1</v>
      </c>
      <c r="B5" s="1747" t="s">
        <v>7</v>
      </c>
      <c r="C5" s="1748"/>
      <c r="D5" s="1749"/>
      <c r="E5" s="1756" t="s">
        <v>35</v>
      </c>
      <c r="F5" s="1757"/>
      <c r="G5" s="1757"/>
      <c r="H5" s="1757"/>
      <c r="I5" s="1757"/>
      <c r="J5" s="1757"/>
      <c r="K5" s="1757"/>
      <c r="L5" s="1757"/>
      <c r="M5" s="1757"/>
      <c r="N5" s="1757"/>
      <c r="O5" s="1757"/>
      <c r="P5" s="1757"/>
      <c r="Q5" s="1757"/>
      <c r="R5" s="1757"/>
      <c r="S5" s="1757"/>
      <c r="T5" s="1757"/>
      <c r="U5" s="1757"/>
      <c r="V5" s="1757"/>
      <c r="W5" s="1757"/>
      <c r="X5" s="1757"/>
      <c r="Y5" s="1757"/>
      <c r="Z5" s="1758"/>
    </row>
    <row r="6" spans="1:26" s="28" customFormat="1" ht="15.75" thickBot="1">
      <c r="A6" s="1745"/>
      <c r="B6" s="1750"/>
      <c r="C6" s="1751"/>
      <c r="D6" s="1752"/>
      <c r="E6" s="1373"/>
      <c r="F6" s="1374"/>
      <c r="G6" s="1374"/>
      <c r="H6" s="1374"/>
      <c r="I6" s="1374"/>
      <c r="J6" s="1374"/>
      <c r="K6" s="1374"/>
      <c r="L6" s="1374"/>
      <c r="M6" s="1374"/>
      <c r="N6" s="1374"/>
      <c r="O6" s="1374"/>
      <c r="P6" s="1374"/>
      <c r="Q6" s="1374"/>
      <c r="R6" s="1374"/>
      <c r="S6" s="1374"/>
      <c r="T6" s="1374"/>
      <c r="U6" s="1374"/>
      <c r="V6" s="1374"/>
      <c r="W6" s="1374"/>
      <c r="X6" s="1374"/>
      <c r="Y6" s="1375"/>
      <c r="Z6" s="1376"/>
    </row>
    <row r="7" spans="1:26">
      <c r="A7" s="1745"/>
      <c r="B7" s="1750"/>
      <c r="C7" s="1751"/>
      <c r="D7" s="1752"/>
      <c r="E7" s="1402" t="s">
        <v>24</v>
      </c>
      <c r="F7" s="1403"/>
      <c r="G7" s="1403"/>
      <c r="H7" s="1404"/>
      <c r="I7" s="1402" t="s">
        <v>28</v>
      </c>
      <c r="J7" s="1403"/>
      <c r="K7" s="1403"/>
      <c r="L7" s="1404"/>
      <c r="M7" s="1402" t="s">
        <v>20</v>
      </c>
      <c r="N7" s="1403"/>
      <c r="O7" s="1403"/>
      <c r="P7" s="1403"/>
      <c r="Q7" s="1403"/>
      <c r="R7" s="1404"/>
      <c r="S7" s="1970" t="s">
        <v>18</v>
      </c>
      <c r="T7" s="1971"/>
      <c r="U7" s="1970" t="s">
        <v>5</v>
      </c>
      <c r="V7" s="1971"/>
      <c r="W7" s="1970" t="s">
        <v>21</v>
      </c>
      <c r="X7" s="1974"/>
      <c r="Y7" s="1766" t="s">
        <v>17</v>
      </c>
      <c r="Z7" s="1767"/>
    </row>
    <row r="8" spans="1:26">
      <c r="A8" s="1745"/>
      <c r="B8" s="1750"/>
      <c r="C8" s="1751"/>
      <c r="D8" s="1752"/>
      <c r="E8" s="1773" t="s">
        <v>19</v>
      </c>
      <c r="F8" s="1774"/>
      <c r="G8" s="1775" t="s">
        <v>27</v>
      </c>
      <c r="H8" s="1776"/>
      <c r="I8" s="1773" t="s">
        <v>63</v>
      </c>
      <c r="J8" s="1774"/>
      <c r="K8" s="1775" t="s">
        <v>29</v>
      </c>
      <c r="L8" s="1776"/>
      <c r="M8" s="1773" t="s">
        <v>59</v>
      </c>
      <c r="N8" s="1774"/>
      <c r="O8" s="1381"/>
      <c r="P8" s="1381"/>
      <c r="Q8" s="1775" t="s">
        <v>31</v>
      </c>
      <c r="R8" s="1776"/>
      <c r="S8" s="1972"/>
      <c r="T8" s="1973"/>
      <c r="U8" s="1972"/>
      <c r="V8" s="1973"/>
      <c r="W8" s="1972"/>
      <c r="X8" s="1975"/>
      <c r="Y8" s="1768"/>
      <c r="Z8" s="1769"/>
    </row>
    <row r="9" spans="1:26" ht="15.75" thickBot="1">
      <c r="A9" s="1746"/>
      <c r="B9" s="1753"/>
      <c r="C9" s="1754"/>
      <c r="D9" s="1755"/>
      <c r="E9" s="729" t="s">
        <v>6</v>
      </c>
      <c r="F9" s="730" t="s">
        <v>38</v>
      </c>
      <c r="G9" s="731" t="s">
        <v>6</v>
      </c>
      <c r="H9" s="732" t="s">
        <v>38</v>
      </c>
      <c r="I9" s="729" t="s">
        <v>6</v>
      </c>
      <c r="J9" s="731" t="s">
        <v>38</v>
      </c>
      <c r="K9" s="731" t="s">
        <v>6</v>
      </c>
      <c r="L9" s="732" t="s">
        <v>38</v>
      </c>
      <c r="M9" s="729" t="s">
        <v>6</v>
      </c>
      <c r="N9" s="731" t="s">
        <v>38</v>
      </c>
      <c r="O9" s="731"/>
      <c r="P9" s="731"/>
      <c r="Q9" s="731" t="s">
        <v>6</v>
      </c>
      <c r="R9" s="732" t="s">
        <v>38</v>
      </c>
      <c r="S9" s="729" t="s">
        <v>6</v>
      </c>
      <c r="T9" s="732" t="s">
        <v>38</v>
      </c>
      <c r="U9" s="729" t="s">
        <v>6</v>
      </c>
      <c r="V9" s="732" t="s">
        <v>38</v>
      </c>
      <c r="W9" s="729" t="s">
        <v>6</v>
      </c>
      <c r="X9" s="1385" t="s">
        <v>38</v>
      </c>
      <c r="Y9" s="736" t="s">
        <v>65</v>
      </c>
      <c r="Z9" s="737" t="s">
        <v>38</v>
      </c>
    </row>
    <row r="10" spans="1:26">
      <c r="A10" s="1137">
        <v>1</v>
      </c>
      <c r="B10" s="1979" t="s">
        <v>30</v>
      </c>
      <c r="C10" s="1982" t="s">
        <v>16</v>
      </c>
      <c r="D10" s="1983"/>
      <c r="E10" s="1140">
        <v>264468.40299999999</v>
      </c>
      <c r="F10" s="1141">
        <v>6808.7650000000003</v>
      </c>
      <c r="G10" s="1141">
        <v>91576.462</v>
      </c>
      <c r="H10" s="1141">
        <v>1271.2460000000001</v>
      </c>
      <c r="I10" s="1141">
        <v>10283.544</v>
      </c>
      <c r="J10" s="1141">
        <v>316.07400000000001</v>
      </c>
      <c r="K10" s="1141">
        <v>1418.3969999999999</v>
      </c>
      <c r="L10" s="1141">
        <v>61.6</v>
      </c>
      <c r="M10" s="1141">
        <v>5965.2910000000002</v>
      </c>
      <c r="N10" s="1141">
        <v>930.32600000000002</v>
      </c>
      <c r="O10" s="1141"/>
      <c r="P10" s="1141"/>
      <c r="Q10" s="1141">
        <v>0</v>
      </c>
      <c r="R10" s="1141">
        <v>0</v>
      </c>
      <c r="S10" s="1141">
        <v>1732.635</v>
      </c>
      <c r="T10" s="1141">
        <v>24.581</v>
      </c>
      <c r="U10" s="1141">
        <v>6391.2060000000001</v>
      </c>
      <c r="V10" s="1141">
        <v>333.40699999999998</v>
      </c>
      <c r="W10" s="1141">
        <v>8105.2560000000003</v>
      </c>
      <c r="X10" s="1141">
        <v>7412.3779999999997</v>
      </c>
      <c r="Y10" s="1141">
        <f t="shared" ref="Y10:Z14" si="0">E10+G10+I10+K10+M10+Q10+S10+U10+W10</f>
        <v>389941.19400000002</v>
      </c>
      <c r="Z10" s="1142">
        <f t="shared" si="0"/>
        <v>17158.377</v>
      </c>
    </row>
    <row r="11" spans="1:26">
      <c r="A11" s="1137">
        <v>2</v>
      </c>
      <c r="B11" s="1980"/>
      <c r="C11" s="1794" t="s">
        <v>9</v>
      </c>
      <c r="D11" s="1984"/>
      <c r="E11" s="1386">
        <v>11236.825000000001</v>
      </c>
      <c r="F11" s="1383">
        <v>1157.5450000000001</v>
      </c>
      <c r="G11" s="1138">
        <v>10543.630999999999</v>
      </c>
      <c r="H11" s="1138">
        <v>5498.9849999999997</v>
      </c>
      <c r="I11" s="1383">
        <v>18679.342000000001</v>
      </c>
      <c r="J11" s="1138">
        <v>31370.114000000001</v>
      </c>
      <c r="K11" s="1138">
        <v>4556.3410000000003</v>
      </c>
      <c r="L11" s="1138">
        <v>2139.5369999999998</v>
      </c>
      <c r="M11" s="1138">
        <v>9926.76</v>
      </c>
      <c r="N11" s="1138">
        <v>3163.6410000000001</v>
      </c>
      <c r="O11" s="1138"/>
      <c r="P11" s="1138"/>
      <c r="Q11" s="1138">
        <v>3627.9409999999998</v>
      </c>
      <c r="R11" s="1138">
        <v>4556.0829999999996</v>
      </c>
      <c r="S11" s="1138">
        <v>299.30099999999999</v>
      </c>
      <c r="T11" s="1138">
        <v>27.236999999999998</v>
      </c>
      <c r="U11" s="1138">
        <v>581.54200000000003</v>
      </c>
      <c r="V11" s="1138">
        <v>3224.3580000000002</v>
      </c>
      <c r="W11" s="1138">
        <v>1382.809</v>
      </c>
      <c r="X11" s="1138">
        <v>4125.6379999999999</v>
      </c>
      <c r="Y11" s="1138">
        <f t="shared" si="0"/>
        <v>60834.491999999998</v>
      </c>
      <c r="Z11" s="1143">
        <f t="shared" si="0"/>
        <v>55263.137999999999</v>
      </c>
    </row>
    <row r="12" spans="1:26">
      <c r="A12" s="1145">
        <v>3</v>
      </c>
      <c r="B12" s="1981"/>
      <c r="C12" s="1794" t="s">
        <v>2</v>
      </c>
      <c r="D12" s="1984"/>
      <c r="E12" s="1144">
        <v>179467.9</v>
      </c>
      <c r="F12" s="1138">
        <v>5811.0190000000002</v>
      </c>
      <c r="G12" s="1138">
        <v>11731.273999999999</v>
      </c>
      <c r="H12" s="1138">
        <v>938.37599999999998</v>
      </c>
      <c r="I12" s="1138">
        <v>1886.1679999999999</v>
      </c>
      <c r="J12" s="1138">
        <v>1133.21</v>
      </c>
      <c r="K12" s="1138">
        <v>109.083</v>
      </c>
      <c r="L12" s="1138">
        <v>48</v>
      </c>
      <c r="M12" s="1138">
        <v>1636.3620000000001</v>
      </c>
      <c r="N12" s="1138">
        <v>188.11500000000001</v>
      </c>
      <c r="O12" s="1138"/>
      <c r="P12" s="1138"/>
      <c r="Q12" s="1138">
        <v>858.61300000000006</v>
      </c>
      <c r="R12" s="1138">
        <v>122.375</v>
      </c>
      <c r="S12" s="1138">
        <v>977.31700000000001</v>
      </c>
      <c r="T12" s="1138">
        <v>7</v>
      </c>
      <c r="U12" s="1138">
        <v>2173.5410000000002</v>
      </c>
      <c r="V12" s="1138">
        <v>1357.182</v>
      </c>
      <c r="W12" s="1138">
        <v>9774.518</v>
      </c>
      <c r="X12" s="1138">
        <v>2457.7370000000001</v>
      </c>
      <c r="Y12" s="1138">
        <f t="shared" si="0"/>
        <v>208614.77600000004</v>
      </c>
      <c r="Z12" s="1143">
        <f t="shared" si="0"/>
        <v>12063.014000000003</v>
      </c>
    </row>
    <row r="13" spans="1:26">
      <c r="A13" s="1145">
        <v>4</v>
      </c>
      <c r="B13" s="1985" t="s">
        <v>8</v>
      </c>
      <c r="C13" s="1986"/>
      <c r="D13" s="1986"/>
      <c r="E13" s="1144"/>
      <c r="F13" s="1138"/>
      <c r="G13" s="1138"/>
      <c r="H13" s="67"/>
      <c r="I13" s="67"/>
      <c r="J13" s="67"/>
      <c r="K13" s="67"/>
      <c r="L13" s="67"/>
      <c r="M13" s="67"/>
      <c r="N13" s="67"/>
      <c r="O13" s="67"/>
      <c r="P13" s="67"/>
      <c r="Q13" s="1086"/>
      <c r="R13" s="1086"/>
      <c r="S13" s="67"/>
      <c r="T13" s="1086"/>
      <c r="U13" s="1086">
        <v>6.0720000000000001</v>
      </c>
      <c r="V13" s="1086">
        <v>0</v>
      </c>
      <c r="W13" s="1384">
        <v>12890.093999999999</v>
      </c>
      <c r="X13" s="1384">
        <v>573.97500000000002</v>
      </c>
      <c r="Y13" s="1138">
        <f t="shared" si="0"/>
        <v>12896.165999999999</v>
      </c>
      <c r="Z13" s="1143">
        <f t="shared" si="0"/>
        <v>573.97500000000002</v>
      </c>
    </row>
    <row r="14" spans="1:26" ht="15.75" thickBot="1">
      <c r="A14" s="740">
        <v>5</v>
      </c>
      <c r="B14" s="1976" t="s">
        <v>25</v>
      </c>
      <c r="C14" s="1808"/>
      <c r="D14" s="1808"/>
      <c r="E14" s="1387">
        <f>E46+E47</f>
        <v>0</v>
      </c>
      <c r="F14" s="1388">
        <f t="shared" ref="F14:X14" si="1">F46+F47</f>
        <v>0</v>
      </c>
      <c r="G14" s="1389">
        <f t="shared" si="1"/>
        <v>0</v>
      </c>
      <c r="H14" s="105">
        <f t="shared" si="1"/>
        <v>0</v>
      </c>
      <c r="I14" s="1388">
        <f t="shared" si="1"/>
        <v>0</v>
      </c>
      <c r="J14" s="1388">
        <f t="shared" si="1"/>
        <v>0</v>
      </c>
      <c r="K14" s="1388">
        <f t="shared" si="1"/>
        <v>0</v>
      </c>
      <c r="L14" s="1388">
        <f t="shared" si="1"/>
        <v>0</v>
      </c>
      <c r="M14" s="1389">
        <f t="shared" si="1"/>
        <v>0</v>
      </c>
      <c r="N14" s="1388">
        <f t="shared" si="1"/>
        <v>0</v>
      </c>
      <c r="O14" s="1388">
        <f t="shared" si="1"/>
        <v>0</v>
      </c>
      <c r="P14" s="1388">
        <f t="shared" si="1"/>
        <v>0</v>
      </c>
      <c r="Q14" s="1388">
        <f t="shared" si="1"/>
        <v>0</v>
      </c>
      <c r="R14" s="1388">
        <f t="shared" si="1"/>
        <v>0</v>
      </c>
      <c r="S14" s="1388">
        <f t="shared" si="1"/>
        <v>0</v>
      </c>
      <c r="T14" s="1388">
        <f t="shared" si="1"/>
        <v>0</v>
      </c>
      <c r="U14" s="1390">
        <f t="shared" si="1"/>
        <v>80664.554999999993</v>
      </c>
      <c r="V14" s="1390">
        <f t="shared" si="1"/>
        <v>3970.6710000000003</v>
      </c>
      <c r="W14" s="1390">
        <f t="shared" si="1"/>
        <v>2402.54</v>
      </c>
      <c r="X14" s="1390">
        <f t="shared" si="1"/>
        <v>400.44400000000002</v>
      </c>
      <c r="Y14" s="1388">
        <f t="shared" si="0"/>
        <v>83067.094999999987</v>
      </c>
      <c r="Z14" s="1391">
        <f t="shared" si="0"/>
        <v>4371.1150000000007</v>
      </c>
    </row>
    <row r="15" spans="1:26" ht="15.75" thickBot="1">
      <c r="A15" s="741">
        <v>7</v>
      </c>
      <c r="B15" s="1977" t="s">
        <v>17</v>
      </c>
      <c r="C15" s="1978"/>
      <c r="D15" s="1978"/>
      <c r="E15" s="1155">
        <f t="shared" ref="E15:N15" si="2">SUM(E10:E14)</f>
        <v>455173.12800000003</v>
      </c>
      <c r="F15" s="1155">
        <f t="shared" si="2"/>
        <v>13777.329000000002</v>
      </c>
      <c r="G15" s="1155">
        <f t="shared" si="2"/>
        <v>113851.367</v>
      </c>
      <c r="H15" s="1155">
        <f t="shared" si="2"/>
        <v>7708.607</v>
      </c>
      <c r="I15" s="1155">
        <f t="shared" si="2"/>
        <v>30849.054</v>
      </c>
      <c r="J15" s="1155">
        <f t="shared" si="2"/>
        <v>32819.398000000001</v>
      </c>
      <c r="K15" s="1155">
        <f t="shared" si="2"/>
        <v>6083.8209999999999</v>
      </c>
      <c r="L15" s="1155">
        <f t="shared" si="2"/>
        <v>2249.1369999999997</v>
      </c>
      <c r="M15" s="1155">
        <f t="shared" si="2"/>
        <v>17528.413</v>
      </c>
      <c r="N15" s="1155">
        <f t="shared" si="2"/>
        <v>4282.0820000000003</v>
      </c>
      <c r="O15" s="1155"/>
      <c r="P15" s="1155"/>
      <c r="Q15" s="1155">
        <f t="shared" ref="Q15:Z15" si="3">SUM(Q10:Q14)</f>
        <v>4486.5540000000001</v>
      </c>
      <c r="R15" s="1155">
        <f t="shared" si="3"/>
        <v>4678.4579999999996</v>
      </c>
      <c r="S15" s="1155">
        <f t="shared" si="3"/>
        <v>3009.2529999999997</v>
      </c>
      <c r="T15" s="1155">
        <f t="shared" si="3"/>
        <v>58.817999999999998</v>
      </c>
      <c r="U15" s="1155">
        <f t="shared" si="3"/>
        <v>89816.915999999997</v>
      </c>
      <c r="V15" s="1155">
        <f t="shared" si="3"/>
        <v>8885.6180000000004</v>
      </c>
      <c r="W15" s="1155">
        <f t="shared" si="3"/>
        <v>34555.216999999997</v>
      </c>
      <c r="X15" s="1156">
        <f t="shared" si="3"/>
        <v>14970.172</v>
      </c>
      <c r="Y15" s="1155">
        <f t="shared" si="3"/>
        <v>755353.723</v>
      </c>
      <c r="Z15" s="1157">
        <f t="shared" si="3"/>
        <v>89429.619000000021</v>
      </c>
    </row>
    <row r="16" spans="1:26">
      <c r="A16" s="1158"/>
      <c r="B16" s="1158"/>
      <c r="C16" s="1158"/>
      <c r="D16" s="1158"/>
      <c r="E16" s="1158"/>
      <c r="F16" s="1159"/>
      <c r="G16" s="1159"/>
      <c r="H16" s="1159"/>
      <c r="I16" s="1158"/>
      <c r="J16" s="1158"/>
      <c r="K16" s="1158"/>
      <c r="L16" s="1158"/>
      <c r="M16" s="1158"/>
      <c r="N16" s="1158"/>
      <c r="O16" s="1158"/>
      <c r="P16" s="1158"/>
      <c r="Q16" s="1158"/>
      <c r="R16" s="1158"/>
      <c r="S16" s="1158"/>
      <c r="T16" s="1158"/>
      <c r="U16" s="1158"/>
      <c r="V16" s="1158"/>
      <c r="W16" s="1158"/>
      <c r="X16" s="1158"/>
      <c r="Y16" s="1158"/>
      <c r="Z16" s="1158"/>
    </row>
    <row r="17" spans="1:26">
      <c r="A17" s="1160" t="s">
        <v>166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  <c r="S17" s="743"/>
      <c r="T17" s="743"/>
      <c r="U17" s="743"/>
      <c r="V17" s="725"/>
      <c r="W17" s="725"/>
      <c r="X17" s="725"/>
      <c r="Y17" s="726"/>
      <c r="Z17" s="726"/>
    </row>
    <row r="18" spans="1:26" ht="15.75" thickBot="1">
      <c r="A18" s="1160"/>
      <c r="B18" s="743"/>
      <c r="C18" s="743"/>
      <c r="D18" s="743"/>
      <c r="E18" s="743"/>
      <c r="F18" s="743"/>
      <c r="G18" s="743"/>
      <c r="H18" s="743"/>
      <c r="I18" s="743"/>
      <c r="J18" s="743"/>
      <c r="K18" s="743"/>
      <c r="L18" s="743"/>
      <c r="M18" s="744" t="s">
        <v>4</v>
      </c>
      <c r="N18" s="1158"/>
      <c r="O18" s="1158"/>
      <c r="P18" s="1158"/>
      <c r="Q18" s="1158"/>
      <c r="R18" s="1158"/>
      <c r="S18" s="1158"/>
      <c r="T18" s="1158"/>
      <c r="U18" s="1158"/>
      <c r="V18" s="1158"/>
      <c r="W18" s="725"/>
      <c r="X18" s="725"/>
      <c r="Y18" s="726"/>
      <c r="Z18" s="726"/>
    </row>
    <row r="19" spans="1:26">
      <c r="A19" s="1784" t="s">
        <v>1</v>
      </c>
      <c r="B19" s="1787" t="s">
        <v>7</v>
      </c>
      <c r="C19" s="1787"/>
      <c r="D19" s="1787"/>
      <c r="E19" s="1396" t="s">
        <v>32</v>
      </c>
      <c r="F19" s="1397"/>
      <c r="G19" s="1398"/>
      <c r="H19" s="1402" t="s">
        <v>34</v>
      </c>
      <c r="I19" s="1403"/>
      <c r="J19" s="1404"/>
      <c r="K19" s="1397" t="s">
        <v>17</v>
      </c>
      <c r="L19" s="1397"/>
      <c r="M19" s="1398"/>
      <c r="N19" s="1158"/>
      <c r="O19" s="1158"/>
      <c r="P19" s="1158"/>
      <c r="Q19" s="1158"/>
      <c r="R19" s="1158"/>
      <c r="S19" s="1158"/>
      <c r="T19" s="1158"/>
      <c r="U19" s="1158"/>
      <c r="V19" s="1158"/>
      <c r="W19" s="725"/>
      <c r="X19" s="725"/>
      <c r="Y19" s="726"/>
      <c r="Z19" s="726"/>
    </row>
    <row r="20" spans="1:26" ht="38.25">
      <c r="A20" s="1785"/>
      <c r="B20" s="1788"/>
      <c r="C20" s="1788"/>
      <c r="D20" s="1788"/>
      <c r="E20" s="745" t="s">
        <v>66</v>
      </c>
      <c r="F20" s="746" t="s">
        <v>33</v>
      </c>
      <c r="G20" s="747" t="s">
        <v>23</v>
      </c>
      <c r="H20" s="745" t="s">
        <v>22</v>
      </c>
      <c r="I20" s="746" t="s">
        <v>33</v>
      </c>
      <c r="J20" s="747" t="s">
        <v>23</v>
      </c>
      <c r="K20" s="748" t="s">
        <v>22</v>
      </c>
      <c r="L20" s="749" t="s">
        <v>33</v>
      </c>
      <c r="M20" s="747" t="s">
        <v>23</v>
      </c>
      <c r="N20" s="1158"/>
      <c r="O20" s="1158"/>
      <c r="P20" s="1158"/>
      <c r="Q20" s="1158"/>
      <c r="R20" s="1158"/>
      <c r="S20" s="1158"/>
      <c r="T20" s="1158"/>
      <c r="U20" s="1159"/>
      <c r="V20" s="1158"/>
      <c r="W20" s="1158"/>
      <c r="X20" s="1158"/>
      <c r="Y20" s="1158"/>
      <c r="Z20" s="1158"/>
    </row>
    <row r="21" spans="1:26" ht="26.25" thickBot="1">
      <c r="A21" s="1786"/>
      <c r="B21" s="1789"/>
      <c r="C21" s="1789"/>
      <c r="D21" s="1789"/>
      <c r="E21" s="729">
        <v>1</v>
      </c>
      <c r="F21" s="731">
        <v>2</v>
      </c>
      <c r="G21" s="732" t="s">
        <v>47</v>
      </c>
      <c r="H21" s="729">
        <v>4</v>
      </c>
      <c r="I21" s="731">
        <v>5</v>
      </c>
      <c r="J21" s="732" t="s">
        <v>48</v>
      </c>
      <c r="K21" s="730">
        <v>7</v>
      </c>
      <c r="L21" s="750">
        <v>8</v>
      </c>
      <c r="M21" s="732" t="s">
        <v>49</v>
      </c>
      <c r="N21" s="1161"/>
      <c r="O21" s="1161"/>
      <c r="P21" s="1161"/>
      <c r="Q21" s="1162"/>
      <c r="R21" s="1158"/>
      <c r="S21" s="1158"/>
      <c r="T21" s="1159"/>
      <c r="U21" s="1163"/>
      <c r="V21" s="1161"/>
      <c r="W21" s="1161"/>
      <c r="X21" s="1161"/>
      <c r="Y21" s="1161"/>
      <c r="Z21" s="1161"/>
    </row>
    <row r="22" spans="1:26">
      <c r="A22" s="1164">
        <v>1</v>
      </c>
      <c r="B22" s="1979" t="s">
        <v>26</v>
      </c>
      <c r="C22" s="1987" t="s">
        <v>67</v>
      </c>
      <c r="D22" s="753" t="s">
        <v>11</v>
      </c>
      <c r="E22" s="68">
        <v>80.957999999999998</v>
      </c>
      <c r="F22" s="69">
        <v>73347.857000000004</v>
      </c>
      <c r="G22" s="70">
        <f>F22/12/E22</f>
        <v>75.499906330031209</v>
      </c>
      <c r="H22" s="68">
        <v>0</v>
      </c>
      <c r="I22" s="69">
        <v>6196.2380000000003</v>
      </c>
      <c r="J22" s="70"/>
      <c r="K22" s="71">
        <f>E22+H22</f>
        <v>80.957999999999998</v>
      </c>
      <c r="L22" s="69">
        <f>F22+I22</f>
        <v>79544.095000000001</v>
      </c>
      <c r="M22" s="70">
        <f t="shared" ref="M22:M32" si="4">L22/12/K22</f>
        <v>81.877943913304847</v>
      </c>
      <c r="N22" s="1159"/>
      <c r="O22" s="1159"/>
      <c r="P22" s="1159"/>
      <c r="Q22" s="1165"/>
      <c r="R22" s="1166"/>
      <c r="S22" s="1165"/>
      <c r="T22" s="1077"/>
      <c r="U22" s="1077"/>
      <c r="V22" s="1077"/>
      <c r="W22" s="1165"/>
      <c r="X22" s="1167"/>
      <c r="Y22" s="1159"/>
      <c r="Z22" s="1159"/>
    </row>
    <row r="23" spans="1:26">
      <c r="A23" s="1168">
        <v>2</v>
      </c>
      <c r="B23" s="1980"/>
      <c r="C23" s="1987"/>
      <c r="D23" s="755" t="s">
        <v>12</v>
      </c>
      <c r="E23" s="72">
        <v>123.809</v>
      </c>
      <c r="F23" s="67">
        <v>85550.838000000003</v>
      </c>
      <c r="G23" s="74">
        <f t="shared" ref="G23:G30" si="5">F23/12/E23</f>
        <v>57.58253842612411</v>
      </c>
      <c r="H23" s="72">
        <v>0.16300000000000001</v>
      </c>
      <c r="I23" s="67">
        <v>8575.5079999999998</v>
      </c>
      <c r="J23" s="74"/>
      <c r="K23" s="75">
        <f>E23+H23</f>
        <v>123.97199999999999</v>
      </c>
      <c r="L23" s="69">
        <f>F23+I23</f>
        <v>94126.346000000005</v>
      </c>
      <c r="M23" s="74">
        <f t="shared" si="4"/>
        <v>63.271240011185327</v>
      </c>
      <c r="N23" s="1159"/>
      <c r="O23" s="1159"/>
      <c r="P23" s="1159"/>
      <c r="Q23" s="1165"/>
      <c r="R23" s="1169"/>
      <c r="S23" s="1165"/>
      <c r="T23" s="1169"/>
      <c r="U23" s="1077"/>
      <c r="V23" s="1077"/>
      <c r="W23" s="1165"/>
      <c r="X23" s="1167"/>
      <c r="Y23" s="1159"/>
      <c r="Z23" s="1159"/>
    </row>
    <row r="24" spans="1:26">
      <c r="A24" s="1168">
        <v>3</v>
      </c>
      <c r="B24" s="1980"/>
      <c r="C24" s="1987"/>
      <c r="D24" s="755" t="s">
        <v>13</v>
      </c>
      <c r="E24" s="72">
        <v>351.46</v>
      </c>
      <c r="F24" s="67">
        <v>172848.71400000001</v>
      </c>
      <c r="G24" s="74">
        <f t="shared" si="5"/>
        <v>40.983495988163668</v>
      </c>
      <c r="H24" s="72">
        <v>0.93899999999999995</v>
      </c>
      <c r="I24" s="67">
        <v>11068.016</v>
      </c>
      <c r="J24" s="74"/>
      <c r="K24" s="75">
        <f t="shared" ref="K24:L32" si="6">E24+H24</f>
        <v>352.399</v>
      </c>
      <c r="L24" s="69">
        <f>F24+I24</f>
        <v>183916.73</v>
      </c>
      <c r="M24" s="74">
        <f t="shared" si="4"/>
        <v>43.491593808911681</v>
      </c>
      <c r="N24" s="1159"/>
      <c r="O24" s="1159"/>
      <c r="P24" s="1159"/>
      <c r="Q24" s="1165"/>
      <c r="R24" s="1169"/>
      <c r="S24" s="1165"/>
      <c r="T24" s="1169"/>
      <c r="U24" s="1077"/>
      <c r="V24" s="1077"/>
      <c r="W24" s="1165"/>
      <c r="X24" s="1167"/>
      <c r="Y24" s="1159"/>
      <c r="Z24" s="1159"/>
    </row>
    <row r="25" spans="1:26">
      <c r="A25" s="1168">
        <v>4</v>
      </c>
      <c r="B25" s="1980"/>
      <c r="C25" s="1987"/>
      <c r="D25" s="755" t="s">
        <v>14</v>
      </c>
      <c r="E25" s="72">
        <v>0.96599999999999997</v>
      </c>
      <c r="F25" s="67">
        <v>303.54000000000002</v>
      </c>
      <c r="G25" s="74">
        <f t="shared" si="5"/>
        <v>26.18530020703934</v>
      </c>
      <c r="H25" s="72">
        <v>0</v>
      </c>
      <c r="I25" s="67">
        <v>86.703999999999994</v>
      </c>
      <c r="J25" s="74"/>
      <c r="K25" s="75">
        <f t="shared" si="6"/>
        <v>0.96599999999999997</v>
      </c>
      <c r="L25" s="69">
        <f>F25+I25</f>
        <v>390.24400000000003</v>
      </c>
      <c r="M25" s="74">
        <f t="shared" si="4"/>
        <v>33.664941338854383</v>
      </c>
      <c r="N25" s="1159"/>
      <c r="O25" s="1159"/>
      <c r="P25" s="1159"/>
      <c r="Q25" s="1165"/>
      <c r="R25" s="1169"/>
      <c r="S25" s="1165"/>
      <c r="T25" s="1169"/>
      <c r="U25" s="1165"/>
      <c r="V25" s="1165"/>
      <c r="W25" s="1159"/>
      <c r="X25" s="1159"/>
      <c r="Y25" s="1159"/>
      <c r="Z25" s="1159"/>
    </row>
    <row r="26" spans="1:26">
      <c r="A26" s="1168">
        <v>5</v>
      </c>
      <c r="B26" s="1980"/>
      <c r="C26" s="1987"/>
      <c r="D26" s="755" t="s">
        <v>15</v>
      </c>
      <c r="E26" s="72">
        <v>7.4509999999999996</v>
      </c>
      <c r="F26" s="67">
        <v>3067.9639999999999</v>
      </c>
      <c r="G26" s="74">
        <f t="shared" si="5"/>
        <v>34.312664966671143</v>
      </c>
      <c r="H26" s="72">
        <v>0</v>
      </c>
      <c r="I26" s="67">
        <v>62.192999999999998</v>
      </c>
      <c r="J26" s="74"/>
      <c r="K26" s="75">
        <f t="shared" si="6"/>
        <v>7.4509999999999996</v>
      </c>
      <c r="L26" s="69">
        <f>F26+I26</f>
        <v>3130.1570000000002</v>
      </c>
      <c r="M26" s="74">
        <f t="shared" si="4"/>
        <v>35.008242741466475</v>
      </c>
      <c r="N26" s="1159"/>
      <c r="O26" s="1159"/>
      <c r="P26" s="1159"/>
      <c r="Q26" s="1077"/>
      <c r="R26" s="1169"/>
      <c r="S26" s="1165"/>
      <c r="T26" s="1169"/>
      <c r="U26" s="1170"/>
      <c r="V26" s="1165"/>
      <c r="W26" s="1159"/>
      <c r="X26" s="1159"/>
      <c r="Y26" s="1159"/>
      <c r="Z26" s="1159"/>
    </row>
    <row r="27" spans="1:26">
      <c r="A27" s="1168"/>
      <c r="B27" s="1980"/>
      <c r="C27" s="1987"/>
      <c r="D27" s="755" t="s">
        <v>167</v>
      </c>
      <c r="E27" s="72">
        <v>40.911000000000001</v>
      </c>
      <c r="F27" s="67">
        <v>20925.948</v>
      </c>
      <c r="G27" s="74">
        <f t="shared" si="5"/>
        <v>42.624941947153573</v>
      </c>
      <c r="H27" s="72">
        <v>10.922000000000001</v>
      </c>
      <c r="I27" s="67">
        <v>7903.95</v>
      </c>
      <c r="J27" s="74"/>
      <c r="K27" s="75">
        <f t="shared" si="6"/>
        <v>51.832999999999998</v>
      </c>
      <c r="L27" s="69">
        <f>F27+I27</f>
        <v>28829.898000000001</v>
      </c>
      <c r="M27" s="74">
        <f t="shared" si="4"/>
        <v>46.350616402677836</v>
      </c>
      <c r="N27" s="1159"/>
      <c r="O27" s="1159"/>
      <c r="P27" s="1159"/>
      <c r="Q27" s="1171"/>
      <c r="R27" s="1169"/>
      <c r="S27" s="1165"/>
      <c r="T27" s="1169"/>
      <c r="U27" s="1169"/>
      <c r="V27" s="1165"/>
      <c r="W27" s="1159"/>
      <c r="X27" s="1159"/>
      <c r="Y27" s="1159"/>
      <c r="Z27" s="1159"/>
    </row>
    <row r="28" spans="1:26">
      <c r="A28" s="1168">
        <v>6</v>
      </c>
      <c r="B28" s="1980"/>
      <c r="C28" s="1988"/>
      <c r="D28" s="755" t="s">
        <v>17</v>
      </c>
      <c r="E28" s="72">
        <f>SUM(E22:E27)</f>
        <v>605.55500000000006</v>
      </c>
      <c r="F28" s="67">
        <f>SUM(F22:F27)</f>
        <v>356044.86099999992</v>
      </c>
      <c r="G28" s="74">
        <f t="shared" si="5"/>
        <v>48.997044171600145</v>
      </c>
      <c r="H28" s="72">
        <f>SUM(H22:H27)</f>
        <v>12.024000000000001</v>
      </c>
      <c r="I28" s="67">
        <f>SUM(I22:I27)</f>
        <v>33892.608999999997</v>
      </c>
      <c r="J28" s="74"/>
      <c r="K28" s="75">
        <f>SUM(K22:K27)</f>
        <v>617.57899999999995</v>
      </c>
      <c r="L28" s="67">
        <f>SUM(L22:L27)</f>
        <v>389937.47</v>
      </c>
      <c r="M28" s="74">
        <f t="shared" si="4"/>
        <v>52.616408858893628</v>
      </c>
      <c r="N28" s="1159"/>
      <c r="O28" s="1159"/>
      <c r="P28" s="1159"/>
      <c r="Q28" s="1165"/>
      <c r="R28" s="1169"/>
      <c r="S28" s="1165"/>
      <c r="T28" s="1169"/>
      <c r="U28" s="1165"/>
      <c r="V28" s="1165"/>
      <c r="W28" s="1159"/>
      <c r="X28" s="1159"/>
      <c r="Y28" s="1159"/>
      <c r="Z28" s="1159"/>
    </row>
    <row r="29" spans="1:26">
      <c r="A29" s="1168">
        <v>7</v>
      </c>
      <c r="B29" s="1980"/>
      <c r="C29" s="1989" t="s">
        <v>70</v>
      </c>
      <c r="D29" s="1990"/>
      <c r="E29" s="72">
        <v>45.088000000000001</v>
      </c>
      <c r="F29" s="67">
        <v>21780.455999999998</v>
      </c>
      <c r="G29" s="74">
        <f t="shared" si="5"/>
        <v>40.2554559971611</v>
      </c>
      <c r="H29" s="72">
        <v>84.766000000000005</v>
      </c>
      <c r="I29" s="67">
        <v>39075.741999999998</v>
      </c>
      <c r="J29" s="74"/>
      <c r="K29" s="75">
        <f t="shared" si="6"/>
        <v>129.85400000000001</v>
      </c>
      <c r="L29" s="67">
        <v>60856.197999999997</v>
      </c>
      <c r="M29" s="74">
        <f t="shared" si="4"/>
        <v>39.054244253802977</v>
      </c>
      <c r="N29" s="1159"/>
      <c r="O29" s="1159"/>
      <c r="P29" s="1159"/>
      <c r="Q29" s="1165"/>
      <c r="R29" s="1169"/>
      <c r="S29" s="1166"/>
      <c r="T29" s="1169"/>
      <c r="U29" s="1165"/>
      <c r="V29" s="1159"/>
      <c r="W29" s="1159"/>
      <c r="X29" s="1159"/>
      <c r="Y29" s="1159"/>
      <c r="Z29" s="1159"/>
    </row>
    <row r="30" spans="1:26">
      <c r="A30" s="1168">
        <v>8</v>
      </c>
      <c r="B30" s="1981"/>
      <c r="C30" s="1806" t="s">
        <v>71</v>
      </c>
      <c r="D30" s="1807"/>
      <c r="E30" s="72">
        <v>477.65300000000002</v>
      </c>
      <c r="F30" s="67">
        <v>191199</v>
      </c>
      <c r="G30" s="74">
        <f t="shared" si="5"/>
        <v>33.357374495711319</v>
      </c>
      <c r="H30" s="72">
        <v>6.806</v>
      </c>
      <c r="I30" s="67">
        <v>17397.614000000001</v>
      </c>
      <c r="J30" s="74"/>
      <c r="K30" s="75">
        <f t="shared" si="6"/>
        <v>484.459</v>
      </c>
      <c r="L30" s="67">
        <v>208596.788</v>
      </c>
      <c r="M30" s="74">
        <f t="shared" si="4"/>
        <v>35.881396912156994</v>
      </c>
      <c r="N30" s="1159"/>
      <c r="O30" s="1159"/>
      <c r="P30" s="1159"/>
      <c r="Q30" s="1165"/>
      <c r="R30" s="1169"/>
      <c r="S30" s="1169"/>
      <c r="T30" s="1169"/>
      <c r="U30" s="1165"/>
      <c r="V30" s="1159"/>
      <c r="W30" s="1159"/>
      <c r="X30" s="1159"/>
      <c r="Y30" s="1159"/>
      <c r="Z30" s="1159"/>
    </row>
    <row r="31" spans="1:26">
      <c r="A31" s="1168">
        <v>9</v>
      </c>
      <c r="B31" s="1986" t="s">
        <v>8</v>
      </c>
      <c r="C31" s="1986"/>
      <c r="D31" s="1986"/>
      <c r="E31" s="72">
        <v>0</v>
      </c>
      <c r="F31" s="67">
        <v>0</v>
      </c>
      <c r="G31" s="74">
        <v>0</v>
      </c>
      <c r="H31" s="72">
        <v>41.765999999999998</v>
      </c>
      <c r="I31" s="67">
        <v>12896.165999999999</v>
      </c>
      <c r="J31" s="74">
        <f>I31/12/H31</f>
        <v>25.730989321457646</v>
      </c>
      <c r="K31" s="75">
        <f t="shared" si="6"/>
        <v>41.765999999999998</v>
      </c>
      <c r="L31" s="67">
        <v>12896.165999999999</v>
      </c>
      <c r="M31" s="74">
        <f t="shared" si="4"/>
        <v>25.730989321457646</v>
      </c>
      <c r="N31" s="1159"/>
      <c r="O31" s="1159"/>
      <c r="P31" s="1159"/>
      <c r="Q31" s="1165"/>
      <c r="R31" s="1169"/>
      <c r="S31" s="1165"/>
      <c r="T31" s="1077"/>
      <c r="U31" s="1159"/>
      <c r="V31" s="1159"/>
      <c r="W31" s="1159"/>
      <c r="X31" s="1159"/>
      <c r="Y31" s="1159"/>
      <c r="Z31" s="1159"/>
    </row>
    <row r="32" spans="1:26" ht="15.75" thickBot="1">
      <c r="A32" s="1172">
        <v>10</v>
      </c>
      <c r="B32" s="1991" t="s">
        <v>25</v>
      </c>
      <c r="C32" s="1991"/>
      <c r="D32" s="1991"/>
      <c r="E32" s="104">
        <f>E52+E53</f>
        <v>0</v>
      </c>
      <c r="F32" s="105">
        <f>F52+F53</f>
        <v>0</v>
      </c>
      <c r="G32" s="106">
        <v>0</v>
      </c>
      <c r="H32" s="104">
        <f>H52+H53</f>
        <v>282</v>
      </c>
      <c r="I32" s="105">
        <f>I52+I53</f>
        <v>83067</v>
      </c>
      <c r="J32" s="106">
        <f>I32/12/H32</f>
        <v>24.546985815602838</v>
      </c>
      <c r="K32" s="719">
        <f t="shared" si="6"/>
        <v>282</v>
      </c>
      <c r="L32" s="105">
        <f t="shared" si="6"/>
        <v>83067</v>
      </c>
      <c r="M32" s="106">
        <f t="shared" si="4"/>
        <v>24.546985815602838</v>
      </c>
      <c r="N32" s="1159"/>
      <c r="O32" s="1159"/>
      <c r="P32" s="1159"/>
      <c r="Q32" s="1159"/>
      <c r="R32" s="1159"/>
      <c r="S32" s="1159"/>
      <c r="T32" s="1077"/>
      <c r="U32" s="1159"/>
      <c r="V32" s="1159"/>
      <c r="W32" s="1159"/>
      <c r="X32" s="1159"/>
      <c r="Y32" s="1159"/>
      <c r="Z32" s="1159"/>
    </row>
    <row r="33" spans="1:26" ht="15.75" thickBot="1">
      <c r="A33" s="757">
        <v>12</v>
      </c>
      <c r="B33" s="1977" t="s">
        <v>17</v>
      </c>
      <c r="C33" s="1978"/>
      <c r="D33" s="1978"/>
      <c r="E33" s="1175">
        <f>E28+E29+E30+E31++E32</f>
        <v>1128.296</v>
      </c>
      <c r="F33" s="1174">
        <f>F28+F29+F30+F31++F32</f>
        <v>569024.31699999992</v>
      </c>
      <c r="G33" s="120">
        <f>F33/E33/12</f>
        <v>42.026820163621359</v>
      </c>
      <c r="H33" s="1175">
        <f>H28+H29+H30+H31++H32</f>
        <v>427.36199999999997</v>
      </c>
      <c r="I33" s="1174">
        <f>I28+I29+I30+I31++I32</f>
        <v>186329.13099999999</v>
      </c>
      <c r="J33" s="120"/>
      <c r="K33" s="1175">
        <f>K28+K29+K30+K31++K32</f>
        <v>1555.6580000000001</v>
      </c>
      <c r="L33" s="1174">
        <f>L28+L29+L30+L31++L32</f>
        <v>755353.62199999997</v>
      </c>
      <c r="M33" s="120">
        <f>L33/K33/12</f>
        <v>40.462707848811668</v>
      </c>
      <c r="N33" s="1158"/>
      <c r="O33" s="1158"/>
      <c r="P33" s="1158"/>
      <c r="Q33" s="1158"/>
      <c r="R33" s="1158"/>
      <c r="S33" s="1158"/>
      <c r="T33" s="1176"/>
      <c r="U33" s="1158"/>
      <c r="V33" s="1158"/>
      <c r="W33" s="1177"/>
      <c r="X33" s="1177"/>
      <c r="Y33" s="1177"/>
      <c r="Z33" s="1177"/>
    </row>
    <row r="41" spans="1:26" ht="15.75" thickBot="1"/>
    <row r="42" spans="1:26" ht="15.75" thickBot="1">
      <c r="A42" s="1744" t="s">
        <v>1</v>
      </c>
      <c r="B42" s="1747" t="s">
        <v>7</v>
      </c>
      <c r="C42" s="1748"/>
      <c r="D42" s="1749"/>
      <c r="E42" s="1756" t="s">
        <v>35</v>
      </c>
      <c r="F42" s="1757"/>
      <c r="G42" s="1757"/>
      <c r="H42" s="1757"/>
      <c r="I42" s="1757"/>
      <c r="J42" s="1757"/>
      <c r="K42" s="1757"/>
      <c r="L42" s="1757"/>
      <c r="M42" s="1757"/>
      <c r="N42" s="1757"/>
      <c r="O42" s="1757"/>
      <c r="P42" s="1757"/>
      <c r="Q42" s="1757"/>
      <c r="R42" s="1757"/>
      <c r="S42" s="1757"/>
      <c r="T42" s="1757"/>
      <c r="U42" s="1757"/>
      <c r="V42" s="1757"/>
      <c r="W42" s="1757"/>
      <c r="X42" s="1757"/>
      <c r="Y42" s="1757"/>
      <c r="Z42" s="1758"/>
    </row>
    <row r="43" spans="1:26">
      <c r="A43" s="1745"/>
      <c r="B43" s="1750"/>
      <c r="C43" s="1751"/>
      <c r="D43" s="1752"/>
      <c r="E43" s="1402" t="s">
        <v>24</v>
      </c>
      <c r="F43" s="1403"/>
      <c r="G43" s="1403"/>
      <c r="H43" s="1404"/>
      <c r="I43" s="1402" t="s">
        <v>28</v>
      </c>
      <c r="J43" s="1403"/>
      <c r="K43" s="1403"/>
      <c r="L43" s="1404"/>
      <c r="M43" s="1402" t="s">
        <v>20</v>
      </c>
      <c r="N43" s="1403"/>
      <c r="O43" s="1403"/>
      <c r="P43" s="1403"/>
      <c r="Q43" s="1403"/>
      <c r="R43" s="1404"/>
      <c r="S43" s="1970" t="s">
        <v>18</v>
      </c>
      <c r="T43" s="1971"/>
      <c r="U43" s="1970" t="s">
        <v>5</v>
      </c>
      <c r="V43" s="1971"/>
      <c r="W43" s="1970" t="s">
        <v>21</v>
      </c>
      <c r="X43" s="1974"/>
      <c r="Y43" s="1766" t="s">
        <v>17</v>
      </c>
      <c r="Z43" s="1767"/>
    </row>
    <row r="44" spans="1:26">
      <c r="A44" s="1745"/>
      <c r="B44" s="1750"/>
      <c r="C44" s="1751"/>
      <c r="D44" s="1752"/>
      <c r="E44" s="1773" t="s">
        <v>19</v>
      </c>
      <c r="F44" s="1774"/>
      <c r="G44" s="1775" t="s">
        <v>27</v>
      </c>
      <c r="H44" s="1776"/>
      <c r="I44" s="1773" t="s">
        <v>63</v>
      </c>
      <c r="J44" s="1774"/>
      <c r="K44" s="1775" t="s">
        <v>29</v>
      </c>
      <c r="L44" s="1776"/>
      <c r="M44" s="1773" t="s">
        <v>59</v>
      </c>
      <c r="N44" s="1774"/>
      <c r="O44" s="1381"/>
      <c r="P44" s="1381"/>
      <c r="Q44" s="1775" t="s">
        <v>31</v>
      </c>
      <c r="R44" s="1776"/>
      <c r="S44" s="1972"/>
      <c r="T44" s="1973"/>
      <c r="U44" s="1972"/>
      <c r="V44" s="1973"/>
      <c r="W44" s="1972"/>
      <c r="X44" s="1975"/>
      <c r="Y44" s="1768"/>
      <c r="Z44" s="1769"/>
    </row>
    <row r="45" spans="1:26" ht="15.75" thickBot="1">
      <c r="A45" s="1746"/>
      <c r="B45" s="1753"/>
      <c r="C45" s="1754"/>
      <c r="D45" s="1755"/>
      <c r="E45" s="1130" t="s">
        <v>6</v>
      </c>
      <c r="F45" s="1131" t="s">
        <v>38</v>
      </c>
      <c r="G45" s="1132" t="s">
        <v>6</v>
      </c>
      <c r="H45" s="1133" t="s">
        <v>38</v>
      </c>
      <c r="I45" s="1130" t="s">
        <v>6</v>
      </c>
      <c r="J45" s="1132" t="s">
        <v>38</v>
      </c>
      <c r="K45" s="1132" t="s">
        <v>6</v>
      </c>
      <c r="L45" s="1133" t="s">
        <v>38</v>
      </c>
      <c r="M45" s="1130" t="s">
        <v>6</v>
      </c>
      <c r="N45" s="1132" t="s">
        <v>38</v>
      </c>
      <c r="O45" s="1132"/>
      <c r="P45" s="1132"/>
      <c r="Q45" s="1132" t="s">
        <v>6</v>
      </c>
      <c r="R45" s="1133" t="s">
        <v>38</v>
      </c>
      <c r="S45" s="1130" t="s">
        <v>6</v>
      </c>
      <c r="T45" s="1133" t="s">
        <v>38</v>
      </c>
      <c r="U45" s="1130" t="s">
        <v>6</v>
      </c>
      <c r="V45" s="1133" t="s">
        <v>38</v>
      </c>
      <c r="W45" s="1130" t="s">
        <v>6</v>
      </c>
      <c r="X45" s="1134" t="s">
        <v>38</v>
      </c>
      <c r="Y45" s="1135" t="s">
        <v>65</v>
      </c>
      <c r="Z45" s="1136" t="s">
        <v>38</v>
      </c>
    </row>
    <row r="46" spans="1:26">
      <c r="A46" s="740">
        <v>5</v>
      </c>
      <c r="B46" s="1976" t="s">
        <v>164</v>
      </c>
      <c r="C46" s="1808"/>
      <c r="D46" s="1993"/>
      <c r="E46" s="1138"/>
      <c r="F46" s="1138"/>
      <c r="G46" s="1146"/>
      <c r="H46" s="106"/>
      <c r="I46" s="1140"/>
      <c r="J46" s="1141"/>
      <c r="K46" s="1141"/>
      <c r="L46" s="1142"/>
      <c r="M46" s="1147"/>
      <c r="N46" s="1138"/>
      <c r="O46" s="1138"/>
      <c r="P46" s="1138"/>
      <c r="Q46" s="1138"/>
      <c r="R46" s="1139"/>
      <c r="S46" s="1148"/>
      <c r="T46" s="1149"/>
      <c r="U46" s="1150">
        <v>56389.968999999997</v>
      </c>
      <c r="V46" s="1150">
        <v>797.15499999999997</v>
      </c>
      <c r="W46" s="1150">
        <v>690.33600000000001</v>
      </c>
      <c r="X46" s="1151">
        <v>0</v>
      </c>
      <c r="Y46" s="1144">
        <f>E46+G46+I46+K46+M46+Q46+S46+U46+W46</f>
        <v>57080.305</v>
      </c>
      <c r="Z46" s="1143">
        <f>F46+H46+J46+L46+N46+R46+T46+V46+X46</f>
        <v>797.15499999999997</v>
      </c>
    </row>
    <row r="47" spans="1:26" ht="15.75" thickBot="1">
      <c r="A47" s="740">
        <v>6</v>
      </c>
      <c r="B47" s="1994" t="s">
        <v>165</v>
      </c>
      <c r="C47" s="1798"/>
      <c r="D47" s="1995"/>
      <c r="E47" s="104"/>
      <c r="F47" s="719"/>
      <c r="G47" s="105"/>
      <c r="H47" s="106"/>
      <c r="I47" s="104"/>
      <c r="J47" s="105"/>
      <c r="K47" s="105"/>
      <c r="L47" s="106"/>
      <c r="M47" s="104"/>
      <c r="N47" s="105"/>
      <c r="O47" s="105"/>
      <c r="P47" s="105"/>
      <c r="Q47" s="105"/>
      <c r="R47" s="106"/>
      <c r="S47" s="1152"/>
      <c r="T47" s="1153"/>
      <c r="U47" s="1150">
        <v>24274.585999999999</v>
      </c>
      <c r="V47" s="1150">
        <v>3173.5160000000001</v>
      </c>
      <c r="W47" s="1150">
        <v>1712.204</v>
      </c>
      <c r="X47" s="1151">
        <v>400.44400000000002</v>
      </c>
      <c r="Y47" s="1148">
        <f>E47+G47+I47+K47+M47+Q47+S47+U47+W47</f>
        <v>25986.79</v>
      </c>
      <c r="Z47" s="1154">
        <f>F47+H47+J47+L47+N47+R47+T47+V47+X47</f>
        <v>3573.96</v>
      </c>
    </row>
    <row r="48" spans="1:26" ht="15.75" thickBot="1"/>
    <row r="49" spans="1:13">
      <c r="A49" s="1784" t="s">
        <v>1</v>
      </c>
      <c r="B49" s="1787" t="s">
        <v>7</v>
      </c>
      <c r="C49" s="1787"/>
      <c r="D49" s="1787"/>
      <c r="E49" s="1396" t="s">
        <v>32</v>
      </c>
      <c r="F49" s="1397"/>
      <c r="G49" s="1398"/>
      <c r="H49" s="1402" t="s">
        <v>34</v>
      </c>
      <c r="I49" s="1403"/>
      <c r="J49" s="1404"/>
      <c r="K49" s="1397" t="s">
        <v>17</v>
      </c>
      <c r="L49" s="1397"/>
      <c r="M49" s="1398"/>
    </row>
    <row r="50" spans="1:13" ht="38.25">
      <c r="A50" s="1785"/>
      <c r="B50" s="1788"/>
      <c r="C50" s="1788"/>
      <c r="D50" s="1788"/>
      <c r="E50" s="745" t="s">
        <v>66</v>
      </c>
      <c r="F50" s="746" t="s">
        <v>33</v>
      </c>
      <c r="G50" s="747" t="s">
        <v>23</v>
      </c>
      <c r="H50" s="745" t="s">
        <v>22</v>
      </c>
      <c r="I50" s="746" t="s">
        <v>33</v>
      </c>
      <c r="J50" s="747" t="s">
        <v>23</v>
      </c>
      <c r="K50" s="748" t="s">
        <v>22</v>
      </c>
      <c r="L50" s="749" t="s">
        <v>33</v>
      </c>
      <c r="M50" s="747" t="s">
        <v>23</v>
      </c>
    </row>
    <row r="51" spans="1:13" ht="26.25" thickBot="1">
      <c r="A51" s="1786"/>
      <c r="B51" s="1789"/>
      <c r="C51" s="1789"/>
      <c r="D51" s="1789"/>
      <c r="E51" s="729">
        <v>1</v>
      </c>
      <c r="F51" s="731">
        <v>2</v>
      </c>
      <c r="G51" s="732" t="s">
        <v>47</v>
      </c>
      <c r="H51" s="729">
        <v>4</v>
      </c>
      <c r="I51" s="731">
        <v>5</v>
      </c>
      <c r="J51" s="732" t="s">
        <v>48</v>
      </c>
      <c r="K51" s="730">
        <v>7</v>
      </c>
      <c r="L51" s="750">
        <v>8</v>
      </c>
      <c r="M51" s="732" t="s">
        <v>49</v>
      </c>
    </row>
    <row r="52" spans="1:13" ht="15.75" thickBot="1">
      <c r="A52" s="1172">
        <v>10</v>
      </c>
      <c r="B52" s="1992" t="s">
        <v>165</v>
      </c>
      <c r="C52" s="1992"/>
      <c r="D52" s="1992"/>
      <c r="E52" s="104">
        <v>0</v>
      </c>
      <c r="F52" s="105">
        <v>0</v>
      </c>
      <c r="G52" s="106">
        <v>0</v>
      </c>
      <c r="H52" s="104">
        <v>74</v>
      </c>
      <c r="I52" s="105">
        <v>25987</v>
      </c>
      <c r="J52" s="106">
        <f>I52/12/H52</f>
        <v>29.264639639639643</v>
      </c>
      <c r="K52" s="75">
        <f>E52+H52</f>
        <v>74</v>
      </c>
      <c r="L52" s="105">
        <v>25987</v>
      </c>
      <c r="M52" s="106">
        <f>L52/12/K52</f>
        <v>29.264639639639643</v>
      </c>
    </row>
    <row r="53" spans="1:13" ht="15.75" thickBot="1">
      <c r="A53" s="756">
        <v>11</v>
      </c>
      <c r="B53" s="1798" t="s">
        <v>164</v>
      </c>
      <c r="C53" s="1798"/>
      <c r="D53" s="1798"/>
      <c r="E53" s="80">
        <v>0</v>
      </c>
      <c r="F53" s="78">
        <v>0</v>
      </c>
      <c r="G53" s="79">
        <v>0</v>
      </c>
      <c r="H53" s="80">
        <v>208</v>
      </c>
      <c r="I53" s="78">
        <v>57080</v>
      </c>
      <c r="J53" s="79">
        <f>I53/12/H53</f>
        <v>22.868589743589745</v>
      </c>
      <c r="K53" s="75">
        <f>E53+H53</f>
        <v>208</v>
      </c>
      <c r="L53" s="78">
        <v>57080.31</v>
      </c>
      <c r="M53" s="79">
        <f>L53/12/K53</f>
        <v>22.868713942307693</v>
      </c>
    </row>
  </sheetData>
  <mergeCells count="60">
    <mergeCell ref="K49:M49"/>
    <mergeCell ref="B52:D52"/>
    <mergeCell ref="B53:D53"/>
    <mergeCell ref="B46:D46"/>
    <mergeCell ref="B47:D47"/>
    <mergeCell ref="A49:A51"/>
    <mergeCell ref="B49:D51"/>
    <mergeCell ref="E49:G49"/>
    <mergeCell ref="H49:J49"/>
    <mergeCell ref="W43:X44"/>
    <mergeCell ref="Y43:Z44"/>
    <mergeCell ref="E44:F44"/>
    <mergeCell ref="G44:H44"/>
    <mergeCell ref="I44:J44"/>
    <mergeCell ref="K44:L44"/>
    <mergeCell ref="M44:N44"/>
    <mergeCell ref="Q44:R44"/>
    <mergeCell ref="B32:D32"/>
    <mergeCell ref="B33:D33"/>
    <mergeCell ref="A42:A45"/>
    <mergeCell ref="B42:D45"/>
    <mergeCell ref="E42:Z42"/>
    <mergeCell ref="E43:H43"/>
    <mergeCell ref="I43:L43"/>
    <mergeCell ref="M43:R43"/>
    <mergeCell ref="S43:T44"/>
    <mergeCell ref="U43:V44"/>
    <mergeCell ref="K19:M19"/>
    <mergeCell ref="B22:B30"/>
    <mergeCell ref="C22:C28"/>
    <mergeCell ref="C29:D29"/>
    <mergeCell ref="C30:D30"/>
    <mergeCell ref="B31:D31"/>
    <mergeCell ref="B15:D15"/>
    <mergeCell ref="A19:A21"/>
    <mergeCell ref="B19:D21"/>
    <mergeCell ref="E19:G19"/>
    <mergeCell ref="H19:J19"/>
    <mergeCell ref="B10:B12"/>
    <mergeCell ref="C10:D10"/>
    <mergeCell ref="C11:D11"/>
    <mergeCell ref="C12:D12"/>
    <mergeCell ref="B13:D13"/>
    <mergeCell ref="W7:X8"/>
    <mergeCell ref="B14:D14"/>
    <mergeCell ref="E8:F8"/>
    <mergeCell ref="G8:H8"/>
    <mergeCell ref="I8:J8"/>
    <mergeCell ref="K8:L8"/>
    <mergeCell ref="M8:N8"/>
    <mergeCell ref="Y7:Z8"/>
    <mergeCell ref="Q8:R8"/>
    <mergeCell ref="A5:A9"/>
    <mergeCell ref="B5:D9"/>
    <mergeCell ref="E5:Z5"/>
    <mergeCell ref="E7:H7"/>
    <mergeCell ref="I7:L7"/>
    <mergeCell ref="M7:R7"/>
    <mergeCell ref="S7:T8"/>
    <mergeCell ref="U7:V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140625" customWidth="1"/>
    <col min="4" max="4" width="16.140625" customWidth="1"/>
    <col min="5" max="5" width="9.85546875" customWidth="1"/>
    <col min="6" max="6" width="8.5703125" customWidth="1"/>
    <col min="7" max="7" width="8.85546875" customWidth="1"/>
    <col min="8" max="8" width="9.85546875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1093">
        <v>218365</v>
      </c>
      <c r="F10" s="1094">
        <v>3550</v>
      </c>
      <c r="G10" s="1095">
        <v>3102</v>
      </c>
      <c r="H10" s="1096">
        <v>54</v>
      </c>
      <c r="I10" s="1093">
        <v>9210</v>
      </c>
      <c r="J10" s="1095">
        <v>327</v>
      </c>
      <c r="K10" s="1095">
        <v>1206</v>
      </c>
      <c r="L10" s="1096"/>
      <c r="M10" s="1093">
        <v>8088</v>
      </c>
      <c r="N10" s="1095"/>
      <c r="O10" s="1095"/>
      <c r="P10" s="1095"/>
      <c r="Q10" s="1095">
        <v>399</v>
      </c>
      <c r="R10" s="1096"/>
      <c r="S10" s="1093"/>
      <c r="T10" s="1096"/>
      <c r="U10" s="1093">
        <v>3238</v>
      </c>
      <c r="V10" s="1096">
        <v>668</v>
      </c>
      <c r="W10" s="1097">
        <v>5437</v>
      </c>
      <c r="X10" s="1098">
        <v>1125</v>
      </c>
      <c r="Y10" s="1099">
        <f t="shared" ref="Y10:Z14" si="0">E10+G10+I10+K10+M10+Q10+S10+U10+W10</f>
        <v>249045</v>
      </c>
      <c r="Z10" s="1100">
        <f t="shared" si="0"/>
        <v>5724</v>
      </c>
    </row>
    <row r="11" spans="1:26">
      <c r="A11" s="30">
        <v>2</v>
      </c>
      <c r="B11" s="1418"/>
      <c r="C11" s="1461" t="s">
        <v>9</v>
      </c>
      <c r="D11" s="1462"/>
      <c r="E11" s="745">
        <v>31586</v>
      </c>
      <c r="F11" s="748">
        <v>1684</v>
      </c>
      <c r="G11" s="746">
        <v>3285</v>
      </c>
      <c r="H11" s="747">
        <v>507</v>
      </c>
      <c r="I11" s="745">
        <v>18269</v>
      </c>
      <c r="J11" s="746">
        <v>5983</v>
      </c>
      <c r="K11" s="746">
        <v>1732</v>
      </c>
      <c r="L11" s="747">
        <v>993</v>
      </c>
      <c r="M11" s="745">
        <v>8750</v>
      </c>
      <c r="N11" s="746">
        <v>156</v>
      </c>
      <c r="O11" s="746"/>
      <c r="P11" s="746"/>
      <c r="Q11" s="746">
        <v>573</v>
      </c>
      <c r="R11" s="747">
        <v>278</v>
      </c>
      <c r="S11" s="745"/>
      <c r="T11" s="747"/>
      <c r="U11" s="745">
        <v>1304</v>
      </c>
      <c r="V11" s="747">
        <v>2140</v>
      </c>
      <c r="W11" s="1101">
        <v>2473</v>
      </c>
      <c r="X11" s="1102">
        <v>1276</v>
      </c>
      <c r="Y11" s="1103">
        <f t="shared" si="0"/>
        <v>67972</v>
      </c>
      <c r="Z11" s="1104">
        <f t="shared" si="0"/>
        <v>13017</v>
      </c>
    </row>
    <row r="12" spans="1:26">
      <c r="A12" s="33">
        <v>3</v>
      </c>
      <c r="B12" s="1418"/>
      <c r="C12" s="1405" t="s">
        <v>2</v>
      </c>
      <c r="D12" s="1406"/>
      <c r="E12" s="745">
        <v>115527</v>
      </c>
      <c r="F12" s="748">
        <v>1664</v>
      </c>
      <c r="G12" s="746">
        <v>846</v>
      </c>
      <c r="H12" s="747">
        <v>146</v>
      </c>
      <c r="I12" s="745">
        <v>2772</v>
      </c>
      <c r="J12" s="746">
        <v>291</v>
      </c>
      <c r="K12" s="746">
        <v>601</v>
      </c>
      <c r="L12" s="747">
        <v>20</v>
      </c>
      <c r="M12" s="745">
        <v>9814</v>
      </c>
      <c r="N12" s="746">
        <v>109</v>
      </c>
      <c r="O12" s="746"/>
      <c r="P12" s="746"/>
      <c r="Q12" s="746">
        <v>140</v>
      </c>
      <c r="R12" s="747"/>
      <c r="S12" s="745"/>
      <c r="T12" s="747"/>
      <c r="U12" s="745">
        <v>3426</v>
      </c>
      <c r="V12" s="747">
        <v>313</v>
      </c>
      <c r="W12" s="1101">
        <v>9101</v>
      </c>
      <c r="X12" s="1102">
        <v>883</v>
      </c>
      <c r="Y12" s="1103">
        <f t="shared" si="0"/>
        <v>142227</v>
      </c>
      <c r="Z12" s="1104">
        <f t="shared" si="0"/>
        <v>3426</v>
      </c>
    </row>
    <row r="13" spans="1:26">
      <c r="A13" s="33">
        <v>4</v>
      </c>
      <c r="B13" s="1463" t="s">
        <v>8</v>
      </c>
      <c r="C13" s="1464"/>
      <c r="D13" s="1465"/>
      <c r="E13" s="745">
        <v>6601</v>
      </c>
      <c r="F13" s="748">
        <v>4</v>
      </c>
      <c r="G13" s="746"/>
      <c r="H13" s="747"/>
      <c r="I13" s="745"/>
      <c r="J13" s="746"/>
      <c r="K13" s="746"/>
      <c r="L13" s="747"/>
      <c r="M13" s="745"/>
      <c r="N13" s="746"/>
      <c r="O13" s="746"/>
      <c r="P13" s="746"/>
      <c r="Q13" s="746"/>
      <c r="R13" s="747"/>
      <c r="S13" s="745"/>
      <c r="T13" s="747"/>
      <c r="U13" s="745">
        <v>7583</v>
      </c>
      <c r="V13" s="747">
        <v>211</v>
      </c>
      <c r="W13" s="1101">
        <v>22272</v>
      </c>
      <c r="X13" s="1102">
        <v>346</v>
      </c>
      <c r="Y13" s="1103">
        <f t="shared" si="0"/>
        <v>36456</v>
      </c>
      <c r="Z13" s="1104">
        <f t="shared" si="0"/>
        <v>561</v>
      </c>
    </row>
    <row r="14" spans="1:26" ht="15.75" thickBot="1">
      <c r="A14" s="36">
        <v>5</v>
      </c>
      <c r="B14" s="1421" t="s">
        <v>25</v>
      </c>
      <c r="C14" s="1422"/>
      <c r="D14" s="1423"/>
      <c r="E14" s="1105">
        <v>1265</v>
      </c>
      <c r="F14" s="1106">
        <v>191</v>
      </c>
      <c r="G14" s="1107"/>
      <c r="H14" s="1108"/>
      <c r="I14" s="1105"/>
      <c r="J14" s="1107"/>
      <c r="K14" s="1107"/>
      <c r="L14" s="1108"/>
      <c r="M14" s="1105"/>
      <c r="N14" s="1107"/>
      <c r="O14" s="1107"/>
      <c r="P14" s="1107"/>
      <c r="Q14" s="1107"/>
      <c r="R14" s="1108"/>
      <c r="S14" s="1109"/>
      <c r="T14" s="1110"/>
      <c r="U14" s="1109">
        <v>76403</v>
      </c>
      <c r="V14" s="1110">
        <v>4745</v>
      </c>
      <c r="W14" s="1111"/>
      <c r="X14" s="1110"/>
      <c r="Y14" s="1112">
        <f t="shared" si="0"/>
        <v>77668</v>
      </c>
      <c r="Z14" s="1113">
        <f t="shared" si="0"/>
        <v>4936</v>
      </c>
    </row>
    <row r="15" spans="1:26" ht="15.75" thickBot="1">
      <c r="A15" s="37">
        <v>6</v>
      </c>
      <c r="B15" s="1399" t="s">
        <v>17</v>
      </c>
      <c r="C15" s="1400"/>
      <c r="D15" s="1401"/>
      <c r="E15" s="1114">
        <f>SUM(E10:E14)</f>
        <v>373344</v>
      </c>
      <c r="F15" s="1115">
        <f t="shared" ref="F15:Z15" si="1">SUM(F10:F14)</f>
        <v>7093</v>
      </c>
      <c r="G15" s="1116">
        <f t="shared" si="1"/>
        <v>7233</v>
      </c>
      <c r="H15" s="1117">
        <f t="shared" si="1"/>
        <v>707</v>
      </c>
      <c r="I15" s="1114">
        <f t="shared" si="1"/>
        <v>30251</v>
      </c>
      <c r="J15" s="1116">
        <f t="shared" si="1"/>
        <v>6601</v>
      </c>
      <c r="K15" s="1116">
        <f t="shared" si="1"/>
        <v>3539</v>
      </c>
      <c r="L15" s="1117">
        <f t="shared" si="1"/>
        <v>1013</v>
      </c>
      <c r="M15" s="1114">
        <f t="shared" si="1"/>
        <v>26652</v>
      </c>
      <c r="N15" s="1116">
        <f t="shared" si="1"/>
        <v>265</v>
      </c>
      <c r="O15" s="1116"/>
      <c r="P15" s="1116"/>
      <c r="Q15" s="1116">
        <f t="shared" si="1"/>
        <v>1112</v>
      </c>
      <c r="R15" s="1117">
        <f t="shared" si="1"/>
        <v>278</v>
      </c>
      <c r="S15" s="1178">
        <f t="shared" si="1"/>
        <v>0</v>
      </c>
      <c r="T15" s="1179">
        <f t="shared" si="1"/>
        <v>0</v>
      </c>
      <c r="U15" s="1118">
        <f t="shared" si="1"/>
        <v>91954</v>
      </c>
      <c r="V15" s="1119">
        <f t="shared" si="1"/>
        <v>8077</v>
      </c>
      <c r="W15" s="1180">
        <f t="shared" si="1"/>
        <v>39283</v>
      </c>
      <c r="X15" s="1179">
        <f t="shared" si="1"/>
        <v>3630</v>
      </c>
      <c r="Y15" s="1121">
        <f t="shared" si="1"/>
        <v>573368</v>
      </c>
      <c r="Z15" s="1181">
        <f t="shared" si="1"/>
        <v>27664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95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3"/>
      <c r="U19" s="3"/>
      <c r="V19" s="3"/>
      <c r="W19" s="3"/>
      <c r="X19" s="3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3"/>
      <c r="V20" s="3"/>
      <c r="W20" s="3"/>
      <c r="X20" s="3"/>
      <c r="Y20" s="3"/>
      <c r="Z20" s="3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51"/>
      <c r="U21" s="11"/>
      <c r="V21" s="11"/>
      <c r="W21" s="11"/>
      <c r="X21" s="11"/>
      <c r="Y21" s="11"/>
      <c r="Z21" s="1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1182">
        <v>50</v>
      </c>
      <c r="F22" s="336">
        <v>35198</v>
      </c>
      <c r="G22" s="337">
        <f>1000*F22/12/E22</f>
        <v>58663.333333333328</v>
      </c>
      <c r="H22" s="334">
        <v>6</v>
      </c>
      <c r="I22" s="336">
        <v>4948</v>
      </c>
      <c r="J22" s="337">
        <f t="shared" ref="J22:J33" si="2">1000*I22/12/H22</f>
        <v>68722.222222222219</v>
      </c>
      <c r="K22" s="335">
        <f>E22+H22</f>
        <v>56</v>
      </c>
      <c r="L22" s="336">
        <f>F22+I22</f>
        <v>40146</v>
      </c>
      <c r="M22" s="337">
        <f t="shared" ref="M22:M33" si="3">1000*L22/12/K22</f>
        <v>59741.071428571428</v>
      </c>
      <c r="N22" s="48"/>
      <c r="O22" s="48"/>
      <c r="P22" s="48"/>
      <c r="Q22" s="48"/>
      <c r="R22" s="48"/>
      <c r="S22" s="48"/>
      <c r="T22" s="48"/>
      <c r="U22" s="3"/>
      <c r="V22" s="3"/>
      <c r="W22" s="3"/>
      <c r="X22" s="3"/>
      <c r="Y22" s="3"/>
      <c r="Z22" s="3"/>
    </row>
    <row r="23" spans="1:26">
      <c r="A23" s="21">
        <v>2</v>
      </c>
      <c r="B23" s="1394"/>
      <c r="C23" s="1459"/>
      <c r="D23" s="133" t="s">
        <v>12</v>
      </c>
      <c r="E23" s="1183">
        <v>116</v>
      </c>
      <c r="F23" s="344">
        <v>70994</v>
      </c>
      <c r="G23" s="345">
        <f t="shared" ref="G23:G33" si="4">1000*F23/12/E23</f>
        <v>51001.436781609198</v>
      </c>
      <c r="H23" s="342">
        <v>9</v>
      </c>
      <c r="I23" s="344">
        <v>7157</v>
      </c>
      <c r="J23" s="345">
        <f t="shared" si="2"/>
        <v>66268.518518518511</v>
      </c>
      <c r="K23" s="343">
        <f t="shared" ref="K23:L32" si="5">E23+H23</f>
        <v>125</v>
      </c>
      <c r="L23" s="344">
        <f t="shared" si="5"/>
        <v>78151</v>
      </c>
      <c r="M23" s="345">
        <f t="shared" si="3"/>
        <v>52100.666666666664</v>
      </c>
      <c r="N23" s="48"/>
      <c r="O23" s="48"/>
      <c r="P23" s="48"/>
      <c r="Q23" s="48"/>
      <c r="R23" s="48"/>
      <c r="S23" s="48"/>
      <c r="T23" s="48"/>
      <c r="U23" s="3"/>
      <c r="V23" s="3"/>
      <c r="W23" s="3"/>
      <c r="X23" s="3"/>
      <c r="Y23" s="3"/>
      <c r="Z23" s="3"/>
    </row>
    <row r="24" spans="1:26">
      <c r="A24" s="21">
        <v>3</v>
      </c>
      <c r="B24" s="1394"/>
      <c r="C24" s="1459"/>
      <c r="D24" s="133" t="s">
        <v>13</v>
      </c>
      <c r="E24" s="1183">
        <v>239</v>
      </c>
      <c r="F24" s="344">
        <v>100466</v>
      </c>
      <c r="G24" s="345">
        <f t="shared" si="4"/>
        <v>35029.986052998604</v>
      </c>
      <c r="H24" s="342">
        <v>21</v>
      </c>
      <c r="I24" s="344">
        <v>12807</v>
      </c>
      <c r="J24" s="345">
        <f t="shared" si="2"/>
        <v>50821.428571428572</v>
      </c>
      <c r="K24" s="343">
        <f t="shared" si="5"/>
        <v>260</v>
      </c>
      <c r="L24" s="344">
        <f t="shared" si="5"/>
        <v>113273</v>
      </c>
      <c r="M24" s="345">
        <f t="shared" si="3"/>
        <v>36305.448717948719</v>
      </c>
      <c r="N24" s="48"/>
      <c r="O24" s="48"/>
      <c r="P24" s="48"/>
      <c r="Q24" s="48"/>
      <c r="R24" s="48"/>
      <c r="S24" s="48"/>
      <c r="T24" s="48"/>
      <c r="U24" s="3"/>
      <c r="V24" s="3"/>
      <c r="W24" s="3"/>
      <c r="X24" s="3"/>
      <c r="Y24" s="3"/>
      <c r="Z24" s="3"/>
    </row>
    <row r="25" spans="1:26">
      <c r="A25" s="21">
        <v>4</v>
      </c>
      <c r="B25" s="1394"/>
      <c r="C25" s="1459"/>
      <c r="D25" s="133" t="s">
        <v>14</v>
      </c>
      <c r="E25" s="1183">
        <v>47</v>
      </c>
      <c r="F25" s="344">
        <v>14810</v>
      </c>
      <c r="G25" s="345">
        <f t="shared" si="4"/>
        <v>26258.865248226954</v>
      </c>
      <c r="H25" s="342">
        <v>6</v>
      </c>
      <c r="I25" s="344">
        <v>2665</v>
      </c>
      <c r="J25" s="345">
        <f t="shared" si="2"/>
        <v>37013.888888888891</v>
      </c>
      <c r="K25" s="343">
        <f t="shared" si="5"/>
        <v>53</v>
      </c>
      <c r="L25" s="344">
        <f t="shared" si="5"/>
        <v>17475</v>
      </c>
      <c r="M25" s="345">
        <f t="shared" si="3"/>
        <v>27476.415094339623</v>
      </c>
      <c r="N25" s="48"/>
      <c r="O25" s="48"/>
      <c r="P25" s="48"/>
      <c r="Q25" s="48"/>
      <c r="R25" s="48"/>
      <c r="S25" s="48"/>
      <c r="T25" s="48"/>
      <c r="U25" s="3"/>
      <c r="V25" s="3"/>
      <c r="W25" s="3"/>
      <c r="X25" s="3"/>
      <c r="Y25" s="3"/>
      <c r="Z25" s="3"/>
    </row>
    <row r="26" spans="1:26">
      <c r="A26" s="21">
        <v>5</v>
      </c>
      <c r="B26" s="1394"/>
      <c r="C26" s="1459"/>
      <c r="D26" s="133" t="s">
        <v>15</v>
      </c>
      <c r="E26" s="1183"/>
      <c r="F26" s="344"/>
      <c r="G26" s="345"/>
      <c r="H26" s="342"/>
      <c r="I26" s="344"/>
      <c r="J26" s="345"/>
      <c r="K26" s="343">
        <f t="shared" si="5"/>
        <v>0</v>
      </c>
      <c r="L26" s="344">
        <f t="shared" si="5"/>
        <v>0</v>
      </c>
      <c r="M26" s="345"/>
      <c r="N26" s="48"/>
      <c r="O26" s="48"/>
      <c r="P26" s="48"/>
      <c r="Q26" s="48"/>
      <c r="R26" s="48"/>
      <c r="S26" s="48"/>
      <c r="T26" s="48"/>
      <c r="U26" s="3"/>
      <c r="V26" s="3"/>
      <c r="W26" s="3"/>
      <c r="X26" s="3"/>
      <c r="Y26" s="3"/>
      <c r="Z26" s="3"/>
    </row>
    <row r="27" spans="1:26" s="28" customFormat="1">
      <c r="A27" s="21"/>
      <c r="B27" s="1394"/>
      <c r="C27" s="1459"/>
      <c r="D27" s="133"/>
      <c r="E27" s="1183"/>
      <c r="F27" s="344"/>
      <c r="G27" s="345"/>
      <c r="H27" s="342"/>
      <c r="I27" s="344"/>
      <c r="J27" s="345"/>
      <c r="K27" s="343"/>
      <c r="L27" s="344"/>
      <c r="M27" s="345"/>
      <c r="N27" s="48"/>
      <c r="O27" s="48"/>
      <c r="P27" s="48"/>
      <c r="Q27" s="48"/>
      <c r="R27" s="48"/>
      <c r="S27" s="48"/>
      <c r="T27" s="48"/>
      <c r="U27" s="3"/>
      <c r="V27" s="3"/>
      <c r="W27" s="3"/>
      <c r="X27" s="3"/>
      <c r="Y27" s="3"/>
      <c r="Z27" s="3"/>
    </row>
    <row r="28" spans="1:26">
      <c r="A28" s="21">
        <v>6</v>
      </c>
      <c r="B28" s="1394"/>
      <c r="C28" s="1460"/>
      <c r="D28" s="133" t="s">
        <v>17</v>
      </c>
      <c r="E28" s="1183">
        <f>SUM(E22:E26)</f>
        <v>452</v>
      </c>
      <c r="F28" s="344">
        <f>SUM(F22:F26)</f>
        <v>221468</v>
      </c>
      <c r="G28" s="345">
        <f t="shared" si="4"/>
        <v>40831.120943952803</v>
      </c>
      <c r="H28" s="342">
        <f>SUM(H22:H26)</f>
        <v>42</v>
      </c>
      <c r="I28" s="344">
        <f>SUM(I22:I26)</f>
        <v>27577</v>
      </c>
      <c r="J28" s="345">
        <f t="shared" si="2"/>
        <v>54716.269841269845</v>
      </c>
      <c r="K28" s="343">
        <f t="shared" si="5"/>
        <v>494</v>
      </c>
      <c r="L28" s="344">
        <f t="shared" si="5"/>
        <v>249045</v>
      </c>
      <c r="M28" s="345">
        <f t="shared" si="3"/>
        <v>42011.639676113358</v>
      </c>
      <c r="N28" s="48"/>
      <c r="O28" s="48"/>
      <c r="P28" s="48"/>
      <c r="Q28" s="48"/>
      <c r="R28" s="48"/>
      <c r="S28" s="48"/>
      <c r="T28" s="48"/>
      <c r="U28" s="3"/>
      <c r="V28" s="3"/>
      <c r="W28" s="3"/>
      <c r="X28" s="3"/>
      <c r="Y28" s="3"/>
      <c r="Z28" s="3"/>
    </row>
    <row r="29" spans="1:26">
      <c r="A29" s="21">
        <v>7</v>
      </c>
      <c r="B29" s="1394"/>
      <c r="C29" s="1411" t="s">
        <v>77</v>
      </c>
      <c r="D29" s="1412"/>
      <c r="E29" s="1183">
        <v>109</v>
      </c>
      <c r="F29" s="344">
        <v>34870</v>
      </c>
      <c r="G29" s="345">
        <f t="shared" si="4"/>
        <v>26659.021406727828</v>
      </c>
      <c r="H29" s="342">
        <v>73</v>
      </c>
      <c r="I29" s="344">
        <v>33102</v>
      </c>
      <c r="J29" s="345">
        <f t="shared" si="2"/>
        <v>37787.67123287671</v>
      </c>
      <c r="K29" s="343">
        <f t="shared" si="5"/>
        <v>182</v>
      </c>
      <c r="L29" s="344">
        <f t="shared" si="5"/>
        <v>67972</v>
      </c>
      <c r="M29" s="345">
        <f t="shared" si="3"/>
        <v>31122.71062271062</v>
      </c>
      <c r="N29" s="48"/>
      <c r="O29" s="48"/>
      <c r="P29" s="48"/>
      <c r="Q29" s="48"/>
      <c r="R29" s="48"/>
      <c r="S29" s="48"/>
      <c r="T29" s="48"/>
      <c r="U29" s="3"/>
      <c r="V29" s="3"/>
      <c r="W29" s="3"/>
      <c r="X29" s="3"/>
      <c r="Y29" s="3"/>
      <c r="Z29" s="3"/>
    </row>
    <row r="30" spans="1:26">
      <c r="A30" s="21">
        <v>8</v>
      </c>
      <c r="B30" s="1395"/>
      <c r="C30" s="1409" t="s">
        <v>78</v>
      </c>
      <c r="D30" s="1410"/>
      <c r="E30" s="1183">
        <v>360</v>
      </c>
      <c r="F30" s="344">
        <v>116373</v>
      </c>
      <c r="G30" s="345">
        <f t="shared" si="4"/>
        <v>26938.194444444445</v>
      </c>
      <c r="H30" s="342">
        <v>60</v>
      </c>
      <c r="I30" s="344">
        <v>25854</v>
      </c>
      <c r="J30" s="345">
        <f t="shared" si="2"/>
        <v>35908.333333333336</v>
      </c>
      <c r="K30" s="343">
        <f t="shared" si="5"/>
        <v>420</v>
      </c>
      <c r="L30" s="344">
        <f t="shared" si="5"/>
        <v>142227</v>
      </c>
      <c r="M30" s="345">
        <f t="shared" si="3"/>
        <v>28219.642857142859</v>
      </c>
      <c r="N30" s="48"/>
      <c r="O30" s="48"/>
      <c r="P30" s="48"/>
      <c r="Q30" s="48"/>
      <c r="R30" s="48"/>
      <c r="S30" s="48"/>
      <c r="T30" s="48"/>
      <c r="U30" s="3"/>
      <c r="V30" s="3"/>
      <c r="W30" s="3"/>
      <c r="X30" s="3"/>
      <c r="Y30" s="3"/>
      <c r="Z30" s="3"/>
    </row>
    <row r="31" spans="1:26">
      <c r="A31" s="21">
        <v>9</v>
      </c>
      <c r="B31" s="1414" t="s">
        <v>8</v>
      </c>
      <c r="C31" s="1414"/>
      <c r="D31" s="1414"/>
      <c r="E31" s="1183">
        <v>34</v>
      </c>
      <c r="F31" s="344">
        <v>6601</v>
      </c>
      <c r="G31" s="345">
        <f t="shared" si="4"/>
        <v>16178.921568627453</v>
      </c>
      <c r="H31" s="342">
        <v>112</v>
      </c>
      <c r="I31" s="344">
        <v>29855</v>
      </c>
      <c r="J31" s="345">
        <f t="shared" si="2"/>
        <v>22213.541666666664</v>
      </c>
      <c r="K31" s="343">
        <f t="shared" si="5"/>
        <v>146</v>
      </c>
      <c r="L31" s="344">
        <f t="shared" si="5"/>
        <v>36456</v>
      </c>
      <c r="M31" s="345">
        <f t="shared" si="3"/>
        <v>20808.219178082192</v>
      </c>
      <c r="N31" s="48"/>
      <c r="O31" s="48"/>
      <c r="P31" s="48"/>
      <c r="Q31" s="48"/>
      <c r="R31" s="48"/>
      <c r="S31" s="48"/>
      <c r="T31" s="48"/>
      <c r="U31" s="3"/>
      <c r="V31" s="3"/>
      <c r="W31" s="3"/>
      <c r="X31" s="3"/>
      <c r="Y31" s="3"/>
      <c r="Z31" s="3"/>
    </row>
    <row r="32" spans="1:26" ht="15.75" thickBot="1">
      <c r="A32" s="46">
        <v>10</v>
      </c>
      <c r="B32" s="1392" t="s">
        <v>25</v>
      </c>
      <c r="C32" s="1392"/>
      <c r="D32" s="1392"/>
      <c r="E32" s="1184">
        <v>3</v>
      </c>
      <c r="F32" s="1124">
        <v>1265</v>
      </c>
      <c r="G32" s="935">
        <f t="shared" si="4"/>
        <v>35138.888888888891</v>
      </c>
      <c r="H32" s="1123">
        <v>281</v>
      </c>
      <c r="I32" s="1124">
        <v>76403</v>
      </c>
      <c r="J32" s="935">
        <f t="shared" si="2"/>
        <v>22658.066429418745</v>
      </c>
      <c r="K32" s="1125">
        <f t="shared" si="5"/>
        <v>284</v>
      </c>
      <c r="L32" s="1124">
        <f t="shared" si="5"/>
        <v>77668</v>
      </c>
      <c r="M32" s="935">
        <f t="shared" si="3"/>
        <v>22789.906103286383</v>
      </c>
      <c r="N32" s="48"/>
      <c r="O32" s="48"/>
      <c r="P32" s="48"/>
      <c r="Q32" s="48"/>
      <c r="R32" s="48"/>
      <c r="S32" s="48"/>
      <c r="T32" s="48"/>
      <c r="U32" s="3"/>
      <c r="V32" s="3"/>
      <c r="W32" s="3"/>
      <c r="X32" s="3"/>
      <c r="Y32" s="3"/>
      <c r="Z32" s="3"/>
    </row>
    <row r="33" spans="1:26" ht="15.75" thickBot="1">
      <c r="A33" s="45">
        <v>11</v>
      </c>
      <c r="B33" s="1413" t="s">
        <v>17</v>
      </c>
      <c r="C33" s="1413"/>
      <c r="D33" s="1413"/>
      <c r="E33" s="1185">
        <f>E28+E29+E30+E31+E32</f>
        <v>958</v>
      </c>
      <c r="F33" s="1127">
        <f t="shared" ref="F33:L33" si="6">F28+F29+F30+F31+F32</f>
        <v>380577</v>
      </c>
      <c r="G33" s="1128">
        <f t="shared" si="4"/>
        <v>33105.167014613777</v>
      </c>
      <c r="H33" s="1126">
        <f t="shared" si="6"/>
        <v>568</v>
      </c>
      <c r="I33" s="1127">
        <f t="shared" si="6"/>
        <v>192791</v>
      </c>
      <c r="J33" s="1128">
        <f t="shared" si="2"/>
        <v>28285.064553990611</v>
      </c>
      <c r="K33" s="1129">
        <f t="shared" si="6"/>
        <v>1526</v>
      </c>
      <c r="L33" s="1127">
        <f t="shared" si="6"/>
        <v>573368</v>
      </c>
      <c r="M33" s="1128">
        <f t="shared" si="3"/>
        <v>31311.052861511576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9.7109375" customWidth="1"/>
    <col min="6" max="6" width="8.570312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563" t="s">
        <v>1</v>
      </c>
      <c r="B5" s="1566" t="s">
        <v>7</v>
      </c>
      <c r="C5" s="1567"/>
      <c r="D5" s="1568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564"/>
      <c r="B6" s="1569"/>
      <c r="C6" s="1570"/>
      <c r="D6" s="1571"/>
      <c r="E6" s="1996" t="s">
        <v>24</v>
      </c>
      <c r="F6" s="1997"/>
      <c r="G6" s="1997"/>
      <c r="H6" s="1998"/>
      <c r="I6" s="1996" t="s">
        <v>28</v>
      </c>
      <c r="J6" s="1997"/>
      <c r="K6" s="1997"/>
      <c r="L6" s="1998"/>
      <c r="M6" s="1996" t="s">
        <v>20</v>
      </c>
      <c r="N6" s="1997"/>
      <c r="O6" s="1997"/>
      <c r="P6" s="1997"/>
      <c r="Q6" s="1997"/>
      <c r="R6" s="1998"/>
      <c r="S6" s="1999" t="s">
        <v>18</v>
      </c>
      <c r="T6" s="2000"/>
      <c r="U6" s="1999" t="s">
        <v>5</v>
      </c>
      <c r="V6" s="2000"/>
      <c r="W6" s="1999" t="s">
        <v>21</v>
      </c>
      <c r="X6" s="2000"/>
      <c r="Y6" s="2003" t="s">
        <v>17</v>
      </c>
      <c r="Z6" s="2004"/>
    </row>
    <row r="7" spans="1:26">
      <c r="A7" s="1564"/>
      <c r="B7" s="1569"/>
      <c r="C7" s="1570"/>
      <c r="D7" s="1571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2001"/>
      <c r="T7" s="2002"/>
      <c r="U7" s="2001"/>
      <c r="V7" s="2002"/>
      <c r="W7" s="2001"/>
      <c r="X7" s="2002"/>
      <c r="Y7" s="2005"/>
      <c r="Z7" s="2006"/>
    </row>
    <row r="8" spans="1:26" ht="15.75" thickBot="1">
      <c r="A8" s="1564"/>
      <c r="B8" s="1569"/>
      <c r="C8" s="1570"/>
      <c r="D8" s="1571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565"/>
      <c r="B9" s="1572"/>
      <c r="C9" s="1413"/>
      <c r="D9" s="1573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926">
        <v>1</v>
      </c>
      <c r="B10" s="1395" t="s">
        <v>30</v>
      </c>
      <c r="C10" s="1452" t="s">
        <v>16</v>
      </c>
      <c r="D10" s="1453"/>
      <c r="E10" s="1093">
        <v>94627</v>
      </c>
      <c r="F10" s="1094">
        <v>9233</v>
      </c>
      <c r="G10" s="1095">
        <v>2678</v>
      </c>
      <c r="H10" s="1096">
        <v>23</v>
      </c>
      <c r="I10" s="1093">
        <v>0</v>
      </c>
      <c r="J10" s="1095">
        <v>0</v>
      </c>
      <c r="K10" s="1095">
        <v>0</v>
      </c>
      <c r="L10" s="1096">
        <v>0</v>
      </c>
      <c r="M10" s="1093">
        <v>0</v>
      </c>
      <c r="N10" s="1095">
        <v>0</v>
      </c>
      <c r="O10" s="1095"/>
      <c r="P10" s="1095"/>
      <c r="Q10" s="1095">
        <v>23</v>
      </c>
      <c r="R10" s="1096">
        <v>0</v>
      </c>
      <c r="S10" s="1093">
        <v>1924</v>
      </c>
      <c r="T10" s="1096">
        <v>0</v>
      </c>
      <c r="U10" s="1093">
        <v>4770</v>
      </c>
      <c r="V10" s="1096">
        <v>658</v>
      </c>
      <c r="W10" s="1186">
        <v>5680</v>
      </c>
      <c r="X10" s="1187">
        <v>2403</v>
      </c>
      <c r="Y10" s="1188">
        <f t="shared" ref="Y10:Z14" si="0">W10+U10+S10+Q10+G10+E10</f>
        <v>109702</v>
      </c>
      <c r="Z10" s="1189">
        <f t="shared" si="0"/>
        <v>12317</v>
      </c>
    </row>
    <row r="11" spans="1:26">
      <c r="A11" s="926">
        <v>2</v>
      </c>
      <c r="B11" s="1418"/>
      <c r="C11" s="1461" t="s">
        <v>9</v>
      </c>
      <c r="D11" s="1462"/>
      <c r="E11" s="745">
        <v>207</v>
      </c>
      <c r="F11" s="748">
        <v>372</v>
      </c>
      <c r="G11" s="746">
        <v>3561</v>
      </c>
      <c r="H11" s="747">
        <v>3782</v>
      </c>
      <c r="I11" s="745">
        <v>0</v>
      </c>
      <c r="J11" s="748">
        <v>0</v>
      </c>
      <c r="K11" s="748">
        <v>0</v>
      </c>
      <c r="L11" s="747">
        <v>0</v>
      </c>
      <c r="M11" s="745">
        <v>0</v>
      </c>
      <c r="N11" s="746">
        <v>0</v>
      </c>
      <c r="O11" s="746"/>
      <c r="P11" s="746"/>
      <c r="Q11" s="746">
        <v>0</v>
      </c>
      <c r="R11" s="747">
        <v>42</v>
      </c>
      <c r="S11" s="745">
        <v>0</v>
      </c>
      <c r="T11" s="747">
        <v>0</v>
      </c>
      <c r="U11" s="745">
        <v>0</v>
      </c>
      <c r="V11" s="747">
        <v>0</v>
      </c>
      <c r="W11" s="1190">
        <v>0</v>
      </c>
      <c r="X11" s="1191">
        <v>0</v>
      </c>
      <c r="Y11" s="1188">
        <f t="shared" si="0"/>
        <v>3768</v>
      </c>
      <c r="Z11" s="1189">
        <f t="shared" si="0"/>
        <v>4196</v>
      </c>
    </row>
    <row r="12" spans="1:26">
      <c r="A12" s="134">
        <v>3</v>
      </c>
      <c r="B12" s="1418"/>
      <c r="C12" s="1405" t="s">
        <v>2</v>
      </c>
      <c r="D12" s="1406"/>
      <c r="E12" s="745">
        <v>60825</v>
      </c>
      <c r="F12" s="748">
        <v>2476</v>
      </c>
      <c r="G12" s="746">
        <v>2050</v>
      </c>
      <c r="H12" s="747">
        <v>7</v>
      </c>
      <c r="I12" s="745">
        <v>0</v>
      </c>
      <c r="J12" s="748">
        <v>0</v>
      </c>
      <c r="K12" s="748">
        <v>0</v>
      </c>
      <c r="L12" s="747">
        <v>0</v>
      </c>
      <c r="M12" s="745">
        <v>0</v>
      </c>
      <c r="N12" s="746">
        <v>0</v>
      </c>
      <c r="O12" s="746"/>
      <c r="P12" s="746"/>
      <c r="Q12" s="746">
        <v>1701</v>
      </c>
      <c r="R12" s="747">
        <v>1173</v>
      </c>
      <c r="S12" s="745">
        <v>3031</v>
      </c>
      <c r="T12" s="747">
        <v>0</v>
      </c>
      <c r="U12" s="745">
        <v>7801</v>
      </c>
      <c r="V12" s="747">
        <v>472</v>
      </c>
      <c r="W12" s="1190">
        <v>2512</v>
      </c>
      <c r="X12" s="1191">
        <v>420</v>
      </c>
      <c r="Y12" s="1188">
        <f t="shared" si="0"/>
        <v>77920</v>
      </c>
      <c r="Z12" s="1189">
        <f t="shared" si="0"/>
        <v>4548</v>
      </c>
    </row>
    <row r="13" spans="1:26">
      <c r="A13" s="134">
        <v>4</v>
      </c>
      <c r="B13" s="1463" t="s">
        <v>8</v>
      </c>
      <c r="C13" s="1464"/>
      <c r="D13" s="1465"/>
      <c r="E13" s="745">
        <v>5</v>
      </c>
      <c r="F13" s="748">
        <v>0</v>
      </c>
      <c r="G13" s="746">
        <v>0</v>
      </c>
      <c r="H13" s="747">
        <v>0</v>
      </c>
      <c r="I13" s="745">
        <v>0</v>
      </c>
      <c r="J13" s="748">
        <v>0</v>
      </c>
      <c r="K13" s="748">
        <v>0</v>
      </c>
      <c r="L13" s="747">
        <v>0</v>
      </c>
      <c r="M13" s="745">
        <v>0</v>
      </c>
      <c r="N13" s="746">
        <v>0</v>
      </c>
      <c r="O13" s="746"/>
      <c r="P13" s="746"/>
      <c r="Q13" s="746">
        <v>0</v>
      </c>
      <c r="R13" s="747">
        <v>0</v>
      </c>
      <c r="S13" s="745">
        <v>136</v>
      </c>
      <c r="T13" s="747">
        <v>0</v>
      </c>
      <c r="U13" s="745">
        <v>461</v>
      </c>
      <c r="V13" s="747">
        <v>0</v>
      </c>
      <c r="W13" s="1190">
        <v>0</v>
      </c>
      <c r="X13" s="1191">
        <v>0</v>
      </c>
      <c r="Y13" s="1188">
        <f t="shared" si="0"/>
        <v>602</v>
      </c>
      <c r="Z13" s="1189">
        <f t="shared" si="0"/>
        <v>0</v>
      </c>
    </row>
    <row r="14" spans="1:26" ht="15.75" thickBot="1">
      <c r="A14" s="933">
        <v>5</v>
      </c>
      <c r="B14" s="1421" t="s">
        <v>25</v>
      </c>
      <c r="C14" s="1422"/>
      <c r="D14" s="1423"/>
      <c r="E14" s="1105">
        <v>0</v>
      </c>
      <c r="F14" s="1106">
        <v>0</v>
      </c>
      <c r="G14" s="1107">
        <v>0</v>
      </c>
      <c r="H14" s="1108">
        <v>0</v>
      </c>
      <c r="I14" s="1105">
        <v>0</v>
      </c>
      <c r="J14" s="1107">
        <v>0</v>
      </c>
      <c r="K14" s="1107">
        <v>0</v>
      </c>
      <c r="L14" s="1108">
        <v>0</v>
      </c>
      <c r="M14" s="1105">
        <v>0</v>
      </c>
      <c r="N14" s="1107">
        <v>0</v>
      </c>
      <c r="O14" s="1107"/>
      <c r="P14" s="1107"/>
      <c r="Q14" s="1107">
        <v>0</v>
      </c>
      <c r="R14" s="1108">
        <v>0</v>
      </c>
      <c r="S14" s="1192">
        <v>0</v>
      </c>
      <c r="T14" s="1193">
        <v>0</v>
      </c>
      <c r="U14" s="1194">
        <v>0</v>
      </c>
      <c r="V14" s="1195">
        <v>0</v>
      </c>
      <c r="W14" s="1196">
        <v>0</v>
      </c>
      <c r="X14" s="1193">
        <v>0</v>
      </c>
      <c r="Y14" s="1188">
        <f t="shared" si="0"/>
        <v>0</v>
      </c>
      <c r="Z14" s="1189">
        <f t="shared" si="0"/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1114">
        <f>SUM(E10:E14)</f>
        <v>155664</v>
      </c>
      <c r="F15" s="1115">
        <f t="shared" ref="F15:Z15" si="1">SUM(F10:F14)</f>
        <v>12081</v>
      </c>
      <c r="G15" s="1116">
        <f t="shared" si="1"/>
        <v>8289</v>
      </c>
      <c r="H15" s="1117">
        <f t="shared" si="1"/>
        <v>3812</v>
      </c>
      <c r="I15" s="1114">
        <f t="shared" si="1"/>
        <v>0</v>
      </c>
      <c r="J15" s="1116">
        <f t="shared" si="1"/>
        <v>0</v>
      </c>
      <c r="K15" s="1116">
        <f t="shared" si="1"/>
        <v>0</v>
      </c>
      <c r="L15" s="1117">
        <f t="shared" si="1"/>
        <v>0</v>
      </c>
      <c r="M15" s="1114">
        <f t="shared" si="1"/>
        <v>0</v>
      </c>
      <c r="N15" s="1116">
        <f t="shared" si="1"/>
        <v>0</v>
      </c>
      <c r="O15" s="1116"/>
      <c r="P15" s="1116"/>
      <c r="Q15" s="1116">
        <f t="shared" si="1"/>
        <v>1724</v>
      </c>
      <c r="R15" s="1117">
        <f t="shared" si="1"/>
        <v>1215</v>
      </c>
      <c r="S15" s="1197">
        <f t="shared" si="1"/>
        <v>5091</v>
      </c>
      <c r="T15" s="1198">
        <f t="shared" si="1"/>
        <v>0</v>
      </c>
      <c r="U15" s="1197">
        <f t="shared" si="1"/>
        <v>13032</v>
      </c>
      <c r="V15" s="1198">
        <f t="shared" si="1"/>
        <v>1130</v>
      </c>
      <c r="W15" s="1199">
        <f t="shared" si="1"/>
        <v>8192</v>
      </c>
      <c r="X15" s="1198">
        <f t="shared" si="1"/>
        <v>2823</v>
      </c>
      <c r="Y15" s="1121">
        <f t="shared" si="1"/>
        <v>191992</v>
      </c>
      <c r="Z15" s="1200">
        <f t="shared" si="1"/>
        <v>21061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2007" t="s">
        <v>32</v>
      </c>
      <c r="F19" s="2008"/>
      <c r="G19" s="2009"/>
      <c r="H19" s="1996" t="s">
        <v>34</v>
      </c>
      <c r="I19" s="1997"/>
      <c r="J19" s="1998"/>
      <c r="K19" s="2008" t="s">
        <v>17</v>
      </c>
      <c r="L19" s="2008"/>
      <c r="M19" s="2009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829" t="s">
        <v>75</v>
      </c>
      <c r="F20" s="830" t="s">
        <v>33</v>
      </c>
      <c r="G20" s="831" t="s">
        <v>23</v>
      </c>
      <c r="H20" s="829" t="s">
        <v>22</v>
      </c>
      <c r="I20" s="830" t="s">
        <v>33</v>
      </c>
      <c r="J20" s="831" t="s">
        <v>23</v>
      </c>
      <c r="K20" s="132" t="s">
        <v>22</v>
      </c>
      <c r="L20" s="832" t="s">
        <v>33</v>
      </c>
      <c r="M20" s="83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1093">
        <v>46</v>
      </c>
      <c r="F22" s="1095">
        <v>21107</v>
      </c>
      <c r="G22" s="1096">
        <f>F22/12/E22</f>
        <v>38.237318840579711</v>
      </c>
      <c r="H22" s="1093">
        <v>0</v>
      </c>
      <c r="I22" s="1095">
        <v>1904</v>
      </c>
      <c r="J22" s="1096">
        <v>0</v>
      </c>
      <c r="K22" s="1094">
        <f>E22+H22</f>
        <v>46</v>
      </c>
      <c r="L22" s="1201">
        <f>F22+I22</f>
        <v>23011</v>
      </c>
      <c r="M22" s="1096">
        <f t="shared" ref="M22:M33" si="2">L22/12/K22</f>
        <v>41.686594202898547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745">
        <v>57</v>
      </c>
      <c r="F23" s="746">
        <v>24400</v>
      </c>
      <c r="G23" s="1096">
        <f t="shared" ref="G23:G30" si="3">F23/12/E23</f>
        <v>35.672514619883039</v>
      </c>
      <c r="H23" s="745">
        <v>2</v>
      </c>
      <c r="I23" s="746">
        <v>4071</v>
      </c>
      <c r="J23" s="1096">
        <f>I23/12/H23</f>
        <v>169.625</v>
      </c>
      <c r="K23" s="748">
        <f t="shared" ref="K23:L32" si="4">E23+H23</f>
        <v>59</v>
      </c>
      <c r="L23" s="1202">
        <f t="shared" si="4"/>
        <v>28471</v>
      </c>
      <c r="M23" s="1096">
        <f t="shared" si="2"/>
        <v>40.213276836158194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39">
        <v>149</v>
      </c>
      <c r="F24" s="746">
        <v>50817</v>
      </c>
      <c r="G24" s="1096">
        <f t="shared" si="3"/>
        <v>28.421140939597315</v>
      </c>
      <c r="H24" s="745">
        <v>5</v>
      </c>
      <c r="I24" s="746">
        <v>6360</v>
      </c>
      <c r="J24" s="1096">
        <f>I24/12/H24</f>
        <v>106</v>
      </c>
      <c r="K24" s="748">
        <f t="shared" si="4"/>
        <v>154</v>
      </c>
      <c r="L24" s="1202">
        <f t="shared" si="4"/>
        <v>57177</v>
      </c>
      <c r="M24" s="1096">
        <f t="shared" si="2"/>
        <v>30.939935064935064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39">
        <v>1</v>
      </c>
      <c r="F25" s="746">
        <v>453</v>
      </c>
      <c r="G25" s="1096">
        <v>26</v>
      </c>
      <c r="H25" s="745">
        <v>0</v>
      </c>
      <c r="I25" s="746">
        <v>53</v>
      </c>
      <c r="J25" s="747">
        <v>0</v>
      </c>
      <c r="K25" s="748">
        <f t="shared" si="4"/>
        <v>1</v>
      </c>
      <c r="L25" s="1202">
        <f t="shared" si="4"/>
        <v>506</v>
      </c>
      <c r="M25" s="1096">
        <v>29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39">
        <v>2</v>
      </c>
      <c r="F26" s="746">
        <v>529</v>
      </c>
      <c r="G26" s="1096">
        <v>29</v>
      </c>
      <c r="H26" s="745">
        <v>0</v>
      </c>
      <c r="I26" s="746">
        <v>8</v>
      </c>
      <c r="J26" s="747">
        <v>0</v>
      </c>
      <c r="K26" s="748">
        <f t="shared" si="4"/>
        <v>2</v>
      </c>
      <c r="L26" s="1202">
        <f t="shared" si="4"/>
        <v>537</v>
      </c>
      <c r="M26" s="1096">
        <f t="shared" si="2"/>
        <v>22.375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133"/>
      <c r="E27" s="39"/>
      <c r="F27" s="748"/>
      <c r="G27" s="1096"/>
      <c r="H27" s="745"/>
      <c r="I27" s="748"/>
      <c r="J27" s="1096"/>
      <c r="K27" s="748"/>
      <c r="L27" s="1202"/>
      <c r="M27" s="1096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745">
        <f>SUM(E22:E26)</f>
        <v>255</v>
      </c>
      <c r="F28" s="745">
        <f>SUM(F22:F26)</f>
        <v>97306</v>
      </c>
      <c r="G28" s="1096">
        <f t="shared" si="3"/>
        <v>31.799346405228757</v>
      </c>
      <c r="H28" s="745">
        <f>SUM(H22:H26)</f>
        <v>7</v>
      </c>
      <c r="I28" s="745">
        <f>SUM(I22:I26)</f>
        <v>12396</v>
      </c>
      <c r="J28" s="1096">
        <f>I28/12/H28</f>
        <v>147.57142857142858</v>
      </c>
      <c r="K28" s="748">
        <f t="shared" si="4"/>
        <v>262</v>
      </c>
      <c r="L28" s="1202">
        <f t="shared" si="4"/>
        <v>109702</v>
      </c>
      <c r="M28" s="1096">
        <f t="shared" si="2"/>
        <v>34.892493638676847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39">
        <v>9</v>
      </c>
      <c r="F29" s="746">
        <v>3768</v>
      </c>
      <c r="G29" s="1096">
        <f t="shared" si="3"/>
        <v>34.888888888888886</v>
      </c>
      <c r="H29" s="745">
        <v>0</v>
      </c>
      <c r="I29" s="746">
        <v>0</v>
      </c>
      <c r="J29" s="747">
        <v>0</v>
      </c>
      <c r="K29" s="748">
        <f t="shared" si="4"/>
        <v>9</v>
      </c>
      <c r="L29" s="1202">
        <f t="shared" si="4"/>
        <v>3768</v>
      </c>
      <c r="M29" s="1096">
        <v>33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39">
        <v>166</v>
      </c>
      <c r="F30" s="746">
        <v>62874</v>
      </c>
      <c r="G30" s="1096">
        <f t="shared" si="3"/>
        <v>31.563253012048193</v>
      </c>
      <c r="H30" s="745">
        <v>22</v>
      </c>
      <c r="I30" s="746">
        <v>15046</v>
      </c>
      <c r="J30" s="1096">
        <f>I30/12/H30</f>
        <v>56.992424242424242</v>
      </c>
      <c r="K30" s="748">
        <f t="shared" si="4"/>
        <v>188</v>
      </c>
      <c r="L30" s="1202">
        <f t="shared" si="4"/>
        <v>77920</v>
      </c>
      <c r="M30" s="1096">
        <f t="shared" si="2"/>
        <v>34.539007092198581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39">
        <v>0</v>
      </c>
      <c r="F31" s="746">
        <v>5</v>
      </c>
      <c r="G31" s="747">
        <v>0</v>
      </c>
      <c r="H31" s="745">
        <v>1</v>
      </c>
      <c r="I31" s="746">
        <v>597</v>
      </c>
      <c r="J31" s="1096">
        <f>I31/12/H31</f>
        <v>49.75</v>
      </c>
      <c r="K31" s="748">
        <f t="shared" si="4"/>
        <v>1</v>
      </c>
      <c r="L31" s="1202">
        <f t="shared" si="4"/>
        <v>602</v>
      </c>
      <c r="M31" s="1096">
        <f t="shared" si="2"/>
        <v>50.166666666666664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1203">
        <v>0</v>
      </c>
      <c r="F32" s="1204">
        <v>0</v>
      </c>
      <c r="G32" s="1205">
        <v>0</v>
      </c>
      <c r="H32" s="1206">
        <v>0</v>
      </c>
      <c r="I32" s="1204">
        <v>0</v>
      </c>
      <c r="J32" s="1205">
        <v>0</v>
      </c>
      <c r="K32" s="1207">
        <f t="shared" si="4"/>
        <v>0</v>
      </c>
      <c r="L32" s="1208">
        <f t="shared" si="4"/>
        <v>0</v>
      </c>
      <c r="M32" s="1205">
        <v>0</v>
      </c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1209">
        <f>E28+E29+E30+E31+E32</f>
        <v>430</v>
      </c>
      <c r="F33" s="1210">
        <f t="shared" ref="F33:L33" si="5">F28+F29+F30+F31+F32</f>
        <v>163953</v>
      </c>
      <c r="G33" s="1211">
        <f>F33/12/E33</f>
        <v>31.773837209302325</v>
      </c>
      <c r="H33" s="1212">
        <f t="shared" si="5"/>
        <v>30</v>
      </c>
      <c r="I33" s="1210">
        <f t="shared" si="5"/>
        <v>28039</v>
      </c>
      <c r="J33" s="1211">
        <f>I33/12/H33</f>
        <v>77.88611111111112</v>
      </c>
      <c r="K33" s="1213">
        <f t="shared" si="5"/>
        <v>460</v>
      </c>
      <c r="L33" s="1210">
        <f t="shared" si="5"/>
        <v>191992</v>
      </c>
      <c r="M33" s="1211">
        <f t="shared" si="2"/>
        <v>34.781159420289853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11.42578125" customWidth="1"/>
    <col min="6" max="6" width="11.570312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11.5703125" customWidth="1"/>
    <col min="13" max="13" width="8.5703125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  <col min="26" max="26" width="10.1406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68">
        <v>20571</v>
      </c>
      <c r="F10" s="71"/>
      <c r="G10" s="69"/>
      <c r="H10" s="70"/>
      <c r="I10" s="68"/>
      <c r="J10" s="69"/>
      <c r="K10" s="69"/>
      <c r="L10" s="70"/>
      <c r="M10" s="68"/>
      <c r="N10" s="69"/>
      <c r="O10" s="69"/>
      <c r="P10" s="69"/>
      <c r="Q10" s="69"/>
      <c r="R10" s="70"/>
      <c r="S10" s="68"/>
      <c r="T10" s="70"/>
      <c r="U10" s="68"/>
      <c r="V10" s="70"/>
      <c r="W10" s="1214"/>
      <c r="X10" s="1215"/>
      <c r="Y10" s="806">
        <v>20571</v>
      </c>
      <c r="Z10" s="1216"/>
    </row>
    <row r="11" spans="1:26">
      <c r="A11" s="30">
        <v>2</v>
      </c>
      <c r="B11" s="1418"/>
      <c r="C11" s="1461" t="s">
        <v>9</v>
      </c>
      <c r="D11" s="1462"/>
      <c r="E11" s="72">
        <v>769</v>
      </c>
      <c r="F11" s="75"/>
      <c r="G11" s="67">
        <v>931</v>
      </c>
      <c r="H11" s="74">
        <v>441</v>
      </c>
      <c r="I11" s="72">
        <v>1963</v>
      </c>
      <c r="J11" s="67">
        <v>245</v>
      </c>
      <c r="K11" s="67"/>
      <c r="L11" s="74"/>
      <c r="M11" s="72"/>
      <c r="N11" s="67"/>
      <c r="O11" s="67"/>
      <c r="P11" s="67"/>
      <c r="Q11" s="67">
        <v>9</v>
      </c>
      <c r="R11" s="74"/>
      <c r="S11" s="72"/>
      <c r="T11" s="74"/>
      <c r="U11" s="72">
        <v>48</v>
      </c>
      <c r="V11" s="74"/>
      <c r="W11" s="1217"/>
      <c r="X11" s="1218"/>
      <c r="Y11" s="810">
        <v>3720</v>
      </c>
      <c r="Z11" s="1219">
        <v>686</v>
      </c>
    </row>
    <row r="12" spans="1:26">
      <c r="A12" s="33">
        <v>3</v>
      </c>
      <c r="B12" s="1418"/>
      <c r="C12" s="1405" t="s">
        <v>2</v>
      </c>
      <c r="D12" s="1406"/>
      <c r="E12" s="72">
        <v>13774</v>
      </c>
      <c r="F12" s="75">
        <v>1630</v>
      </c>
      <c r="G12" s="67"/>
      <c r="H12" s="74"/>
      <c r="I12" s="72"/>
      <c r="J12" s="67"/>
      <c r="K12" s="67"/>
      <c r="L12" s="74"/>
      <c r="M12" s="72"/>
      <c r="N12" s="67"/>
      <c r="O12" s="67"/>
      <c r="P12" s="67"/>
      <c r="Q12" s="67"/>
      <c r="R12" s="74"/>
      <c r="S12" s="72"/>
      <c r="T12" s="74"/>
      <c r="U12" s="72"/>
      <c r="V12" s="74">
        <v>129</v>
      </c>
      <c r="W12" s="1217"/>
      <c r="X12" s="1218">
        <v>253</v>
      </c>
      <c r="Y12" s="810">
        <v>13774</v>
      </c>
      <c r="Z12" s="1219">
        <v>2012</v>
      </c>
    </row>
    <row r="13" spans="1:26">
      <c r="A13" s="33">
        <v>4</v>
      </c>
      <c r="B13" s="1463" t="s">
        <v>8</v>
      </c>
      <c r="C13" s="1464"/>
      <c r="D13" s="1465"/>
      <c r="E13" s="72"/>
      <c r="F13" s="75"/>
      <c r="G13" s="67"/>
      <c r="H13" s="74"/>
      <c r="I13" s="72"/>
      <c r="J13" s="67"/>
      <c r="K13" s="67"/>
      <c r="L13" s="74"/>
      <c r="M13" s="72"/>
      <c r="N13" s="67"/>
      <c r="O13" s="67"/>
      <c r="P13" s="67"/>
      <c r="Q13" s="67"/>
      <c r="R13" s="74"/>
      <c r="S13" s="72"/>
      <c r="T13" s="74"/>
      <c r="U13" s="72"/>
      <c r="V13" s="74"/>
      <c r="W13" s="1217"/>
      <c r="X13" s="1218"/>
      <c r="Y13" s="810"/>
      <c r="Z13" s="1219"/>
    </row>
    <row r="14" spans="1:26" ht="15.75" thickBot="1">
      <c r="A14" s="36">
        <v>5</v>
      </c>
      <c r="B14" s="1421" t="s">
        <v>25</v>
      </c>
      <c r="C14" s="1422"/>
      <c r="D14" s="1423"/>
      <c r="E14" s="104"/>
      <c r="F14" s="719"/>
      <c r="G14" s="105"/>
      <c r="H14" s="106"/>
      <c r="I14" s="104"/>
      <c r="J14" s="105"/>
      <c r="K14" s="105"/>
      <c r="L14" s="106"/>
      <c r="M14" s="104"/>
      <c r="N14" s="105"/>
      <c r="O14" s="105"/>
      <c r="P14" s="105"/>
      <c r="Q14" s="105"/>
      <c r="R14" s="106"/>
      <c r="S14" s="406"/>
      <c r="T14" s="407"/>
      <c r="U14" s="408"/>
      <c r="V14" s="409"/>
      <c r="W14" s="1220"/>
      <c r="X14" s="407"/>
      <c r="Y14" s="815"/>
      <c r="Z14" s="1221"/>
    </row>
    <row r="15" spans="1:26" ht="15.75" thickBot="1">
      <c r="A15" s="37">
        <v>6</v>
      </c>
      <c r="B15" s="1399" t="s">
        <v>17</v>
      </c>
      <c r="C15" s="1400"/>
      <c r="D15" s="1401"/>
      <c r="E15" s="118">
        <f>SUM(E10:E14)</f>
        <v>35114</v>
      </c>
      <c r="F15" s="720">
        <f t="shared" ref="F15:Z15" si="0">SUM(F10:F14)</f>
        <v>1630</v>
      </c>
      <c r="G15" s="119">
        <f t="shared" si="0"/>
        <v>931</v>
      </c>
      <c r="H15" s="120">
        <f t="shared" si="0"/>
        <v>441</v>
      </c>
      <c r="I15" s="118">
        <f t="shared" si="0"/>
        <v>1963</v>
      </c>
      <c r="J15" s="119">
        <f t="shared" si="0"/>
        <v>245</v>
      </c>
      <c r="K15" s="119">
        <f t="shared" si="0"/>
        <v>0</v>
      </c>
      <c r="L15" s="120">
        <f t="shared" si="0"/>
        <v>0</v>
      </c>
      <c r="M15" s="118">
        <f t="shared" si="0"/>
        <v>0</v>
      </c>
      <c r="N15" s="119">
        <f t="shared" si="0"/>
        <v>0</v>
      </c>
      <c r="O15" s="119"/>
      <c r="P15" s="119"/>
      <c r="Q15" s="119">
        <f t="shared" si="0"/>
        <v>9</v>
      </c>
      <c r="R15" s="120">
        <f t="shared" si="0"/>
        <v>0</v>
      </c>
      <c r="S15" s="1222">
        <f t="shared" si="0"/>
        <v>0</v>
      </c>
      <c r="T15" s="1223">
        <f t="shared" si="0"/>
        <v>0</v>
      </c>
      <c r="U15" s="1224">
        <f t="shared" si="0"/>
        <v>48</v>
      </c>
      <c r="V15" s="1225">
        <f t="shared" si="0"/>
        <v>129</v>
      </c>
      <c r="W15" s="1226">
        <f t="shared" si="0"/>
        <v>0</v>
      </c>
      <c r="X15" s="1223">
        <f t="shared" si="0"/>
        <v>253</v>
      </c>
      <c r="Y15" s="820">
        <f t="shared" si="0"/>
        <v>38065</v>
      </c>
      <c r="Z15" s="1227">
        <f t="shared" si="0"/>
        <v>2698</v>
      </c>
    </row>
    <row r="16" spans="1:26">
      <c r="A16" s="48"/>
      <c r="B16" s="48"/>
      <c r="C16" s="48"/>
      <c r="D16" s="48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</row>
    <row r="17" spans="1:26">
      <c r="A17" s="49" t="s">
        <v>58</v>
      </c>
      <c r="B17" s="32"/>
      <c r="C17" s="32"/>
      <c r="D17" s="32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  <c r="S17" s="743"/>
      <c r="T17" s="743"/>
      <c r="U17" s="743"/>
      <c r="V17" s="725"/>
      <c r="W17" s="725"/>
      <c r="X17" s="725"/>
      <c r="Y17" s="726"/>
      <c r="Z17" s="726"/>
    </row>
    <row r="18" spans="1:26" ht="15.75" thickBot="1">
      <c r="A18" s="49"/>
      <c r="B18" s="32"/>
      <c r="C18" s="32"/>
      <c r="D18" s="32"/>
      <c r="E18" s="743"/>
      <c r="F18" s="743"/>
      <c r="G18" s="743"/>
      <c r="H18" s="743"/>
      <c r="I18" s="743"/>
      <c r="J18" s="743"/>
      <c r="K18" s="743"/>
      <c r="L18" s="743"/>
      <c r="M18" s="744" t="s">
        <v>4</v>
      </c>
      <c r="N18" s="495"/>
      <c r="O18" s="495"/>
      <c r="P18" s="495"/>
      <c r="Q18" s="495"/>
      <c r="R18" s="495"/>
      <c r="S18" s="495"/>
      <c r="T18" s="495"/>
      <c r="U18" s="495"/>
      <c r="V18" s="495"/>
      <c r="W18" s="725"/>
      <c r="X18" s="725"/>
      <c r="Y18" s="726"/>
      <c r="Z18" s="726"/>
    </row>
    <row r="19" spans="1:26">
      <c r="A19" s="1449" t="s">
        <v>1</v>
      </c>
      <c r="B19" s="1446" t="s">
        <v>7</v>
      </c>
      <c r="C19" s="1446"/>
      <c r="D19" s="1446"/>
      <c r="E19" s="1396" t="s">
        <v>32</v>
      </c>
      <c r="F19" s="1397"/>
      <c r="G19" s="1398"/>
      <c r="H19" s="1402" t="s">
        <v>34</v>
      </c>
      <c r="I19" s="1403"/>
      <c r="J19" s="1404"/>
      <c r="K19" s="1397" t="s">
        <v>17</v>
      </c>
      <c r="L19" s="1397"/>
      <c r="M19" s="1398"/>
      <c r="N19" s="495"/>
      <c r="O19" s="495"/>
      <c r="P19" s="495"/>
      <c r="Q19" s="495"/>
      <c r="R19" s="495"/>
      <c r="S19" s="495"/>
      <c r="T19" s="495"/>
      <c r="U19" s="495"/>
      <c r="V19" s="495"/>
      <c r="W19" s="725"/>
      <c r="X19" s="725"/>
      <c r="Y19" s="726"/>
      <c r="Z19" s="726"/>
    </row>
    <row r="20" spans="1:26" ht="38.25">
      <c r="A20" s="1450"/>
      <c r="B20" s="1447"/>
      <c r="C20" s="1447"/>
      <c r="D20" s="1447"/>
      <c r="E20" s="745" t="s">
        <v>75</v>
      </c>
      <c r="F20" s="746" t="s">
        <v>33</v>
      </c>
      <c r="G20" s="747" t="s">
        <v>23</v>
      </c>
      <c r="H20" s="745" t="s">
        <v>22</v>
      </c>
      <c r="I20" s="746" t="s">
        <v>33</v>
      </c>
      <c r="J20" s="747" t="s">
        <v>23</v>
      </c>
      <c r="K20" s="748" t="s">
        <v>22</v>
      </c>
      <c r="L20" s="749" t="s">
        <v>33</v>
      </c>
      <c r="M20" s="747" t="s">
        <v>23</v>
      </c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</row>
    <row r="21" spans="1:26" ht="26.25" thickBot="1">
      <c r="A21" s="1451"/>
      <c r="B21" s="1448"/>
      <c r="C21" s="1448"/>
      <c r="D21" s="1448"/>
      <c r="E21" s="729">
        <v>1</v>
      </c>
      <c r="F21" s="731">
        <v>2</v>
      </c>
      <c r="G21" s="732" t="s">
        <v>47</v>
      </c>
      <c r="H21" s="729">
        <v>4</v>
      </c>
      <c r="I21" s="731">
        <v>5</v>
      </c>
      <c r="J21" s="732" t="s">
        <v>48</v>
      </c>
      <c r="K21" s="730">
        <v>7</v>
      </c>
      <c r="L21" s="750">
        <v>8</v>
      </c>
      <c r="M21" s="732" t="s">
        <v>49</v>
      </c>
      <c r="N21" s="751"/>
      <c r="O21" s="751"/>
      <c r="P21" s="751"/>
      <c r="Q21" s="495"/>
      <c r="R21" s="495"/>
      <c r="S21" s="495"/>
      <c r="T21" s="495"/>
      <c r="U21" s="751"/>
      <c r="V21" s="751"/>
      <c r="W21" s="751"/>
      <c r="X21" s="751"/>
      <c r="Y21" s="751"/>
      <c r="Z21" s="7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68">
        <v>5.5830000000000002</v>
      </c>
      <c r="F22" s="69">
        <v>2302</v>
      </c>
      <c r="G22" s="70">
        <v>32</v>
      </c>
      <c r="H22" s="68"/>
      <c r="I22" s="69"/>
      <c r="J22" s="70"/>
      <c r="K22" s="71">
        <f>E22+H22</f>
        <v>5.5830000000000002</v>
      </c>
      <c r="L22" s="69">
        <f>F22+I22</f>
        <v>2302</v>
      </c>
      <c r="M22" s="70">
        <v>32</v>
      </c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</row>
    <row r="23" spans="1:26">
      <c r="A23" s="21">
        <v>2</v>
      </c>
      <c r="B23" s="1394"/>
      <c r="C23" s="1459"/>
      <c r="D23" s="133" t="s">
        <v>12</v>
      </c>
      <c r="E23" s="72">
        <v>14.083</v>
      </c>
      <c r="F23" s="67">
        <v>6615</v>
      </c>
      <c r="G23" s="74">
        <v>39</v>
      </c>
      <c r="H23" s="72"/>
      <c r="I23" s="67"/>
      <c r="J23" s="74"/>
      <c r="K23" s="75">
        <f t="shared" ref="K23:L32" si="1">E23+H23</f>
        <v>14.083</v>
      </c>
      <c r="L23" s="67">
        <f t="shared" si="1"/>
        <v>6615</v>
      </c>
      <c r="M23" s="74">
        <v>39</v>
      </c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</row>
    <row r="24" spans="1:26">
      <c r="A24" s="21">
        <v>3</v>
      </c>
      <c r="B24" s="1394"/>
      <c r="C24" s="1459"/>
      <c r="D24" s="133" t="s">
        <v>13</v>
      </c>
      <c r="E24" s="72">
        <v>29.294</v>
      </c>
      <c r="F24" s="67">
        <v>8941</v>
      </c>
      <c r="G24" s="74">
        <v>25</v>
      </c>
      <c r="H24" s="72"/>
      <c r="I24" s="67"/>
      <c r="J24" s="74"/>
      <c r="K24" s="75">
        <f t="shared" si="1"/>
        <v>29.294</v>
      </c>
      <c r="L24" s="67">
        <f t="shared" si="1"/>
        <v>8941</v>
      </c>
      <c r="M24" s="74">
        <v>25</v>
      </c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</row>
    <row r="25" spans="1:26">
      <c r="A25" s="21">
        <v>4</v>
      </c>
      <c r="B25" s="1394"/>
      <c r="C25" s="1459"/>
      <c r="D25" s="133" t="s">
        <v>14</v>
      </c>
      <c r="E25" s="72">
        <v>11.079000000000001</v>
      </c>
      <c r="F25" s="67">
        <v>2713</v>
      </c>
      <c r="G25" s="74">
        <v>20</v>
      </c>
      <c r="H25" s="72"/>
      <c r="I25" s="67"/>
      <c r="J25" s="74"/>
      <c r="K25" s="75">
        <f t="shared" si="1"/>
        <v>11.079000000000001</v>
      </c>
      <c r="L25" s="67">
        <f t="shared" si="1"/>
        <v>2713</v>
      </c>
      <c r="M25" s="74">
        <v>20</v>
      </c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</row>
    <row r="26" spans="1:26">
      <c r="A26" s="21">
        <v>5</v>
      </c>
      <c r="B26" s="1394"/>
      <c r="C26" s="1459"/>
      <c r="D26" s="133" t="s">
        <v>15</v>
      </c>
      <c r="E26" s="72"/>
      <c r="F26" s="67"/>
      <c r="G26" s="74"/>
      <c r="H26" s="72"/>
      <c r="I26" s="67"/>
      <c r="J26" s="74"/>
      <c r="K26" s="75">
        <f t="shared" si="1"/>
        <v>0</v>
      </c>
      <c r="L26" s="67">
        <f t="shared" si="1"/>
        <v>0</v>
      </c>
      <c r="M26" s="74">
        <v>0</v>
      </c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</row>
    <row r="27" spans="1:26" s="28" customFormat="1">
      <c r="A27" s="21"/>
      <c r="B27" s="1394"/>
      <c r="C27" s="1459"/>
      <c r="D27" s="133"/>
      <c r="E27" s="72"/>
      <c r="F27" s="67"/>
      <c r="G27" s="74"/>
      <c r="H27" s="72"/>
      <c r="I27" s="67"/>
      <c r="J27" s="74"/>
      <c r="K27" s="75"/>
      <c r="L27" s="67"/>
      <c r="M27" s="74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</row>
    <row r="28" spans="1:26">
      <c r="A28" s="21">
        <v>6</v>
      </c>
      <c r="B28" s="1394"/>
      <c r="C28" s="1460"/>
      <c r="D28" s="133" t="s">
        <v>17</v>
      </c>
      <c r="E28" s="72">
        <v>60.039000000000001</v>
      </c>
      <c r="F28" s="67">
        <v>20571</v>
      </c>
      <c r="G28" s="74">
        <v>29</v>
      </c>
      <c r="H28" s="72"/>
      <c r="I28" s="67"/>
      <c r="J28" s="74"/>
      <c r="K28" s="75">
        <f t="shared" si="1"/>
        <v>60.039000000000001</v>
      </c>
      <c r="L28" s="67">
        <f t="shared" si="1"/>
        <v>20571</v>
      </c>
      <c r="M28" s="74">
        <v>29</v>
      </c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</row>
    <row r="29" spans="1:26">
      <c r="A29" s="21">
        <v>7</v>
      </c>
      <c r="B29" s="1394"/>
      <c r="C29" s="1411" t="s">
        <v>77</v>
      </c>
      <c r="D29" s="1412"/>
      <c r="E29" s="72">
        <v>3.7290000000000001</v>
      </c>
      <c r="F29" s="67">
        <v>1700</v>
      </c>
      <c r="G29" s="74">
        <v>38</v>
      </c>
      <c r="H29" s="72">
        <v>5.7</v>
      </c>
      <c r="I29" s="67">
        <v>2020</v>
      </c>
      <c r="J29" s="74">
        <v>28</v>
      </c>
      <c r="K29" s="75">
        <f t="shared" si="1"/>
        <v>9.4290000000000003</v>
      </c>
      <c r="L29" s="67">
        <f>F29+I29</f>
        <v>3720</v>
      </c>
      <c r="M29" s="74">
        <v>34</v>
      </c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</row>
    <row r="30" spans="1:26">
      <c r="A30" s="21">
        <v>8</v>
      </c>
      <c r="B30" s="1395"/>
      <c r="C30" s="1409" t="s">
        <v>78</v>
      </c>
      <c r="D30" s="1410"/>
      <c r="E30" s="72">
        <v>44.722999999999999</v>
      </c>
      <c r="F30" s="67">
        <v>13774</v>
      </c>
      <c r="G30" s="74">
        <v>26</v>
      </c>
      <c r="H30" s="72"/>
      <c r="I30" s="67"/>
      <c r="J30" s="74"/>
      <c r="K30" s="75">
        <f t="shared" si="1"/>
        <v>44.722999999999999</v>
      </c>
      <c r="L30" s="67">
        <f t="shared" si="1"/>
        <v>13774</v>
      </c>
      <c r="M30" s="74">
        <v>26</v>
      </c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</row>
    <row r="31" spans="1:26">
      <c r="A31" s="21">
        <v>9</v>
      </c>
      <c r="B31" s="1414" t="s">
        <v>8</v>
      </c>
      <c r="C31" s="1414"/>
      <c r="D31" s="1414"/>
      <c r="E31" s="72"/>
      <c r="F31" s="67"/>
      <c r="G31" s="74"/>
      <c r="H31" s="72"/>
      <c r="I31" s="67"/>
      <c r="J31" s="74"/>
      <c r="K31" s="75">
        <f t="shared" si="1"/>
        <v>0</v>
      </c>
      <c r="L31" s="67">
        <f t="shared" si="1"/>
        <v>0</v>
      </c>
      <c r="M31" s="74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</row>
    <row r="32" spans="1:26" ht="15.75" thickBot="1">
      <c r="A32" s="46">
        <v>10</v>
      </c>
      <c r="B32" s="1392" t="s">
        <v>25</v>
      </c>
      <c r="C32" s="1392"/>
      <c r="D32" s="1392"/>
      <c r="E32" s="80"/>
      <c r="F32" s="78"/>
      <c r="G32" s="79"/>
      <c r="H32" s="80"/>
      <c r="I32" s="78"/>
      <c r="J32" s="79"/>
      <c r="K32" s="81">
        <f t="shared" si="1"/>
        <v>0</v>
      </c>
      <c r="L32" s="78">
        <f t="shared" si="1"/>
        <v>0</v>
      </c>
      <c r="M32" s="79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</row>
    <row r="33" spans="1:26" ht="15.75" thickBot="1">
      <c r="A33" s="45">
        <v>11</v>
      </c>
      <c r="B33" s="1413" t="s">
        <v>17</v>
      </c>
      <c r="C33" s="1413"/>
      <c r="D33" s="1413"/>
      <c r="E33" s="84">
        <f>E28+E29+E30+E31+E32</f>
        <v>108.491</v>
      </c>
      <c r="F33" s="82">
        <f>F28+F29+F30+F31+F32</f>
        <v>36045</v>
      </c>
      <c r="G33" s="83">
        <v>28</v>
      </c>
      <c r="H33" s="84">
        <f>H28+H29+H30+H31+H32</f>
        <v>5.7</v>
      </c>
      <c r="I33" s="82">
        <f>I28+I29+I30+I31+I32</f>
        <v>2020</v>
      </c>
      <c r="J33" s="83">
        <f>J28+J29+J30+J31+J32</f>
        <v>28</v>
      </c>
      <c r="K33" s="85">
        <f>K28+K29+K30+K31+K32</f>
        <v>114.191</v>
      </c>
      <c r="L33" s="82">
        <f>L28+L29+L30+L31+L32</f>
        <v>38065</v>
      </c>
      <c r="M33" s="83">
        <v>28</v>
      </c>
      <c r="N33" s="495"/>
      <c r="O33" s="495"/>
      <c r="P33" s="495"/>
      <c r="Q33" s="48"/>
      <c r="R33" s="48"/>
      <c r="S33" s="48"/>
      <c r="T33" s="48"/>
      <c r="U33" s="48"/>
      <c r="V33" s="48"/>
      <c r="W33" s="50"/>
      <c r="X33" s="50"/>
      <c r="Y33" s="50"/>
      <c r="Z33" s="758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9.7109375" customWidth="1"/>
    <col min="6" max="6" width="8.570312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1228">
        <v>32530</v>
      </c>
      <c r="F10" s="1229"/>
      <c r="G10" s="1230">
        <v>882</v>
      </c>
      <c r="H10" s="1231"/>
      <c r="I10" s="1228">
        <v>463</v>
      </c>
      <c r="J10" s="1230">
        <v>43</v>
      </c>
      <c r="K10" s="1230"/>
      <c r="L10" s="1231"/>
      <c r="M10" s="1228"/>
      <c r="N10" s="1230"/>
      <c r="O10" s="1230"/>
      <c r="P10" s="1230"/>
      <c r="Q10" s="1095"/>
      <c r="R10" s="1096"/>
      <c r="S10" s="1093"/>
      <c r="T10" s="1096"/>
      <c r="U10" s="1093">
        <v>23</v>
      </c>
      <c r="V10" s="1096">
        <v>31</v>
      </c>
      <c r="W10" s="1232"/>
      <c r="X10" s="1233">
        <v>159</v>
      </c>
      <c r="Y10" s="1234">
        <v>33898</v>
      </c>
      <c r="Z10" s="1235">
        <v>233</v>
      </c>
    </row>
    <row r="11" spans="1:26">
      <c r="A11" s="30">
        <v>2</v>
      </c>
      <c r="B11" s="1418"/>
      <c r="C11" s="1461" t="s">
        <v>9</v>
      </c>
      <c r="D11" s="1462"/>
      <c r="E11" s="39">
        <v>420</v>
      </c>
      <c r="F11" s="40">
        <v>427</v>
      </c>
      <c r="G11" s="31"/>
      <c r="H11" s="41"/>
      <c r="I11" s="39"/>
      <c r="J11" s="31"/>
      <c r="K11" s="31"/>
      <c r="L11" s="41"/>
      <c r="M11" s="39"/>
      <c r="N11" s="31"/>
      <c r="O11" s="31"/>
      <c r="P11" s="31"/>
      <c r="Q11" s="746"/>
      <c r="R11" s="747"/>
      <c r="S11" s="745"/>
      <c r="T11" s="747"/>
      <c r="U11" s="745"/>
      <c r="V11" s="747"/>
      <c r="W11" s="1236"/>
      <c r="X11" s="1237"/>
      <c r="Y11" s="1238">
        <v>420</v>
      </c>
      <c r="Z11" s="1239">
        <v>427</v>
      </c>
    </row>
    <row r="12" spans="1:26">
      <c r="A12" s="33">
        <v>3</v>
      </c>
      <c r="B12" s="1418"/>
      <c r="C12" s="1405" t="s">
        <v>2</v>
      </c>
      <c r="D12" s="1406"/>
      <c r="E12" s="39">
        <v>24809</v>
      </c>
      <c r="F12" s="40">
        <v>5063</v>
      </c>
      <c r="G12" s="31"/>
      <c r="H12" s="41"/>
      <c r="I12" s="39">
        <v>36</v>
      </c>
      <c r="J12" s="31">
        <v>8</v>
      </c>
      <c r="K12" s="31"/>
      <c r="L12" s="41"/>
      <c r="M12" s="39">
        <v>772</v>
      </c>
      <c r="N12" s="31"/>
      <c r="O12" s="31"/>
      <c r="P12" s="31"/>
      <c r="Q12" s="746"/>
      <c r="R12" s="747"/>
      <c r="S12" s="745"/>
      <c r="T12" s="747"/>
      <c r="U12" s="745">
        <v>3</v>
      </c>
      <c r="V12" s="747"/>
      <c r="W12" s="1236"/>
      <c r="X12" s="1237"/>
      <c r="Y12" s="1238">
        <v>25620</v>
      </c>
      <c r="Z12" s="1239">
        <v>5071</v>
      </c>
    </row>
    <row r="13" spans="1:26">
      <c r="A13" s="33">
        <v>4</v>
      </c>
      <c r="B13" s="1463" t="s">
        <v>8</v>
      </c>
      <c r="C13" s="1464"/>
      <c r="D13" s="1465"/>
      <c r="E13" s="39"/>
      <c r="F13" s="40"/>
      <c r="G13" s="31"/>
      <c r="H13" s="41"/>
      <c r="I13" s="39"/>
      <c r="J13" s="31"/>
      <c r="K13" s="31"/>
      <c r="L13" s="41"/>
      <c r="M13" s="39"/>
      <c r="N13" s="31"/>
      <c r="O13" s="31"/>
      <c r="P13" s="31"/>
      <c r="Q13" s="746"/>
      <c r="R13" s="747"/>
      <c r="S13" s="745"/>
      <c r="T13" s="747"/>
      <c r="U13" s="745"/>
      <c r="V13" s="747"/>
      <c r="W13" s="1236"/>
      <c r="X13" s="1237"/>
      <c r="Y13" s="1238"/>
      <c r="Z13" s="1239"/>
    </row>
    <row r="14" spans="1:26" ht="15.75" thickBot="1">
      <c r="A14" s="36">
        <v>5</v>
      </c>
      <c r="B14" s="1421" t="s">
        <v>25</v>
      </c>
      <c r="C14" s="1422"/>
      <c r="D14" s="1423"/>
      <c r="E14" s="1240"/>
      <c r="F14" s="1241"/>
      <c r="G14" s="1242"/>
      <c r="H14" s="1243"/>
      <c r="I14" s="1105"/>
      <c r="J14" s="1107"/>
      <c r="K14" s="1107"/>
      <c r="L14" s="1108"/>
      <c r="M14" s="1105"/>
      <c r="N14" s="1107"/>
      <c r="O14" s="1107"/>
      <c r="P14" s="1107"/>
      <c r="Q14" s="1107"/>
      <c r="R14" s="1108"/>
      <c r="S14" s="1244"/>
      <c r="T14" s="1245"/>
      <c r="U14" s="1246"/>
      <c r="V14" s="1247"/>
      <c r="W14" s="1248"/>
      <c r="X14" s="1245"/>
      <c r="Y14" s="272"/>
      <c r="Z14" s="273"/>
    </row>
    <row r="15" spans="1:26" ht="15.75" thickBot="1">
      <c r="A15" s="37">
        <v>6</v>
      </c>
      <c r="B15" s="1399" t="s">
        <v>17</v>
      </c>
      <c r="C15" s="1400"/>
      <c r="D15" s="1401"/>
      <c r="E15" s="1249">
        <f>SUM(E10:E14)</f>
        <v>57759</v>
      </c>
      <c r="F15" s="1250">
        <f t="shared" ref="F15:Z15" si="0">SUM(F10:F14)</f>
        <v>5490</v>
      </c>
      <c r="G15" s="1251">
        <f t="shared" si="0"/>
        <v>882</v>
      </c>
      <c r="H15" s="1252">
        <f t="shared" si="0"/>
        <v>0</v>
      </c>
      <c r="I15" s="1114">
        <f t="shared" si="0"/>
        <v>499</v>
      </c>
      <c r="J15" s="1116">
        <f t="shared" si="0"/>
        <v>51</v>
      </c>
      <c r="K15" s="1116">
        <f t="shared" si="0"/>
        <v>0</v>
      </c>
      <c r="L15" s="1117">
        <f t="shared" si="0"/>
        <v>0</v>
      </c>
      <c r="M15" s="1114">
        <f t="shared" si="0"/>
        <v>772</v>
      </c>
      <c r="N15" s="1116">
        <f t="shared" si="0"/>
        <v>0</v>
      </c>
      <c r="O15" s="1116"/>
      <c r="P15" s="1116"/>
      <c r="Q15" s="1116">
        <f t="shared" si="0"/>
        <v>0</v>
      </c>
      <c r="R15" s="1117">
        <f t="shared" si="0"/>
        <v>0</v>
      </c>
      <c r="S15" s="1253">
        <f t="shared" si="0"/>
        <v>0</v>
      </c>
      <c r="T15" s="1254">
        <f t="shared" si="0"/>
        <v>0</v>
      </c>
      <c r="U15" s="1255">
        <f t="shared" si="0"/>
        <v>26</v>
      </c>
      <c r="V15" s="1256">
        <f t="shared" si="0"/>
        <v>31</v>
      </c>
      <c r="W15" s="1257">
        <f t="shared" si="0"/>
        <v>0</v>
      </c>
      <c r="X15" s="1254">
        <f t="shared" si="0"/>
        <v>159</v>
      </c>
      <c r="Y15" s="1258">
        <f t="shared" si="0"/>
        <v>59938</v>
      </c>
      <c r="Z15" s="1259">
        <f t="shared" si="0"/>
        <v>5731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334">
        <v>11</v>
      </c>
      <c r="F22" s="336">
        <v>7594</v>
      </c>
      <c r="G22" s="337">
        <v>57534</v>
      </c>
      <c r="H22" s="334"/>
      <c r="I22" s="336"/>
      <c r="J22" s="337"/>
      <c r="K22" s="335">
        <f>E22+H22</f>
        <v>11</v>
      </c>
      <c r="L22" s="336">
        <f>F22+I22</f>
        <v>7594</v>
      </c>
      <c r="M22" s="337">
        <v>57534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342">
        <v>16</v>
      </c>
      <c r="F23" s="1260">
        <v>7723</v>
      </c>
      <c r="G23" s="345">
        <v>40223</v>
      </c>
      <c r="H23" s="342"/>
      <c r="I23" s="344"/>
      <c r="J23" s="345"/>
      <c r="K23" s="343">
        <f t="shared" ref="K23:L32" si="1">E23+H23</f>
        <v>16</v>
      </c>
      <c r="L23" s="344">
        <f t="shared" si="1"/>
        <v>7723</v>
      </c>
      <c r="M23" s="345">
        <v>40223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1261">
        <v>37</v>
      </c>
      <c r="F24" s="344">
        <v>14799</v>
      </c>
      <c r="G24" s="345">
        <v>33332</v>
      </c>
      <c r="H24" s="342">
        <v>0</v>
      </c>
      <c r="I24" s="344">
        <v>23</v>
      </c>
      <c r="J24" s="345">
        <v>0</v>
      </c>
      <c r="K24" s="343">
        <f t="shared" si="1"/>
        <v>37</v>
      </c>
      <c r="L24" s="344">
        <f t="shared" si="1"/>
        <v>14822</v>
      </c>
      <c r="M24" s="345">
        <v>33383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1261">
        <v>10</v>
      </c>
      <c r="F25" s="344">
        <v>3296</v>
      </c>
      <c r="G25" s="345">
        <v>27464</v>
      </c>
      <c r="H25" s="342"/>
      <c r="I25" s="344"/>
      <c r="J25" s="345"/>
      <c r="K25" s="343">
        <f t="shared" si="1"/>
        <v>10</v>
      </c>
      <c r="L25" s="344">
        <f t="shared" si="1"/>
        <v>3296</v>
      </c>
      <c r="M25" s="345">
        <v>27464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1261">
        <v>0</v>
      </c>
      <c r="F26" s="344">
        <v>0</v>
      </c>
      <c r="G26" s="345">
        <v>0</v>
      </c>
      <c r="H26" s="342"/>
      <c r="I26" s="344"/>
      <c r="J26" s="345"/>
      <c r="K26" s="343">
        <f t="shared" si="1"/>
        <v>0</v>
      </c>
      <c r="L26" s="344">
        <f t="shared" si="1"/>
        <v>0</v>
      </c>
      <c r="M26" s="345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133"/>
      <c r="E27" s="1261"/>
      <c r="F27" s="344"/>
      <c r="G27" s="345"/>
      <c r="H27" s="342"/>
      <c r="I27" s="344"/>
      <c r="J27" s="345"/>
      <c r="K27" s="343"/>
      <c r="L27" s="344"/>
      <c r="M27" s="345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1261">
        <v>74</v>
      </c>
      <c r="F28" s="344">
        <v>33412</v>
      </c>
      <c r="G28" s="345">
        <v>37626</v>
      </c>
      <c r="H28" s="342">
        <v>0</v>
      </c>
      <c r="I28" s="344">
        <v>23</v>
      </c>
      <c r="J28" s="345">
        <v>0</v>
      </c>
      <c r="K28" s="343">
        <f t="shared" si="1"/>
        <v>74</v>
      </c>
      <c r="L28" s="344">
        <f t="shared" si="1"/>
        <v>33435</v>
      </c>
      <c r="M28" s="345">
        <v>37652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1261">
        <v>0</v>
      </c>
      <c r="F29" s="344">
        <v>420</v>
      </c>
      <c r="G29" s="345">
        <v>0</v>
      </c>
      <c r="H29" s="342">
        <v>1</v>
      </c>
      <c r="I29" s="344">
        <v>462</v>
      </c>
      <c r="J29" s="345">
        <v>38500</v>
      </c>
      <c r="K29" s="343">
        <f t="shared" si="1"/>
        <v>1</v>
      </c>
      <c r="L29" s="344">
        <f t="shared" si="1"/>
        <v>882</v>
      </c>
      <c r="M29" s="345">
        <v>73546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1261">
        <v>58</v>
      </c>
      <c r="F30" s="344">
        <v>24809</v>
      </c>
      <c r="G30" s="345">
        <v>35645</v>
      </c>
      <c r="H30" s="342">
        <v>1</v>
      </c>
      <c r="I30" s="344">
        <v>811</v>
      </c>
      <c r="J30" s="345">
        <v>67583</v>
      </c>
      <c r="K30" s="343">
        <f t="shared" si="1"/>
        <v>59</v>
      </c>
      <c r="L30" s="344">
        <f t="shared" si="1"/>
        <v>25620</v>
      </c>
      <c r="M30" s="345">
        <v>36186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1261"/>
      <c r="F31" s="344"/>
      <c r="G31" s="345"/>
      <c r="H31" s="342"/>
      <c r="I31" s="344"/>
      <c r="J31" s="345"/>
      <c r="K31" s="343">
        <f t="shared" si="1"/>
        <v>0</v>
      </c>
      <c r="L31" s="344">
        <f t="shared" si="1"/>
        <v>0</v>
      </c>
      <c r="M31" s="345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1262"/>
      <c r="F32" s="1124"/>
      <c r="G32" s="935"/>
      <c r="H32" s="1123"/>
      <c r="I32" s="1124"/>
      <c r="J32" s="935"/>
      <c r="K32" s="1125">
        <f t="shared" si="1"/>
        <v>0</v>
      </c>
      <c r="L32" s="1124">
        <f t="shared" si="1"/>
        <v>0</v>
      </c>
      <c r="M32" s="935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1263">
        <f>E28+E29+E30+E31+E32</f>
        <v>132</v>
      </c>
      <c r="F33" s="1127">
        <f t="shared" ref="F33:L33" si="2">F28+F29+F30+F31+F32</f>
        <v>58641</v>
      </c>
      <c r="G33" s="1128">
        <v>37021</v>
      </c>
      <c r="H33" s="1126">
        <f t="shared" si="2"/>
        <v>2</v>
      </c>
      <c r="I33" s="1127">
        <f t="shared" si="2"/>
        <v>1296</v>
      </c>
      <c r="J33" s="1128">
        <v>54009</v>
      </c>
      <c r="K33" s="1129">
        <f t="shared" si="2"/>
        <v>134</v>
      </c>
      <c r="L33" s="1127">
        <f t="shared" si="2"/>
        <v>59937</v>
      </c>
      <c r="M33" s="1128">
        <v>37274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6" customWidth="1"/>
    <col min="2" max="2" width="6.42578125" customWidth="1"/>
    <col min="3" max="3" width="9.28515625" customWidth="1"/>
    <col min="4" max="4" width="12.7109375" customWidth="1"/>
    <col min="5" max="6" width="12.28515625" bestFit="1" customWidth="1"/>
    <col min="7" max="7" width="9.28515625" customWidth="1"/>
    <col min="8" max="8" width="9.7109375" customWidth="1"/>
    <col min="9" max="9" width="10.28515625" bestFit="1" customWidth="1"/>
    <col min="10" max="10" width="10.42578125" customWidth="1"/>
    <col min="11" max="11" width="9.5703125" customWidth="1"/>
    <col min="12" max="12" width="12.28515625" bestFit="1" customWidth="1"/>
    <col min="13" max="13" width="11" customWidth="1"/>
    <col min="14" max="14" width="9.28515625" customWidth="1"/>
    <col min="15" max="16" width="9.28515625" style="28" customWidth="1"/>
    <col min="17" max="19" width="9.140625" customWidth="1"/>
    <col min="20" max="20" width="8.28515625" customWidth="1"/>
    <col min="21" max="21" width="8.5703125" customWidth="1"/>
    <col min="22" max="22" width="9.140625" customWidth="1"/>
    <col min="23" max="24" width="9.5703125" customWidth="1"/>
    <col min="25" max="25" width="12.28515625" bestFit="1" customWidth="1"/>
    <col min="26" max="26" width="11.425781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16"/>
      <c r="Z1" s="16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50"/>
      <c r="Z2" s="50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50"/>
      <c r="Z3" s="50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50"/>
      <c r="Z4" s="1264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2003" t="s">
        <v>17</v>
      </c>
      <c r="Z6" s="2004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2005"/>
      <c r="Z7" s="2006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1265" t="s">
        <v>168</v>
      </c>
      <c r="Z8" s="1266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1265">
        <v>19</v>
      </c>
      <c r="Z9" s="1266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1267">
        <v>58370.972000000002</v>
      </c>
      <c r="F10" s="1268">
        <v>2034.91</v>
      </c>
      <c r="G10" s="1269">
        <f>11.547+22.451+6.472+442.992+340.975+995.085+279.745</f>
        <v>2099.2670000000003</v>
      </c>
      <c r="H10" s="1270">
        <f>9+5.28+6.68+7.4</f>
        <v>28.36</v>
      </c>
      <c r="I10" s="1271"/>
      <c r="J10" s="1272"/>
      <c r="K10" s="1272"/>
      <c r="L10" s="1273"/>
      <c r="M10" s="1271"/>
      <c r="N10" s="1272"/>
      <c r="O10" s="1272"/>
      <c r="P10" s="1272"/>
      <c r="Q10" s="1272"/>
      <c r="R10" s="1273"/>
      <c r="S10" s="1271"/>
      <c r="T10" s="1273"/>
      <c r="U10" s="1271"/>
      <c r="V10" s="1273">
        <v>0.7</v>
      </c>
      <c r="W10" s="1274">
        <v>760.21900000000005</v>
      </c>
      <c r="X10" s="1275">
        <v>492.27</v>
      </c>
      <c r="Y10" s="1276">
        <f t="shared" ref="Y10:Z14" si="0">+E10+G10+I10+K10+M10+Q10+S10+U10+W10</f>
        <v>61230.457999999999</v>
      </c>
      <c r="Z10" s="1276">
        <f t="shared" si="0"/>
        <v>2556.2399999999998</v>
      </c>
    </row>
    <row r="11" spans="1:26">
      <c r="A11" s="30">
        <v>2</v>
      </c>
      <c r="B11" s="1418"/>
      <c r="C11" s="1461" t="s">
        <v>9</v>
      </c>
      <c r="D11" s="1462"/>
      <c r="E11" s="1277">
        <v>325.572</v>
      </c>
      <c r="F11" s="1278"/>
      <c r="G11" s="1279">
        <v>284.12700000000001</v>
      </c>
      <c r="H11" s="1280"/>
      <c r="I11" s="1281">
        <v>221.64099999999999</v>
      </c>
      <c r="J11" s="1282"/>
      <c r="K11" s="1282"/>
      <c r="L11" s="1283"/>
      <c r="M11" s="1281"/>
      <c r="N11" s="1282"/>
      <c r="O11" s="1282"/>
      <c r="P11" s="1282"/>
      <c r="Q11" s="1282"/>
      <c r="R11" s="1283"/>
      <c r="S11" s="1281"/>
      <c r="T11" s="1283"/>
      <c r="U11" s="1281"/>
      <c r="V11" s="1283"/>
      <c r="W11" s="1284"/>
      <c r="X11" s="1285"/>
      <c r="Y11" s="1276">
        <f t="shared" si="0"/>
        <v>831.34</v>
      </c>
      <c r="Z11" s="1276">
        <f t="shared" si="0"/>
        <v>0</v>
      </c>
    </row>
    <row r="12" spans="1:26">
      <c r="A12" s="33">
        <v>3</v>
      </c>
      <c r="B12" s="1418"/>
      <c r="C12" s="1405" t="s">
        <v>2</v>
      </c>
      <c r="D12" s="1406"/>
      <c r="E12" s="1277">
        <v>42641.084999999999</v>
      </c>
      <c r="F12" s="1278">
        <v>1029.9670000000001</v>
      </c>
      <c r="G12" s="1279">
        <f>9.172+1.5+184.608</f>
        <v>195.28</v>
      </c>
      <c r="H12" s="1280">
        <f>42.64+37.32</f>
        <v>79.960000000000008</v>
      </c>
      <c r="I12" s="1281"/>
      <c r="J12" s="1282"/>
      <c r="K12" s="1282"/>
      <c r="L12" s="1283"/>
      <c r="M12" s="1281">
        <v>3034.2629999999999</v>
      </c>
      <c r="N12" s="1282">
        <v>849.7</v>
      </c>
      <c r="O12" s="1282"/>
      <c r="P12" s="1282"/>
      <c r="Q12" s="1282"/>
      <c r="R12" s="1283"/>
      <c r="S12" s="1281">
        <v>124.7</v>
      </c>
      <c r="T12" s="1283">
        <v>12</v>
      </c>
      <c r="U12" s="1281">
        <f>306.847+0.6</f>
        <v>307.447</v>
      </c>
      <c r="V12" s="1283">
        <f>96.065+1.4</f>
        <v>97.465000000000003</v>
      </c>
      <c r="W12" s="1284">
        <v>214.833</v>
      </c>
      <c r="X12" s="1285">
        <v>215.83</v>
      </c>
      <c r="Y12" s="1276">
        <f t="shared" si="0"/>
        <v>46517.607999999993</v>
      </c>
      <c r="Z12" s="1276">
        <f t="shared" si="0"/>
        <v>2284.922</v>
      </c>
    </row>
    <row r="13" spans="1:26">
      <c r="A13" s="33">
        <v>4</v>
      </c>
      <c r="B13" s="1463" t="s">
        <v>8</v>
      </c>
      <c r="C13" s="1464"/>
      <c r="D13" s="1465"/>
      <c r="E13" s="1277">
        <v>3270.0770000000002</v>
      </c>
      <c r="F13" s="1278">
        <v>134.792</v>
      </c>
      <c r="G13" s="1279"/>
      <c r="H13" s="1280"/>
      <c r="I13" s="1281"/>
      <c r="J13" s="1282"/>
      <c r="K13" s="1282"/>
      <c r="L13" s="1283"/>
      <c r="M13" s="1281"/>
      <c r="N13" s="1282"/>
      <c r="O13" s="1282"/>
      <c r="P13" s="1282"/>
      <c r="Q13" s="1282"/>
      <c r="R13" s="1283"/>
      <c r="S13" s="1281"/>
      <c r="T13" s="1283"/>
      <c r="U13" s="1281"/>
      <c r="V13" s="1283">
        <v>181.685</v>
      </c>
      <c r="W13" s="1284"/>
      <c r="X13" s="1285"/>
      <c r="Y13" s="1276">
        <f t="shared" si="0"/>
        <v>3270.0770000000002</v>
      </c>
      <c r="Z13" s="1276">
        <f t="shared" si="0"/>
        <v>316.47699999999998</v>
      </c>
    </row>
    <row r="14" spans="1:26" ht="15.75" thickBot="1">
      <c r="A14" s="36">
        <v>5</v>
      </c>
      <c r="B14" s="1421" t="s">
        <v>25</v>
      </c>
      <c r="C14" s="1422"/>
      <c r="D14" s="1423"/>
      <c r="E14" s="1286"/>
      <c r="F14" s="1287"/>
      <c r="G14" s="1288"/>
      <c r="H14" s="1289"/>
      <c r="I14" s="1290"/>
      <c r="J14" s="1291"/>
      <c r="K14" s="1291"/>
      <c r="L14" s="1292"/>
      <c r="M14" s="1290"/>
      <c r="N14" s="1291"/>
      <c r="O14" s="1291"/>
      <c r="P14" s="1291"/>
      <c r="Q14" s="1291"/>
      <c r="R14" s="1292"/>
      <c r="S14" s="1293"/>
      <c r="T14" s="1294"/>
      <c r="U14" s="1295"/>
      <c r="V14" s="1296"/>
      <c r="W14" s="1297"/>
      <c r="X14" s="1294"/>
      <c r="Y14" s="1276">
        <f t="shared" si="0"/>
        <v>0</v>
      </c>
      <c r="Z14" s="1276">
        <f t="shared" si="0"/>
        <v>0</v>
      </c>
    </row>
    <row r="15" spans="1:26" ht="15.75" thickBot="1">
      <c r="A15" s="1298">
        <v>6</v>
      </c>
      <c r="B15" s="2010" t="s">
        <v>17</v>
      </c>
      <c r="C15" s="2011"/>
      <c r="D15" s="2012"/>
      <c r="E15" s="1299">
        <f>SUM(E10:E14)</f>
        <v>104607.70600000001</v>
      </c>
      <c r="F15" s="1300">
        <f t="shared" ref="F15:Z15" si="1">SUM(F10:F14)</f>
        <v>3199.6690000000003</v>
      </c>
      <c r="G15" s="1301">
        <f t="shared" si="1"/>
        <v>2578.6740000000004</v>
      </c>
      <c r="H15" s="1302">
        <f t="shared" si="1"/>
        <v>108.32000000000001</v>
      </c>
      <c r="I15" s="1299">
        <f t="shared" si="1"/>
        <v>221.64099999999999</v>
      </c>
      <c r="J15" s="1301">
        <f t="shared" si="1"/>
        <v>0</v>
      </c>
      <c r="K15" s="1301">
        <f t="shared" si="1"/>
        <v>0</v>
      </c>
      <c r="L15" s="1302">
        <f t="shared" si="1"/>
        <v>0</v>
      </c>
      <c r="M15" s="1299">
        <f t="shared" si="1"/>
        <v>3034.2629999999999</v>
      </c>
      <c r="N15" s="1301">
        <f t="shared" si="1"/>
        <v>849.7</v>
      </c>
      <c r="O15" s="1301"/>
      <c r="P15" s="1301"/>
      <c r="Q15" s="1301">
        <f t="shared" si="1"/>
        <v>0</v>
      </c>
      <c r="R15" s="1302">
        <f t="shared" si="1"/>
        <v>0</v>
      </c>
      <c r="S15" s="1303">
        <f t="shared" si="1"/>
        <v>124.7</v>
      </c>
      <c r="T15" s="1304">
        <f t="shared" si="1"/>
        <v>12</v>
      </c>
      <c r="U15" s="1303">
        <f t="shared" si="1"/>
        <v>307.447</v>
      </c>
      <c r="V15" s="1304">
        <f t="shared" si="1"/>
        <v>279.85000000000002</v>
      </c>
      <c r="W15" s="1305">
        <f t="shared" si="1"/>
        <v>975.05200000000002</v>
      </c>
      <c r="X15" s="1304">
        <f t="shared" si="1"/>
        <v>708.1</v>
      </c>
      <c r="Y15" s="1299">
        <f t="shared" si="1"/>
        <v>111849.48299999999</v>
      </c>
      <c r="Z15" s="1304">
        <f t="shared" si="1"/>
        <v>5157.6390000000001</v>
      </c>
    </row>
    <row r="16" spans="1:26">
      <c r="A16" s="48"/>
      <c r="B16" s="48"/>
      <c r="C16" s="48"/>
      <c r="D16" s="48"/>
      <c r="E16" s="1306"/>
      <c r="F16" s="1306"/>
      <c r="G16" s="1306"/>
      <c r="H16" s="1306"/>
      <c r="I16" s="1306"/>
      <c r="J16" s="1306"/>
      <c r="K16" s="1306"/>
      <c r="L16" s="1306"/>
      <c r="M16" s="1306"/>
      <c r="N16" s="1306"/>
      <c r="O16" s="1306"/>
      <c r="P16" s="1306"/>
      <c r="Q16" s="1306"/>
      <c r="R16" s="1306"/>
      <c r="S16" s="1306"/>
      <c r="T16" s="1306"/>
      <c r="U16" s="1306"/>
      <c r="V16" s="1306"/>
      <c r="W16" s="1306"/>
      <c r="X16" s="1306"/>
      <c r="Y16" s="1307"/>
      <c r="Z16" s="1307"/>
    </row>
    <row r="17" spans="1:26">
      <c r="A17" s="49" t="s">
        <v>58</v>
      </c>
      <c r="B17" s="32"/>
      <c r="C17" s="32"/>
      <c r="D17" s="32"/>
      <c r="E17" s="1308"/>
      <c r="F17" s="1308"/>
      <c r="G17" s="1308"/>
      <c r="H17" s="1308"/>
      <c r="I17" s="1308"/>
      <c r="J17" s="1309"/>
      <c r="K17" s="1308"/>
      <c r="L17" s="1308"/>
      <c r="M17" s="1308"/>
      <c r="N17" s="1308"/>
      <c r="O17" s="1308"/>
      <c r="P17" s="1308"/>
      <c r="Q17" s="1309"/>
      <c r="R17" s="1308"/>
      <c r="S17" s="1308"/>
      <c r="T17" s="1308"/>
      <c r="U17" s="1308"/>
      <c r="V17" s="1310"/>
      <c r="W17" s="1310"/>
      <c r="X17" s="1310"/>
      <c r="Y17" s="1311"/>
      <c r="Z17" s="1311"/>
    </row>
    <row r="18" spans="1:26" ht="15.75" thickBot="1">
      <c r="A18" s="49"/>
      <c r="B18" s="32"/>
      <c r="C18" s="32"/>
      <c r="D18" s="32"/>
      <c r="E18" s="1308"/>
      <c r="F18" s="1308"/>
      <c r="G18" s="1308"/>
      <c r="H18" s="1308"/>
      <c r="I18" s="1308"/>
      <c r="J18" s="1308"/>
      <c r="K18" s="1308"/>
      <c r="L18" s="1308"/>
      <c r="M18" s="1308" t="s">
        <v>4</v>
      </c>
      <c r="N18" s="1306"/>
      <c r="O18" s="1306"/>
      <c r="P18" s="1306"/>
      <c r="Q18" s="1306"/>
      <c r="R18" s="1306"/>
      <c r="S18" s="1306"/>
      <c r="T18" s="1306"/>
      <c r="U18" s="1306"/>
      <c r="V18" s="1306"/>
      <c r="W18" s="1310"/>
      <c r="X18" s="1310"/>
      <c r="Y18" s="1311"/>
      <c r="Z18" s="1311"/>
    </row>
    <row r="19" spans="1:26">
      <c r="A19" s="1449" t="s">
        <v>1</v>
      </c>
      <c r="B19" s="1446" t="s">
        <v>7</v>
      </c>
      <c r="C19" s="1446"/>
      <c r="D19" s="1446"/>
      <c r="E19" s="2013" t="s">
        <v>32</v>
      </c>
      <c r="F19" s="2014"/>
      <c r="G19" s="2015"/>
      <c r="H19" s="2016" t="s">
        <v>34</v>
      </c>
      <c r="I19" s="2017"/>
      <c r="J19" s="2018"/>
      <c r="K19" s="2014" t="s">
        <v>17</v>
      </c>
      <c r="L19" s="2014"/>
      <c r="M19" s="2015"/>
      <c r="N19" s="1306"/>
      <c r="O19" s="1306"/>
      <c r="P19" s="1306"/>
      <c r="Q19" s="1306"/>
      <c r="R19" s="1306"/>
      <c r="S19" s="1306"/>
      <c r="T19" s="1306"/>
      <c r="U19" s="1306"/>
      <c r="V19" s="1306"/>
      <c r="W19" s="1310"/>
      <c r="X19" s="1310"/>
      <c r="Y19" s="1311"/>
      <c r="Z19" s="1311"/>
    </row>
    <row r="20" spans="1:26" ht="39">
      <c r="A20" s="1450"/>
      <c r="B20" s="1447"/>
      <c r="C20" s="1447"/>
      <c r="D20" s="1447"/>
      <c r="E20" s="1277" t="s">
        <v>75</v>
      </c>
      <c r="F20" s="1312" t="s">
        <v>33</v>
      </c>
      <c r="G20" s="1313" t="s">
        <v>23</v>
      </c>
      <c r="H20" s="1277" t="s">
        <v>22</v>
      </c>
      <c r="I20" s="1312" t="s">
        <v>33</v>
      </c>
      <c r="J20" s="1313" t="s">
        <v>23</v>
      </c>
      <c r="K20" s="1278" t="s">
        <v>22</v>
      </c>
      <c r="L20" s="1314" t="s">
        <v>33</v>
      </c>
      <c r="M20" s="1313" t="s">
        <v>23</v>
      </c>
      <c r="N20" s="1306"/>
      <c r="O20" s="1306"/>
      <c r="P20" s="1306"/>
      <c r="Q20" s="1306"/>
      <c r="R20" s="1306"/>
      <c r="S20" s="1306"/>
      <c r="T20" s="1306"/>
      <c r="U20" s="1306"/>
      <c r="V20" s="1306"/>
      <c r="W20" s="1306"/>
      <c r="X20" s="1306"/>
      <c r="Y20" s="1307"/>
      <c r="Z20" s="1307"/>
    </row>
    <row r="21" spans="1:26" ht="27" thickBot="1">
      <c r="A21" s="1451"/>
      <c r="B21" s="1448"/>
      <c r="C21" s="1448"/>
      <c r="D21" s="1448"/>
      <c r="E21" s="1315">
        <v>1</v>
      </c>
      <c r="F21" s="1316">
        <v>2</v>
      </c>
      <c r="G21" s="1317" t="s">
        <v>47</v>
      </c>
      <c r="H21" s="1315">
        <v>4</v>
      </c>
      <c r="I21" s="1316">
        <v>5</v>
      </c>
      <c r="J21" s="1317" t="s">
        <v>48</v>
      </c>
      <c r="K21" s="1318">
        <v>7</v>
      </c>
      <c r="L21" s="1319">
        <v>8</v>
      </c>
      <c r="M21" s="1317" t="s">
        <v>49</v>
      </c>
      <c r="N21" s="1306"/>
      <c r="O21" s="1306"/>
      <c r="P21" s="1306"/>
      <c r="Q21" s="1306"/>
      <c r="R21" s="1306"/>
      <c r="S21" s="1306"/>
      <c r="T21" s="1306"/>
      <c r="U21" s="1306"/>
      <c r="V21" s="1306"/>
      <c r="W21" s="1306"/>
      <c r="X21" s="1306"/>
      <c r="Y21" s="1307"/>
      <c r="Z21" s="1307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1267">
        <v>21.655999999999999</v>
      </c>
      <c r="F22" s="1272">
        <v>11515.511</v>
      </c>
      <c r="G22" s="1320">
        <f>+F22/E22/12</f>
        <v>44.312242180765914</v>
      </c>
      <c r="H22" s="1271">
        <f>21.656-E22</f>
        <v>0</v>
      </c>
      <c r="I22" s="1272">
        <f>11751.321-F22</f>
        <v>235.80999999999949</v>
      </c>
      <c r="J22" s="1273"/>
      <c r="K22" s="1321">
        <f>E22+H22</f>
        <v>21.655999999999999</v>
      </c>
      <c r="L22" s="1272">
        <f>F22+I22</f>
        <v>11751.321</v>
      </c>
      <c r="M22" s="1320">
        <f>+L22/K22/12</f>
        <v>45.219650443295166</v>
      </c>
      <c r="N22" s="1306"/>
      <c r="O22" s="1306"/>
      <c r="P22" s="1306"/>
      <c r="Q22" s="1306"/>
      <c r="R22" s="1306"/>
      <c r="S22" s="1306"/>
      <c r="T22" s="1306"/>
      <c r="U22" s="1306"/>
      <c r="V22" s="1306"/>
      <c r="W22" s="1306"/>
      <c r="X22" s="1306"/>
      <c r="Y22" s="1307"/>
      <c r="Z22" s="1307"/>
    </row>
    <row r="23" spans="1:26">
      <c r="A23" s="21">
        <v>2</v>
      </c>
      <c r="B23" s="1394"/>
      <c r="C23" s="1459"/>
      <c r="D23" s="133" t="s">
        <v>12</v>
      </c>
      <c r="E23" s="1322">
        <v>49.506999999999998</v>
      </c>
      <c r="F23" s="1282">
        <v>21599.68</v>
      </c>
      <c r="G23" s="1320">
        <f t="shared" ref="G23:G33" si="2">+F23/E23/12</f>
        <v>36.357956113950216</v>
      </c>
      <c r="H23" s="1281">
        <f>49.507-E23</f>
        <v>0</v>
      </c>
      <c r="I23" s="1282">
        <f>21994.697-F23</f>
        <v>395.01699999999983</v>
      </c>
      <c r="J23" s="1273"/>
      <c r="K23" s="1323">
        <f t="shared" ref="K23:L31" si="3">E23+H23</f>
        <v>49.506999999999998</v>
      </c>
      <c r="L23" s="1282">
        <f t="shared" si="3"/>
        <v>21994.697</v>
      </c>
      <c r="M23" s="1320">
        <f t="shared" ref="M23:M33" si="4">+L23/K23/12</f>
        <v>37.022873869688461</v>
      </c>
      <c r="N23" s="1306"/>
      <c r="O23" s="1306"/>
      <c r="P23" s="1306"/>
      <c r="Q23" s="1306"/>
      <c r="R23" s="1306"/>
      <c r="S23" s="1306"/>
      <c r="T23" s="1306"/>
      <c r="U23" s="1306"/>
      <c r="V23" s="1306"/>
      <c r="W23" s="1306"/>
      <c r="X23" s="1306"/>
      <c r="Y23" s="1307"/>
      <c r="Z23" s="1307"/>
    </row>
    <row r="24" spans="1:26">
      <c r="A24" s="21">
        <v>3</v>
      </c>
      <c r="B24" s="1394"/>
      <c r="C24" s="1459"/>
      <c r="D24" s="133" t="s">
        <v>13</v>
      </c>
      <c r="E24" s="1322">
        <v>76.936999999999998</v>
      </c>
      <c r="F24" s="1282">
        <v>25819.838</v>
      </c>
      <c r="G24" s="1320">
        <f t="shared" si="2"/>
        <v>27.966429242973689</v>
      </c>
      <c r="H24" s="1281">
        <f>76.937-E24</f>
        <v>0</v>
      </c>
      <c r="I24" s="1282">
        <f>25943.155-F24</f>
        <v>123.3169999999991</v>
      </c>
      <c r="J24" s="1273"/>
      <c r="K24" s="1323">
        <f t="shared" si="3"/>
        <v>76.936999999999998</v>
      </c>
      <c r="L24" s="1282">
        <f t="shared" si="3"/>
        <v>25943.154999999999</v>
      </c>
      <c r="M24" s="1320">
        <f t="shared" si="4"/>
        <v>28.099998483607802</v>
      </c>
      <c r="N24" s="1306"/>
      <c r="O24" s="1306"/>
      <c r="P24" s="1306"/>
      <c r="Q24" s="1306"/>
      <c r="R24" s="1306"/>
      <c r="S24" s="1306"/>
      <c r="T24" s="1306"/>
      <c r="U24" s="1306"/>
      <c r="V24" s="1306"/>
      <c r="W24" s="1306"/>
      <c r="X24" s="1306"/>
      <c r="Y24" s="1307"/>
      <c r="Z24" s="1307"/>
    </row>
    <row r="25" spans="1:26">
      <c r="A25" s="21">
        <v>4</v>
      </c>
      <c r="B25" s="1394"/>
      <c r="C25" s="1459"/>
      <c r="D25" s="133" t="s">
        <v>14</v>
      </c>
      <c r="E25" s="1322">
        <v>4.0599999999999996</v>
      </c>
      <c r="F25" s="1282">
        <v>1071.3800000000001</v>
      </c>
      <c r="G25" s="1320">
        <f t="shared" si="2"/>
        <v>21.990558292282433</v>
      </c>
      <c r="H25" s="1281">
        <v>0</v>
      </c>
      <c r="I25" s="1282">
        <f>1077.455-F25</f>
        <v>6.0749999999998181</v>
      </c>
      <c r="J25" s="1273"/>
      <c r="K25" s="1323">
        <f t="shared" si="3"/>
        <v>4.0599999999999996</v>
      </c>
      <c r="L25" s="1282">
        <f t="shared" si="3"/>
        <v>1077.4549999999999</v>
      </c>
      <c r="M25" s="1320">
        <f t="shared" si="4"/>
        <v>22.115250410509031</v>
      </c>
      <c r="N25" s="1306"/>
      <c r="O25" s="1306"/>
      <c r="P25" s="1306"/>
      <c r="Q25" s="1306"/>
      <c r="R25" s="1306"/>
      <c r="S25" s="1306"/>
      <c r="T25" s="1306"/>
      <c r="U25" s="1306"/>
      <c r="V25" s="1306"/>
      <c r="W25" s="1306"/>
      <c r="X25" s="1306"/>
      <c r="Y25" s="1307"/>
      <c r="Z25" s="1307"/>
    </row>
    <row r="26" spans="1:26">
      <c r="A26" s="21">
        <v>5</v>
      </c>
      <c r="B26" s="1394"/>
      <c r="C26" s="1459"/>
      <c r="D26" s="133" t="s">
        <v>15</v>
      </c>
      <c r="E26" s="1322"/>
      <c r="F26" s="1282"/>
      <c r="G26" s="1320"/>
      <c r="H26" s="1281"/>
      <c r="I26" s="1282"/>
      <c r="J26" s="1273"/>
      <c r="K26" s="1323"/>
      <c r="L26" s="1282"/>
      <c r="M26" s="1320"/>
      <c r="N26" s="1306"/>
      <c r="O26" s="1306"/>
      <c r="P26" s="1306"/>
      <c r="Q26" s="1306"/>
      <c r="R26" s="1306"/>
      <c r="S26" s="1306"/>
      <c r="T26" s="1306"/>
      <c r="U26" s="1306"/>
      <c r="V26" s="1306"/>
      <c r="W26" s="1306"/>
      <c r="X26" s="1306"/>
      <c r="Y26" s="1307"/>
      <c r="Z26" s="1307"/>
    </row>
    <row r="27" spans="1:26">
      <c r="A27" s="21"/>
      <c r="B27" s="1394"/>
      <c r="C27" s="1459"/>
      <c r="D27" s="133" t="s">
        <v>169</v>
      </c>
      <c r="E27" s="1322">
        <v>1.468</v>
      </c>
      <c r="F27" s="1282">
        <v>463.83</v>
      </c>
      <c r="G27" s="1320">
        <f t="shared" si="2"/>
        <v>26.330040871934603</v>
      </c>
      <c r="H27" s="1281">
        <v>0</v>
      </c>
      <c r="I27" s="1282"/>
      <c r="J27" s="1273"/>
      <c r="K27" s="1323">
        <f>E27+H27</f>
        <v>1.468</v>
      </c>
      <c r="L27" s="1282">
        <f>F27+I27</f>
        <v>463.83</v>
      </c>
      <c r="M27" s="1320">
        <f t="shared" si="4"/>
        <v>26.330040871934603</v>
      </c>
      <c r="N27" s="1306"/>
      <c r="O27" s="1306"/>
      <c r="P27" s="1306"/>
      <c r="Q27" s="1306"/>
      <c r="R27" s="1306"/>
      <c r="S27" s="1306"/>
      <c r="T27" s="1306"/>
      <c r="U27" s="1306"/>
      <c r="V27" s="1306"/>
      <c r="W27" s="1306"/>
      <c r="X27" s="1306"/>
      <c r="Y27" s="1307"/>
      <c r="Z27" s="1307"/>
    </row>
    <row r="28" spans="1:26">
      <c r="A28" s="21">
        <v>6</v>
      </c>
      <c r="B28" s="1394"/>
      <c r="C28" s="1460"/>
      <c r="D28" s="1324" t="s">
        <v>17</v>
      </c>
      <c r="E28" s="1325">
        <f>SUM(E22:E27)</f>
        <v>153.62799999999999</v>
      </c>
      <c r="F28" s="1326">
        <f>SUM(F22:F27)</f>
        <v>60470.238999999994</v>
      </c>
      <c r="G28" s="1327">
        <f t="shared" si="2"/>
        <v>32.801224928615447</v>
      </c>
      <c r="H28" s="1328">
        <f>SUM(H22:H27)</f>
        <v>0</v>
      </c>
      <c r="I28" s="1326">
        <f>SUM(I22:I27)</f>
        <v>760.21899999999823</v>
      </c>
      <c r="J28" s="1327"/>
      <c r="K28" s="1329">
        <f t="shared" si="3"/>
        <v>153.62799999999999</v>
      </c>
      <c r="L28" s="1326">
        <f t="shared" si="3"/>
        <v>61230.457999999991</v>
      </c>
      <c r="M28" s="1327">
        <f t="shared" si="4"/>
        <v>33.213594960988011</v>
      </c>
      <c r="N28" s="1306"/>
      <c r="O28" s="1306"/>
      <c r="P28" s="1306"/>
      <c r="Q28" s="1306"/>
      <c r="R28" s="1306"/>
      <c r="S28" s="1306"/>
      <c r="T28" s="1306"/>
      <c r="U28" s="1306"/>
      <c r="V28" s="1306"/>
      <c r="W28" s="1306"/>
      <c r="X28" s="1306"/>
      <c r="Y28" s="1307"/>
      <c r="Z28" s="1307"/>
    </row>
    <row r="29" spans="1:26">
      <c r="A29" s="21">
        <v>7</v>
      </c>
      <c r="B29" s="1394"/>
      <c r="C29" s="1411" t="s">
        <v>77</v>
      </c>
      <c r="D29" s="1412"/>
      <c r="E29" s="1322">
        <v>2.0720000000000001</v>
      </c>
      <c r="F29" s="1282">
        <v>609.69899999999996</v>
      </c>
      <c r="G29" s="1320">
        <f>+F29/E29/12</f>
        <v>24.521356177606176</v>
      </c>
      <c r="H29" s="1281">
        <v>0.5</v>
      </c>
      <c r="I29" s="1282">
        <f>831.34-609.699</f>
        <v>221.64100000000008</v>
      </c>
      <c r="J29" s="1273"/>
      <c r="K29" s="1323">
        <f t="shared" si="3"/>
        <v>2.5720000000000001</v>
      </c>
      <c r="L29" s="1282">
        <f t="shared" si="3"/>
        <v>831.34</v>
      </c>
      <c r="M29" s="1320">
        <f>+L29/K29/12</f>
        <v>26.93558838776568</v>
      </c>
      <c r="N29" s="1306"/>
      <c r="O29" s="1306"/>
      <c r="P29" s="1306"/>
      <c r="Q29" s="1306"/>
      <c r="R29" s="1306"/>
      <c r="S29" s="1306"/>
      <c r="T29" s="1306"/>
      <c r="U29" s="1306"/>
      <c r="V29" s="1306"/>
      <c r="W29" s="1306"/>
      <c r="X29" s="1306"/>
      <c r="Y29" s="1307"/>
      <c r="Z29" s="1307"/>
    </row>
    <row r="30" spans="1:26">
      <c r="A30" s="21">
        <v>8</v>
      </c>
      <c r="B30" s="1395"/>
      <c r="C30" s="1409" t="s">
        <v>78</v>
      </c>
      <c r="D30" s="1410"/>
      <c r="E30" s="1322">
        <f>140.197-16.494</f>
        <v>123.703</v>
      </c>
      <c r="F30" s="1282">
        <f>46106.442-3270.077</f>
        <v>42836.365000000005</v>
      </c>
      <c r="G30" s="1320">
        <f t="shared" si="2"/>
        <v>28.856996866149842</v>
      </c>
      <c r="H30" s="1281">
        <v>9.0169999999999995</v>
      </c>
      <c r="I30" s="1282">
        <f>49787.685-46106.442</f>
        <v>3681.2429999999949</v>
      </c>
      <c r="J30" s="1273"/>
      <c r="K30" s="1323">
        <f t="shared" si="3"/>
        <v>132.72</v>
      </c>
      <c r="L30" s="1282">
        <f t="shared" si="3"/>
        <v>46517.608</v>
      </c>
      <c r="M30" s="1320">
        <f t="shared" si="4"/>
        <v>29.207861161342176</v>
      </c>
      <c r="N30" s="1306"/>
      <c r="O30" s="1306"/>
      <c r="P30" s="1306"/>
      <c r="Q30" s="1306"/>
      <c r="R30" s="1306"/>
      <c r="S30" s="1306"/>
      <c r="T30" s="1306"/>
      <c r="U30" s="1306"/>
      <c r="V30" s="1306"/>
      <c r="W30" s="1306"/>
      <c r="X30" s="1306"/>
      <c r="Y30" s="1307"/>
      <c r="Z30" s="1307"/>
    </row>
    <row r="31" spans="1:26">
      <c r="A31" s="21">
        <v>9</v>
      </c>
      <c r="B31" s="1414" t="s">
        <v>8</v>
      </c>
      <c r="C31" s="1414"/>
      <c r="D31" s="1414"/>
      <c r="E31" s="1322">
        <v>16.494</v>
      </c>
      <c r="F31" s="1282">
        <v>3270.0770000000002</v>
      </c>
      <c r="G31" s="1320">
        <f t="shared" si="2"/>
        <v>16.521548239763955</v>
      </c>
      <c r="H31" s="1281"/>
      <c r="I31" s="1282"/>
      <c r="J31" s="1273"/>
      <c r="K31" s="1323">
        <f t="shared" si="3"/>
        <v>16.494</v>
      </c>
      <c r="L31" s="1282">
        <f t="shared" si="3"/>
        <v>3270.0770000000002</v>
      </c>
      <c r="M31" s="1320">
        <f t="shared" si="4"/>
        <v>16.521548239763955</v>
      </c>
      <c r="N31" s="1306"/>
      <c r="O31" s="1306"/>
      <c r="P31" s="1306"/>
      <c r="Q31" s="1306"/>
      <c r="R31" s="1306"/>
      <c r="S31" s="1306"/>
      <c r="T31" s="1306"/>
      <c r="U31" s="1306"/>
      <c r="V31" s="1306"/>
      <c r="W31" s="1306"/>
      <c r="X31" s="1306"/>
      <c r="Y31" s="1307"/>
      <c r="Z31" s="1307"/>
    </row>
    <row r="32" spans="1:26" ht="15.75" thickBot="1">
      <c r="A32" s="1330">
        <v>10</v>
      </c>
      <c r="B32" s="2020" t="s">
        <v>25</v>
      </c>
      <c r="C32" s="2020"/>
      <c r="D32" s="2020"/>
      <c r="E32" s="1331"/>
      <c r="F32" s="1291"/>
      <c r="G32" s="1332"/>
      <c r="H32" s="1290"/>
      <c r="I32" s="1291"/>
      <c r="J32" s="1333"/>
      <c r="K32" s="1334"/>
      <c r="L32" s="1291"/>
      <c r="M32" s="1332"/>
      <c r="N32" s="1306"/>
      <c r="O32" s="1306"/>
      <c r="P32" s="1306"/>
      <c r="Q32" s="1306"/>
      <c r="R32" s="1306"/>
      <c r="S32" s="1306"/>
      <c r="T32" s="1306"/>
      <c r="U32" s="1306"/>
      <c r="V32" s="1306"/>
      <c r="W32" s="1306"/>
      <c r="X32" s="1306"/>
      <c r="Y32" s="1307"/>
      <c r="Z32" s="1307"/>
    </row>
    <row r="33" spans="1:26" ht="15.75" thickBot="1">
      <c r="A33" s="1335">
        <v>11</v>
      </c>
      <c r="B33" s="2019" t="s">
        <v>17</v>
      </c>
      <c r="C33" s="2019"/>
      <c r="D33" s="2019"/>
      <c r="E33" s="1336">
        <f>E28+E29+E30+E31+E32</f>
        <v>295.89700000000005</v>
      </c>
      <c r="F33" s="1337">
        <f t="shared" ref="F33:L33" si="5">F28+F29+F30+F31+F32</f>
        <v>107186.38</v>
      </c>
      <c r="G33" s="1338">
        <f t="shared" si="2"/>
        <v>30.186849928635073</v>
      </c>
      <c r="H33" s="1339">
        <f t="shared" si="5"/>
        <v>9.5169999999999995</v>
      </c>
      <c r="I33" s="1337">
        <f t="shared" si="5"/>
        <v>4663.1029999999937</v>
      </c>
      <c r="J33" s="1338"/>
      <c r="K33" s="1340">
        <f t="shared" si="5"/>
        <v>305.41399999999999</v>
      </c>
      <c r="L33" s="1337">
        <f t="shared" si="5"/>
        <v>111849.48299999999</v>
      </c>
      <c r="M33" s="1338">
        <f t="shared" si="4"/>
        <v>30.518542863130047</v>
      </c>
      <c r="N33" s="1306"/>
      <c r="O33" s="1306"/>
      <c r="P33" s="1306"/>
      <c r="Q33" s="1306"/>
      <c r="R33" s="1306"/>
      <c r="S33" s="1306"/>
      <c r="T33" s="1306"/>
      <c r="U33" s="1306"/>
      <c r="V33" s="1306"/>
      <c r="W33" s="1307"/>
      <c r="X33" s="1307"/>
      <c r="Y33" s="1307"/>
      <c r="Z33" s="1307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9.7109375" customWidth="1"/>
    <col min="6" max="6" width="12.8554687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12.4257812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 ht="15" customHeight="1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86">
        <v>34139</v>
      </c>
      <c r="F10" s="87">
        <v>2457</v>
      </c>
      <c r="G10" s="88">
        <v>231</v>
      </c>
      <c r="H10" s="89"/>
      <c r="I10" s="86"/>
      <c r="J10" s="88"/>
      <c r="K10" s="88"/>
      <c r="L10" s="89"/>
      <c r="M10" s="86"/>
      <c r="N10" s="88"/>
      <c r="O10" s="88"/>
      <c r="P10" s="88"/>
      <c r="Q10" s="69"/>
      <c r="R10" s="70"/>
      <c r="S10" s="68"/>
      <c r="T10" s="70"/>
      <c r="U10" s="68"/>
      <c r="V10" s="70"/>
      <c r="W10" s="90">
        <v>81</v>
      </c>
      <c r="X10" s="91">
        <v>479</v>
      </c>
      <c r="Y10" s="1341">
        <f t="shared" ref="Y10:Z15" si="0">E10+G10+I10+K10+M10+Q10+S10+U10+W10</f>
        <v>34451</v>
      </c>
      <c r="Z10" s="1342">
        <f t="shared" si="0"/>
        <v>2936</v>
      </c>
    </row>
    <row r="11" spans="1:26">
      <c r="A11" s="30">
        <v>2</v>
      </c>
      <c r="B11" s="1418"/>
      <c r="C11" s="1461" t="s">
        <v>9</v>
      </c>
      <c r="D11" s="1462"/>
      <c r="E11" s="76"/>
      <c r="F11" s="94"/>
      <c r="G11" s="73"/>
      <c r="H11" s="95"/>
      <c r="I11" s="76"/>
      <c r="J11" s="73"/>
      <c r="K11" s="73"/>
      <c r="L11" s="95"/>
      <c r="M11" s="76"/>
      <c r="N11" s="73"/>
      <c r="O11" s="73"/>
      <c r="P11" s="73"/>
      <c r="Q11" s="67"/>
      <c r="R11" s="74"/>
      <c r="S11" s="72"/>
      <c r="T11" s="74"/>
      <c r="U11" s="72"/>
      <c r="V11" s="74"/>
      <c r="W11" s="96"/>
      <c r="X11" s="97"/>
      <c r="Y11" s="806">
        <f t="shared" si="0"/>
        <v>0</v>
      </c>
      <c r="Z11" s="1216">
        <f t="shared" si="0"/>
        <v>0</v>
      </c>
    </row>
    <row r="12" spans="1:26">
      <c r="A12" s="33">
        <v>3</v>
      </c>
      <c r="B12" s="1418"/>
      <c r="C12" s="1405" t="s">
        <v>2</v>
      </c>
      <c r="D12" s="1406"/>
      <c r="E12" s="76">
        <v>17774</v>
      </c>
      <c r="F12" s="94">
        <v>1044</v>
      </c>
      <c r="G12" s="73"/>
      <c r="H12" s="95">
        <v>19</v>
      </c>
      <c r="I12" s="76">
        <v>639</v>
      </c>
      <c r="J12" s="73">
        <v>318</v>
      </c>
      <c r="K12" s="73"/>
      <c r="L12" s="95"/>
      <c r="M12" s="76">
        <v>1887</v>
      </c>
      <c r="N12" s="73">
        <v>156</v>
      </c>
      <c r="O12" s="73"/>
      <c r="P12" s="73"/>
      <c r="Q12" s="67"/>
      <c r="R12" s="74"/>
      <c r="S12" s="72"/>
      <c r="T12" s="74"/>
      <c r="U12" s="72">
        <v>139</v>
      </c>
      <c r="V12" s="74">
        <v>38</v>
      </c>
      <c r="W12" s="96">
        <v>1139</v>
      </c>
      <c r="X12" s="97">
        <v>586</v>
      </c>
      <c r="Y12" s="806">
        <f t="shared" si="0"/>
        <v>21578</v>
      </c>
      <c r="Z12" s="1216">
        <f t="shared" si="0"/>
        <v>2161</v>
      </c>
    </row>
    <row r="13" spans="1:26">
      <c r="A13" s="33">
        <v>4</v>
      </c>
      <c r="B13" s="1463" t="s">
        <v>8</v>
      </c>
      <c r="C13" s="1464"/>
      <c r="D13" s="1465"/>
      <c r="E13" s="76">
        <v>265</v>
      </c>
      <c r="F13" s="94"/>
      <c r="G13" s="73"/>
      <c r="H13" s="95"/>
      <c r="I13" s="76"/>
      <c r="J13" s="73"/>
      <c r="K13" s="73"/>
      <c r="L13" s="95"/>
      <c r="M13" s="76"/>
      <c r="N13" s="73"/>
      <c r="O13" s="73"/>
      <c r="P13" s="73"/>
      <c r="Q13" s="67"/>
      <c r="R13" s="74"/>
      <c r="S13" s="72"/>
      <c r="T13" s="74"/>
      <c r="U13" s="72">
        <v>725</v>
      </c>
      <c r="V13" s="74">
        <v>22</v>
      </c>
      <c r="W13" s="96">
        <v>1048</v>
      </c>
      <c r="X13" s="97"/>
      <c r="Y13" s="806">
        <f t="shared" si="0"/>
        <v>2038</v>
      </c>
      <c r="Z13" s="1216">
        <f t="shared" si="0"/>
        <v>22</v>
      </c>
    </row>
    <row r="14" spans="1:26" ht="15.75" thickBot="1">
      <c r="A14" s="36">
        <v>5</v>
      </c>
      <c r="B14" s="1421" t="s">
        <v>25</v>
      </c>
      <c r="C14" s="1422"/>
      <c r="D14" s="1423"/>
      <c r="E14" s="100"/>
      <c r="F14" s="101"/>
      <c r="G14" s="102"/>
      <c r="H14" s="103"/>
      <c r="I14" s="104"/>
      <c r="J14" s="105"/>
      <c r="K14" s="105"/>
      <c r="L14" s="106"/>
      <c r="M14" s="104"/>
      <c r="N14" s="105"/>
      <c r="O14" s="105"/>
      <c r="P14" s="105"/>
      <c r="Q14" s="105"/>
      <c r="R14" s="106"/>
      <c r="S14" s="107"/>
      <c r="T14" s="108"/>
      <c r="U14" s="109"/>
      <c r="V14" s="110"/>
      <c r="W14" s="111"/>
      <c r="X14" s="108"/>
      <c r="Y14" s="1343">
        <f t="shared" si="0"/>
        <v>0</v>
      </c>
      <c r="Z14" s="1344">
        <f t="shared" si="0"/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114">
        <v>52178</v>
      </c>
      <c r="F15" s="115">
        <v>3501</v>
      </c>
      <c r="G15" s="116">
        <v>231</v>
      </c>
      <c r="H15" s="117">
        <v>19</v>
      </c>
      <c r="I15" s="118">
        <f t="shared" ref="I15:X15" si="1">SUM(I10:I14)</f>
        <v>639</v>
      </c>
      <c r="J15" s="119">
        <f t="shared" si="1"/>
        <v>318</v>
      </c>
      <c r="K15" s="119">
        <f t="shared" si="1"/>
        <v>0</v>
      </c>
      <c r="L15" s="120">
        <f t="shared" si="1"/>
        <v>0</v>
      </c>
      <c r="M15" s="118">
        <f t="shared" si="1"/>
        <v>1887</v>
      </c>
      <c r="N15" s="119">
        <f t="shared" si="1"/>
        <v>156</v>
      </c>
      <c r="O15" s="119"/>
      <c r="P15" s="119"/>
      <c r="Q15" s="119">
        <f t="shared" si="1"/>
        <v>0</v>
      </c>
      <c r="R15" s="120">
        <f t="shared" si="1"/>
        <v>0</v>
      </c>
      <c r="S15" s="121">
        <f t="shared" si="1"/>
        <v>0</v>
      </c>
      <c r="T15" s="122">
        <f t="shared" si="1"/>
        <v>0</v>
      </c>
      <c r="U15" s="123">
        <f t="shared" si="1"/>
        <v>864</v>
      </c>
      <c r="V15" s="124">
        <f t="shared" si="1"/>
        <v>60</v>
      </c>
      <c r="W15" s="1345">
        <f t="shared" si="1"/>
        <v>2268</v>
      </c>
      <c r="X15" s="124">
        <f t="shared" si="1"/>
        <v>1065</v>
      </c>
      <c r="Y15" s="1346">
        <f t="shared" si="0"/>
        <v>58067</v>
      </c>
      <c r="Z15" s="1347">
        <f t="shared" si="0"/>
        <v>5119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68">
        <v>4.8529999999999998</v>
      </c>
      <c r="F22" s="69">
        <v>2514</v>
      </c>
      <c r="G22" s="70">
        <f>F22/E22/12</f>
        <v>43.169173706985369</v>
      </c>
      <c r="H22" s="68">
        <v>0</v>
      </c>
      <c r="I22" s="69">
        <v>0</v>
      </c>
      <c r="J22" s="70">
        <v>0</v>
      </c>
      <c r="K22" s="71">
        <f>E22+H22</f>
        <v>4.8529999999999998</v>
      </c>
      <c r="L22" s="69">
        <f>F22+I22</f>
        <v>2514</v>
      </c>
      <c r="M22" s="70">
        <f>L22/K22/12</f>
        <v>43.169173706985369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72">
        <v>13.747999999999999</v>
      </c>
      <c r="F23" s="73">
        <v>7571</v>
      </c>
      <c r="G23" s="70">
        <f t="shared" ref="G23:G33" si="2">F23/E23/12</f>
        <v>45.891523615556203</v>
      </c>
      <c r="H23" s="72">
        <v>5.5E-2</v>
      </c>
      <c r="I23" s="67">
        <v>30</v>
      </c>
      <c r="J23" s="70">
        <f t="shared" ref="J23:J33" si="3">I23/H23/12</f>
        <v>45.45454545454546</v>
      </c>
      <c r="K23" s="75">
        <f t="shared" ref="K23:L32" si="4">E23+H23</f>
        <v>13.802999999999999</v>
      </c>
      <c r="L23" s="67">
        <f t="shared" si="4"/>
        <v>7601</v>
      </c>
      <c r="M23" s="70">
        <f t="shared" ref="M23:M33" si="5">L23/K23/12</f>
        <v>45.88978241445097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72">
        <v>35.408999999999999</v>
      </c>
      <c r="F24" s="67">
        <v>15238</v>
      </c>
      <c r="G24" s="70">
        <f t="shared" si="2"/>
        <v>35.861880689466894</v>
      </c>
      <c r="H24" s="72">
        <v>0.107</v>
      </c>
      <c r="I24" s="67">
        <v>46</v>
      </c>
      <c r="J24" s="70">
        <f t="shared" si="3"/>
        <v>35.825545171339563</v>
      </c>
      <c r="K24" s="75">
        <f t="shared" si="4"/>
        <v>35.515999999999998</v>
      </c>
      <c r="L24" s="67">
        <f t="shared" si="4"/>
        <v>15284</v>
      </c>
      <c r="M24" s="70">
        <f t="shared" si="5"/>
        <v>35.861771220482787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72">
        <v>26.02</v>
      </c>
      <c r="F25" s="67">
        <v>9047</v>
      </c>
      <c r="G25" s="70">
        <f t="shared" si="2"/>
        <v>28.974506789648988</v>
      </c>
      <c r="H25" s="72">
        <v>1.4999999999999999E-2</v>
      </c>
      <c r="I25" s="67">
        <v>5</v>
      </c>
      <c r="J25" s="70">
        <f t="shared" si="3"/>
        <v>27.777777777777782</v>
      </c>
      <c r="K25" s="75">
        <f t="shared" si="4"/>
        <v>26.035</v>
      </c>
      <c r="L25" s="67">
        <f t="shared" si="4"/>
        <v>9052</v>
      </c>
      <c r="M25" s="70">
        <f t="shared" si="5"/>
        <v>28.973817297228091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72"/>
      <c r="F26" s="67"/>
      <c r="G26" s="70"/>
      <c r="H26" s="72"/>
      <c r="I26" s="67"/>
      <c r="J26" s="70"/>
      <c r="K26" s="75">
        <f t="shared" si="4"/>
        <v>0</v>
      </c>
      <c r="L26" s="67">
        <f t="shared" si="4"/>
        <v>0</v>
      </c>
      <c r="M26" s="70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133"/>
      <c r="E27" s="72"/>
      <c r="F27" s="67"/>
      <c r="G27" s="70"/>
      <c r="H27" s="72"/>
      <c r="I27" s="67"/>
      <c r="J27" s="70"/>
      <c r="K27" s="75"/>
      <c r="L27" s="67"/>
      <c r="M27" s="70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72">
        <v>80.03</v>
      </c>
      <c r="F28" s="67">
        <v>34370</v>
      </c>
      <c r="G28" s="70">
        <f t="shared" si="2"/>
        <v>35.788662584864007</v>
      </c>
      <c r="H28" s="72">
        <v>0.17699999999999999</v>
      </c>
      <c r="I28" s="67">
        <v>81</v>
      </c>
      <c r="J28" s="70">
        <f t="shared" si="3"/>
        <v>38.135593220338983</v>
      </c>
      <c r="K28" s="75">
        <f t="shared" si="4"/>
        <v>80.207000000000008</v>
      </c>
      <c r="L28" s="67">
        <f t="shared" si="4"/>
        <v>34451</v>
      </c>
      <c r="M28" s="70">
        <f t="shared" si="5"/>
        <v>35.793841767759254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72"/>
      <c r="F29" s="67"/>
      <c r="G29" s="70"/>
      <c r="H29" s="72"/>
      <c r="I29" s="67"/>
      <c r="J29" s="70"/>
      <c r="K29" s="75">
        <f t="shared" si="4"/>
        <v>0</v>
      </c>
      <c r="L29" s="67">
        <f t="shared" si="4"/>
        <v>0</v>
      </c>
      <c r="M29" s="70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72">
        <v>55.011000000000003</v>
      </c>
      <c r="F30" s="67">
        <v>17774</v>
      </c>
      <c r="G30" s="70">
        <f t="shared" si="2"/>
        <v>26.924918046693691</v>
      </c>
      <c r="H30" s="72">
        <v>5.3630000000000004</v>
      </c>
      <c r="I30" s="67">
        <v>3804</v>
      </c>
      <c r="J30" s="70">
        <f t="shared" si="3"/>
        <v>59.108707812791344</v>
      </c>
      <c r="K30" s="75">
        <f t="shared" si="4"/>
        <v>60.374000000000002</v>
      </c>
      <c r="L30" s="67">
        <f t="shared" si="4"/>
        <v>21578</v>
      </c>
      <c r="M30" s="70">
        <f t="shared" si="5"/>
        <v>29.783792140104456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72">
        <v>1.113</v>
      </c>
      <c r="F31" s="67">
        <v>265</v>
      </c>
      <c r="G31" s="70">
        <f t="shared" si="2"/>
        <v>19.841269841269842</v>
      </c>
      <c r="H31" s="72">
        <v>7.4569999999999999</v>
      </c>
      <c r="I31" s="67">
        <v>1773</v>
      </c>
      <c r="J31" s="70">
        <f t="shared" si="3"/>
        <v>19.813597961646774</v>
      </c>
      <c r="K31" s="75">
        <f t="shared" si="4"/>
        <v>8.57</v>
      </c>
      <c r="L31" s="67">
        <f t="shared" si="4"/>
        <v>2038</v>
      </c>
      <c r="M31" s="70">
        <f t="shared" si="5"/>
        <v>19.817191754181252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1330">
        <v>10</v>
      </c>
      <c r="B32" s="2020" t="s">
        <v>25</v>
      </c>
      <c r="C32" s="2020"/>
      <c r="D32" s="2020"/>
      <c r="E32" s="104"/>
      <c r="F32" s="105"/>
      <c r="G32" s="716"/>
      <c r="H32" s="104"/>
      <c r="I32" s="105"/>
      <c r="J32" s="716"/>
      <c r="K32" s="719">
        <f t="shared" si="4"/>
        <v>0</v>
      </c>
      <c r="L32" s="105">
        <f t="shared" si="4"/>
        <v>0</v>
      </c>
      <c r="M32" s="716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14">
        <v>11</v>
      </c>
      <c r="B33" s="2021" t="s">
        <v>17</v>
      </c>
      <c r="C33" s="2021"/>
      <c r="D33" s="2021"/>
      <c r="E33" s="118">
        <f>E28+E29+E30+E31+E32</f>
        <v>136.154</v>
      </c>
      <c r="F33" s="119">
        <f t="shared" ref="F33:L33" si="6">F28+F29+F30+F31+F32</f>
        <v>52409</v>
      </c>
      <c r="G33" s="120">
        <f t="shared" si="2"/>
        <v>32.077035317850864</v>
      </c>
      <c r="H33" s="118">
        <f t="shared" si="6"/>
        <v>12.997</v>
      </c>
      <c r="I33" s="119">
        <f t="shared" si="6"/>
        <v>5658</v>
      </c>
      <c r="J33" s="120">
        <f t="shared" si="3"/>
        <v>36.277602523659304</v>
      </c>
      <c r="K33" s="720">
        <f t="shared" si="6"/>
        <v>149.15100000000001</v>
      </c>
      <c r="L33" s="119">
        <f t="shared" si="6"/>
        <v>58067</v>
      </c>
      <c r="M33" s="120">
        <f t="shared" si="5"/>
        <v>32.44307223328483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14:D14"/>
    <mergeCell ref="B10:B12"/>
    <mergeCell ref="C10:D10"/>
    <mergeCell ref="C11:D11"/>
    <mergeCell ref="C12:D12"/>
    <mergeCell ref="B13:D13"/>
    <mergeCell ref="B33:D33"/>
    <mergeCell ref="B32:D32"/>
    <mergeCell ref="A5:A9"/>
    <mergeCell ref="B5:D9"/>
    <mergeCell ref="B22:B30"/>
    <mergeCell ref="C22:C28"/>
    <mergeCell ref="C29:D29"/>
    <mergeCell ref="C30:D30"/>
    <mergeCell ref="B31:D31"/>
    <mergeCell ref="B15:D15"/>
    <mergeCell ref="E5:Z5"/>
    <mergeCell ref="E6:H6"/>
    <mergeCell ref="I6:L6"/>
    <mergeCell ref="A19:A21"/>
    <mergeCell ref="B19:D21"/>
    <mergeCell ref="E19:G19"/>
    <mergeCell ref="H19:J19"/>
    <mergeCell ref="K19:M19"/>
    <mergeCell ref="M6:R6"/>
    <mergeCell ref="S6:T7"/>
    <mergeCell ref="U6:V7"/>
    <mergeCell ref="W6:X7"/>
    <mergeCell ref="Y6:Z7"/>
    <mergeCell ref="E7:F7"/>
    <mergeCell ref="G7:H7"/>
    <mergeCell ref="I7:J7"/>
    <mergeCell ref="K7:L7"/>
    <mergeCell ref="M7:N7"/>
    <mergeCell ref="Q7:R7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10.7109375" bestFit="1" customWidth="1"/>
    <col min="6" max="6" width="8.5703125" customWidth="1"/>
    <col min="7" max="7" width="8.7109375" customWidth="1"/>
    <col min="8" max="8" width="9.7109375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8.42578125" customWidth="1"/>
    <col min="26" max="26" width="10.28515625" bestFit="1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68">
        <v>34816.838000000003</v>
      </c>
      <c r="F10" s="1348"/>
      <c r="G10" s="88"/>
      <c r="H10" s="89"/>
      <c r="I10" s="105">
        <v>747.77599999999995</v>
      </c>
      <c r="J10" s="88"/>
      <c r="K10" s="88"/>
      <c r="L10" s="89"/>
      <c r="M10" s="86"/>
      <c r="N10" s="88"/>
      <c r="O10" s="88"/>
      <c r="P10" s="88"/>
      <c r="Q10" s="69"/>
      <c r="R10" s="70"/>
      <c r="S10" s="68"/>
      <c r="T10" s="70"/>
      <c r="U10" s="68">
        <v>136.76599999999999</v>
      </c>
      <c r="V10" s="70"/>
      <c r="W10" s="90"/>
      <c r="X10" s="91" t="s">
        <v>0</v>
      </c>
      <c r="Y10" s="806">
        <f>E10+I10+U10</f>
        <v>35701.380000000005</v>
      </c>
      <c r="Z10" s="93">
        <v>0</v>
      </c>
    </row>
    <row r="11" spans="1:26">
      <c r="A11" s="30">
        <v>2</v>
      </c>
      <c r="B11" s="1418"/>
      <c r="C11" s="1461" t="s">
        <v>9</v>
      </c>
      <c r="D11" s="1462"/>
      <c r="E11" s="1349">
        <v>92.013999999999996</v>
      </c>
      <c r="F11" s="94">
        <v>18</v>
      </c>
      <c r="G11" s="105">
        <v>1008.19</v>
      </c>
      <c r="H11" s="95"/>
      <c r="I11" s="76"/>
      <c r="J11" s="73"/>
      <c r="K11" s="73"/>
      <c r="L11" s="95"/>
      <c r="M11" s="76"/>
      <c r="N11" s="73"/>
      <c r="O11" s="73"/>
      <c r="P11" s="73"/>
      <c r="Q11" s="67"/>
      <c r="R11" s="74"/>
      <c r="S11" s="72"/>
      <c r="T11" s="74"/>
      <c r="U11" s="72"/>
      <c r="V11" s="74"/>
      <c r="W11" s="96"/>
      <c r="X11" s="97"/>
      <c r="Y11" s="806">
        <f>E11+G11</f>
        <v>1100.204</v>
      </c>
      <c r="Z11" s="99">
        <f>F11</f>
        <v>18</v>
      </c>
    </row>
    <row r="12" spans="1:26">
      <c r="A12" s="33">
        <v>3</v>
      </c>
      <c r="B12" s="1418"/>
      <c r="C12" s="1405" t="s">
        <v>2</v>
      </c>
      <c r="D12" s="1406"/>
      <c r="E12" s="1349">
        <v>27568.995999999999</v>
      </c>
      <c r="F12" s="105">
        <v>4159.6899999999996</v>
      </c>
      <c r="G12" s="73"/>
      <c r="H12" s="95"/>
      <c r="I12" s="76"/>
      <c r="J12" s="73"/>
      <c r="K12" s="73"/>
      <c r="L12" s="95"/>
      <c r="M12" s="76"/>
      <c r="N12" s="73"/>
      <c r="O12" s="73"/>
      <c r="P12" s="73"/>
      <c r="Q12" s="67">
        <v>707.09199999999998</v>
      </c>
      <c r="R12" s="74">
        <v>1347.5050000000001</v>
      </c>
      <c r="S12" s="72"/>
      <c r="T12" s="74"/>
      <c r="U12" s="72">
        <v>2155.73</v>
      </c>
      <c r="V12" s="74">
        <v>17.513999999999999</v>
      </c>
      <c r="W12" s="96"/>
      <c r="X12" s="97"/>
      <c r="Y12" s="806">
        <f>E12+Q12+U12</f>
        <v>30431.817999999999</v>
      </c>
      <c r="Z12" s="1219">
        <f>F12+R12+V12</f>
        <v>5524.7089999999998</v>
      </c>
    </row>
    <row r="13" spans="1:26">
      <c r="A13" s="33">
        <v>4</v>
      </c>
      <c r="B13" s="1463" t="s">
        <v>8</v>
      </c>
      <c r="C13" s="1464"/>
      <c r="D13" s="1465"/>
      <c r="E13" s="76"/>
      <c r="F13" s="94"/>
      <c r="G13" s="73"/>
      <c r="H13" s="95"/>
      <c r="I13" s="76"/>
      <c r="J13" s="73"/>
      <c r="K13" s="73"/>
      <c r="L13" s="95"/>
      <c r="M13" s="76"/>
      <c r="N13" s="73"/>
      <c r="O13" s="73"/>
      <c r="P13" s="73"/>
      <c r="Q13" s="67"/>
      <c r="R13" s="74"/>
      <c r="S13" s="72"/>
      <c r="T13" s="74"/>
      <c r="U13" s="72"/>
      <c r="V13" s="74"/>
      <c r="W13" s="96"/>
      <c r="X13" s="97"/>
      <c r="Y13" s="810"/>
      <c r="Z13" s="99"/>
    </row>
    <row r="14" spans="1:26" ht="15.75" thickBot="1">
      <c r="A14" s="36">
        <v>5</v>
      </c>
      <c r="B14" s="1421" t="s">
        <v>25</v>
      </c>
      <c r="C14" s="1422"/>
      <c r="D14" s="1423"/>
      <c r="E14" s="100"/>
      <c r="F14" s="101"/>
      <c r="G14" s="102"/>
      <c r="H14" s="103"/>
      <c r="I14" s="104"/>
      <c r="J14" s="105"/>
      <c r="K14" s="105"/>
      <c r="L14" s="106"/>
      <c r="M14" s="104"/>
      <c r="N14" s="105"/>
      <c r="O14" s="105"/>
      <c r="P14" s="105"/>
      <c r="Q14" s="105"/>
      <c r="R14" s="106"/>
      <c r="S14" s="107"/>
      <c r="T14" s="108"/>
      <c r="U14" s="109"/>
      <c r="V14" s="110"/>
      <c r="W14" s="111"/>
      <c r="X14" s="108"/>
      <c r="Y14" s="1350"/>
      <c r="Z14" s="1351"/>
    </row>
    <row r="15" spans="1:26" ht="15.75" thickBot="1">
      <c r="A15" s="37">
        <v>6</v>
      </c>
      <c r="B15" s="1399" t="s">
        <v>17</v>
      </c>
      <c r="C15" s="1400"/>
      <c r="D15" s="1401"/>
      <c r="E15" s="1352">
        <f>SUM(E10:E14)</f>
        <v>62477.848000000005</v>
      </c>
      <c r="F15" s="1352">
        <f>SUM(F10:F14)</f>
        <v>4177.6899999999996</v>
      </c>
      <c r="G15" s="1352">
        <f>SUM(G10:G14)</f>
        <v>1008.19</v>
      </c>
      <c r="H15" s="1352">
        <f t="shared" ref="H15:X15" si="0">SUM(H10:H14)</f>
        <v>0</v>
      </c>
      <c r="I15" s="1352">
        <f t="shared" si="0"/>
        <v>747.77599999999995</v>
      </c>
      <c r="J15" s="1352">
        <f t="shared" si="0"/>
        <v>0</v>
      </c>
      <c r="K15" s="1352">
        <f t="shared" si="0"/>
        <v>0</v>
      </c>
      <c r="L15" s="1352">
        <f t="shared" si="0"/>
        <v>0</v>
      </c>
      <c r="M15" s="1352">
        <f t="shared" si="0"/>
        <v>0</v>
      </c>
      <c r="N15" s="1352">
        <f t="shared" si="0"/>
        <v>0</v>
      </c>
      <c r="O15" s="1352"/>
      <c r="P15" s="1352"/>
      <c r="Q15" s="1352">
        <f t="shared" si="0"/>
        <v>707.09199999999998</v>
      </c>
      <c r="R15" s="1352">
        <f t="shared" si="0"/>
        <v>1347.5050000000001</v>
      </c>
      <c r="S15" s="1352">
        <f t="shared" si="0"/>
        <v>0</v>
      </c>
      <c r="T15" s="1352">
        <f t="shared" si="0"/>
        <v>0</v>
      </c>
      <c r="U15" s="1352">
        <f t="shared" si="0"/>
        <v>2292.4960000000001</v>
      </c>
      <c r="V15" s="1352">
        <f t="shared" si="0"/>
        <v>17.513999999999999</v>
      </c>
      <c r="W15" s="1352">
        <f t="shared" si="0"/>
        <v>0</v>
      </c>
      <c r="X15" s="1352">
        <f t="shared" si="0"/>
        <v>0</v>
      </c>
      <c r="Y15" s="1352">
        <f>E15+G15+I15+K15+M15+Q15+S15+U15</f>
        <v>67233.402000000002</v>
      </c>
      <c r="Z15" s="1352">
        <f>F15+H15-J15+L15+N15+R15+T15+V15</f>
        <v>5542.7089999999998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58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68">
        <v>4.91</v>
      </c>
      <c r="F22" s="69">
        <v>4174.2910000000002</v>
      </c>
      <c r="G22" s="1353">
        <f>SUM(F22/12/E22)</f>
        <v>70.846758316361175</v>
      </c>
      <c r="H22" s="68">
        <v>0</v>
      </c>
      <c r="I22" s="989">
        <v>2.75</v>
      </c>
      <c r="J22" s="70">
        <v>0</v>
      </c>
      <c r="K22" s="71">
        <f>E22+H22</f>
        <v>4.91</v>
      </c>
      <c r="L22" s="69">
        <f>F22+I22</f>
        <v>4177.0410000000002</v>
      </c>
      <c r="M22" s="1353">
        <f>SUM(L22/12/K22)</f>
        <v>70.893431771894086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72">
        <v>12.02</v>
      </c>
      <c r="F23" s="69">
        <v>8864.2549999999992</v>
      </c>
      <c r="G23" s="1353">
        <f t="shared" ref="G23:G30" si="1">SUM(F23/12/E23)</f>
        <v>61.454901552967279</v>
      </c>
      <c r="H23" s="72">
        <v>1.1000000000000001</v>
      </c>
      <c r="I23" s="67">
        <v>384.89400000000001</v>
      </c>
      <c r="J23" s="70">
        <f>SUM(I23/12/H23)</f>
        <v>29.158636363636361</v>
      </c>
      <c r="K23" s="75">
        <f t="shared" ref="K23:L30" si="2">E23+H23</f>
        <v>13.12</v>
      </c>
      <c r="L23" s="67">
        <f t="shared" si="2"/>
        <v>9249.1489999999994</v>
      </c>
      <c r="M23" s="1353">
        <f t="shared" ref="M23:M33" si="3">SUM(L23/12/K23)</f>
        <v>58.747135416666666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76">
        <v>34.299999999999997</v>
      </c>
      <c r="F24" s="67">
        <v>14301.995999999999</v>
      </c>
      <c r="G24" s="1353">
        <f t="shared" si="1"/>
        <v>34.747317784256559</v>
      </c>
      <c r="H24" s="72">
        <v>2.37</v>
      </c>
      <c r="I24" s="67">
        <v>266.803</v>
      </c>
      <c r="J24" s="70">
        <f>SUM(I24/12/H24)</f>
        <v>9.3812587904360054</v>
      </c>
      <c r="K24" s="75">
        <f t="shared" si="2"/>
        <v>36.669999999999995</v>
      </c>
      <c r="L24" s="67">
        <f t="shared" si="2"/>
        <v>14568.798999999999</v>
      </c>
      <c r="M24" s="1353">
        <f t="shared" si="3"/>
        <v>33.107897009362787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76">
        <v>23.46</v>
      </c>
      <c r="F25" s="67">
        <v>7568.31</v>
      </c>
      <c r="G25" s="1353">
        <f t="shared" si="1"/>
        <v>26.883738277919864</v>
      </c>
      <c r="H25" s="72">
        <v>0.1</v>
      </c>
      <c r="I25" s="67">
        <v>257.59500000000003</v>
      </c>
      <c r="J25" s="70">
        <f>SUM(I25/12/H25)</f>
        <v>214.66250000000002</v>
      </c>
      <c r="K25" s="75">
        <f t="shared" si="2"/>
        <v>23.560000000000002</v>
      </c>
      <c r="L25" s="67">
        <f t="shared" si="2"/>
        <v>7825.9050000000007</v>
      </c>
      <c r="M25" s="1353">
        <f t="shared" si="3"/>
        <v>27.680761884550083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76">
        <v>0</v>
      </c>
      <c r="F26" s="67">
        <v>0</v>
      </c>
      <c r="G26" s="70">
        <v>0</v>
      </c>
      <c r="H26" s="72">
        <v>0</v>
      </c>
      <c r="I26" s="67">
        <v>0</v>
      </c>
      <c r="J26" s="70">
        <v>0</v>
      </c>
      <c r="K26" s="75">
        <f t="shared" si="2"/>
        <v>0</v>
      </c>
      <c r="L26" s="67">
        <f t="shared" si="2"/>
        <v>0</v>
      </c>
      <c r="M26" s="70">
        <v>0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s="28" customFormat="1">
      <c r="A27" s="21"/>
      <c r="B27" s="1394"/>
      <c r="C27" s="1459"/>
      <c r="D27" s="133"/>
      <c r="E27" s="76"/>
      <c r="F27" s="67"/>
      <c r="G27" s="70"/>
      <c r="H27" s="72"/>
      <c r="I27" s="67"/>
      <c r="J27" s="70"/>
      <c r="K27" s="75"/>
      <c r="L27" s="67"/>
      <c r="M27" s="70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76">
        <v>74.69</v>
      </c>
      <c r="F28" s="944">
        <f>SUM(F22:F26)</f>
        <v>34908.851999999999</v>
      </c>
      <c r="G28" s="1353">
        <f t="shared" si="1"/>
        <v>38.948600883652432</v>
      </c>
      <c r="H28" s="72">
        <v>3.47</v>
      </c>
      <c r="I28" s="944">
        <f>SUM(I22:I26)</f>
        <v>912.04200000000003</v>
      </c>
      <c r="J28" s="1353">
        <f>SUM(I28/12/H28)</f>
        <v>21.903025936599423</v>
      </c>
      <c r="K28" s="75">
        <f t="shared" si="2"/>
        <v>78.16</v>
      </c>
      <c r="L28" s="67">
        <f t="shared" si="2"/>
        <v>35820.894</v>
      </c>
      <c r="M28" s="1353">
        <f t="shared" si="3"/>
        <v>38.191843654042991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76">
        <v>2.31</v>
      </c>
      <c r="F29" s="67">
        <v>1008.19</v>
      </c>
      <c r="G29" s="1354">
        <f t="shared" si="1"/>
        <v>36.370490620490621</v>
      </c>
      <c r="H29" s="72">
        <v>0</v>
      </c>
      <c r="I29" s="67">
        <v>0</v>
      </c>
      <c r="J29" s="70">
        <v>0</v>
      </c>
      <c r="K29" s="75">
        <f t="shared" si="2"/>
        <v>2.31</v>
      </c>
      <c r="L29" s="67">
        <f t="shared" si="2"/>
        <v>1008.19</v>
      </c>
      <c r="M29" s="1353">
        <f t="shared" si="3"/>
        <v>36.370490620490621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76">
        <v>84.52</v>
      </c>
      <c r="F30" s="67">
        <v>27568.995999999999</v>
      </c>
      <c r="G30" s="1354">
        <f t="shared" si="1"/>
        <v>27.181925382552453</v>
      </c>
      <c r="H30" s="72">
        <v>10.23</v>
      </c>
      <c r="I30" s="67">
        <v>2835.3220000000001</v>
      </c>
      <c r="J30" s="1353">
        <f>SUM(I30/12/H30)</f>
        <v>23.096464646464646</v>
      </c>
      <c r="K30" s="75">
        <f t="shared" si="2"/>
        <v>94.75</v>
      </c>
      <c r="L30" s="67">
        <f t="shared" si="2"/>
        <v>30404.317999999999</v>
      </c>
      <c r="M30" s="1353">
        <f t="shared" si="3"/>
        <v>26.740824978012309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76"/>
      <c r="F31" s="67"/>
      <c r="G31" s="74"/>
      <c r="H31" s="72"/>
      <c r="I31" s="67"/>
      <c r="J31" s="70"/>
      <c r="K31" s="75"/>
      <c r="L31" s="67"/>
      <c r="M31" s="70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77"/>
      <c r="F32" s="78"/>
      <c r="G32" s="79"/>
      <c r="H32" s="80"/>
      <c r="I32" s="105"/>
      <c r="J32" s="716"/>
      <c r="K32" s="81"/>
      <c r="L32" s="78"/>
      <c r="M32" s="716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1355">
        <f>E28+E29+E30+E31+E32</f>
        <v>161.51999999999998</v>
      </c>
      <c r="F33" s="82">
        <f t="shared" ref="F33:L33" si="4">F28+F29+F30+F31+F32</f>
        <v>63486.038</v>
      </c>
      <c r="G33" s="83">
        <f>SUM(F33/12/E33)</f>
        <v>32.754477257718342</v>
      </c>
      <c r="H33" s="1173">
        <f>SUM(H22:H32)</f>
        <v>17.270000000000003</v>
      </c>
      <c r="I33" s="118">
        <f t="shared" si="4"/>
        <v>3747.364</v>
      </c>
      <c r="J33" s="120">
        <f>SUM(I33/12/H33)</f>
        <v>18.082242810268284</v>
      </c>
      <c r="K33" s="85">
        <f t="shared" si="4"/>
        <v>175.22</v>
      </c>
      <c r="L33" s="1356">
        <f t="shared" si="4"/>
        <v>67233.402000000002</v>
      </c>
      <c r="M33" s="1357">
        <f t="shared" si="3"/>
        <v>31.975707681771489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11.5703125" bestFit="1" customWidth="1"/>
    <col min="6" max="7" width="11.42578125" bestFit="1" customWidth="1"/>
    <col min="8" max="8" width="10" bestFit="1" customWidth="1"/>
    <col min="9" max="9" width="11.42578125" bestFit="1" customWidth="1"/>
    <col min="10" max="10" width="11.42578125" customWidth="1"/>
    <col min="11" max="11" width="10" bestFit="1" customWidth="1"/>
    <col min="12" max="12" width="11.42578125" bestFit="1" customWidth="1"/>
    <col min="13" max="13" width="10.42578125" bestFit="1" customWidth="1"/>
    <col min="14" max="14" width="9.42578125" bestFit="1" customWidth="1"/>
    <col min="15" max="16" width="9.42578125" style="28" customWidth="1"/>
    <col min="17" max="17" width="10.42578125" bestFit="1" customWidth="1"/>
    <col min="18" max="18" width="9.42578125" bestFit="1" customWidth="1"/>
    <col min="19" max="19" width="10.5703125" bestFit="1" customWidth="1"/>
    <col min="20" max="20" width="8" bestFit="1" customWidth="1"/>
    <col min="21" max="21" width="10.5703125" bestFit="1" customWidth="1"/>
    <col min="22" max="22" width="9.5703125" bestFit="1" customWidth="1"/>
    <col min="23" max="23" width="10.5703125" bestFit="1" customWidth="1"/>
    <col min="24" max="24" width="10.7109375" customWidth="1"/>
    <col min="25" max="25" width="12.140625" bestFit="1" customWidth="1"/>
    <col min="26" max="26" width="11.5703125" bestFit="1" customWidth="1"/>
  </cols>
  <sheetData>
    <row r="1" spans="1:26" ht="15.75">
      <c r="A1" s="18" t="s">
        <v>79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444"/>
      <c r="B6" s="1434"/>
      <c r="C6" s="1435"/>
      <c r="D6" s="1436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444"/>
      <c r="B7" s="1434"/>
      <c r="C7" s="1435"/>
      <c r="D7" s="1436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444"/>
      <c r="B8" s="1434"/>
      <c r="C8" s="1435"/>
      <c r="D8" s="1436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242">
        <v>17</v>
      </c>
      <c r="X9" s="243">
        <v>18</v>
      </c>
      <c r="Y9" s="244">
        <v>19</v>
      </c>
      <c r="Z9" s="245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246">
        <v>193732.63</v>
      </c>
      <c r="F10" s="247">
        <v>9197.1569999999992</v>
      </c>
      <c r="G10" s="248">
        <v>66192.519</v>
      </c>
      <c r="H10" s="249">
        <v>2154.9870000000001</v>
      </c>
      <c r="I10" s="246">
        <v>15853.413</v>
      </c>
      <c r="J10" s="248">
        <v>1498.3689999999999</v>
      </c>
      <c r="K10" s="248">
        <v>631.00300000000004</v>
      </c>
      <c r="L10" s="249">
        <v>0</v>
      </c>
      <c r="M10" s="246">
        <v>2707.5149999999999</v>
      </c>
      <c r="N10" s="248">
        <v>442.11900000000003</v>
      </c>
      <c r="O10" s="248"/>
      <c r="P10" s="248"/>
      <c r="Q10" s="248">
        <v>1822.76</v>
      </c>
      <c r="R10" s="249">
        <v>519.09900000000005</v>
      </c>
      <c r="S10" s="246">
        <v>8314.9380000000001</v>
      </c>
      <c r="T10" s="249">
        <v>576.52599999999995</v>
      </c>
      <c r="U10" s="246">
        <v>2554.7860000000001</v>
      </c>
      <c r="V10" s="249">
        <v>301.952</v>
      </c>
      <c r="W10" s="250">
        <v>5321.2950000000001</v>
      </c>
      <c r="X10" s="251">
        <v>840.84299999999996</v>
      </c>
      <c r="Y10" s="252">
        <f t="shared" ref="Y10:Z13" si="0">E10+G10+I10+K10+M10+Q10+S10+U10+W10</f>
        <v>297130.85900000011</v>
      </c>
      <c r="Z10" s="253">
        <f t="shared" si="0"/>
        <v>15531.052000000001</v>
      </c>
    </row>
    <row r="11" spans="1:26">
      <c r="A11" s="30">
        <v>2</v>
      </c>
      <c r="B11" s="1418"/>
      <c r="C11" s="1461" t="s">
        <v>9</v>
      </c>
      <c r="D11" s="1462"/>
      <c r="E11" s="254">
        <v>2158.8389999999999</v>
      </c>
      <c r="F11" s="255">
        <v>68.016000000000005</v>
      </c>
      <c r="G11" s="256">
        <v>12725.597</v>
      </c>
      <c r="H11" s="257">
        <v>478.58800000000002</v>
      </c>
      <c r="I11" s="254">
        <v>16116.226000000001</v>
      </c>
      <c r="J11" s="256">
        <v>134.26599999999999</v>
      </c>
      <c r="K11" s="256">
        <v>336.45699999999999</v>
      </c>
      <c r="L11" s="257">
        <v>0</v>
      </c>
      <c r="M11" s="254">
        <v>3777.8620000000001</v>
      </c>
      <c r="N11" s="256">
        <v>67.415000000000006</v>
      </c>
      <c r="O11" s="256"/>
      <c r="P11" s="256"/>
      <c r="Q11" s="256">
        <v>2692.3150000000001</v>
      </c>
      <c r="R11" s="257">
        <v>0</v>
      </c>
      <c r="S11" s="254">
        <v>711.05600000000004</v>
      </c>
      <c r="T11" s="257">
        <v>29.981999999999999</v>
      </c>
      <c r="U11" s="254">
        <v>468.2</v>
      </c>
      <c r="V11" s="257">
        <v>62.642000000000003</v>
      </c>
      <c r="W11" s="258">
        <v>1132.7760000000001</v>
      </c>
      <c r="X11" s="259">
        <v>16.652999999999999</v>
      </c>
      <c r="Y11" s="252">
        <f t="shared" si="0"/>
        <v>40119.327999999994</v>
      </c>
      <c r="Z11" s="260">
        <f t="shared" si="0"/>
        <v>857.56200000000001</v>
      </c>
    </row>
    <row r="12" spans="1:26">
      <c r="A12" s="33">
        <v>3</v>
      </c>
      <c r="B12" s="1418"/>
      <c r="C12" s="1405" t="s">
        <v>2</v>
      </c>
      <c r="D12" s="1406"/>
      <c r="E12" s="254">
        <v>91953.716</v>
      </c>
      <c r="F12" s="255">
        <v>4338.0770000000002</v>
      </c>
      <c r="G12" s="256">
        <v>50094.048000000003</v>
      </c>
      <c r="H12" s="257">
        <v>1198.1949999999999</v>
      </c>
      <c r="I12" s="254">
        <v>15882.499</v>
      </c>
      <c r="J12" s="256">
        <v>1666.2850000000001</v>
      </c>
      <c r="K12" s="256">
        <v>1963.347</v>
      </c>
      <c r="L12" s="257">
        <v>0</v>
      </c>
      <c r="M12" s="254">
        <v>7579.6350000000002</v>
      </c>
      <c r="N12" s="256">
        <v>7329.46</v>
      </c>
      <c r="O12" s="256"/>
      <c r="P12" s="256"/>
      <c r="Q12" s="256">
        <v>5812.1769999999997</v>
      </c>
      <c r="R12" s="257">
        <v>1381.6669999999999</v>
      </c>
      <c r="S12" s="254">
        <v>3201.3110000000001</v>
      </c>
      <c r="T12" s="257">
        <v>138.333</v>
      </c>
      <c r="U12" s="254">
        <v>3637.0390000000002</v>
      </c>
      <c r="V12" s="257">
        <v>1266.6990000000001</v>
      </c>
      <c r="W12" s="258">
        <v>5507.6570000000002</v>
      </c>
      <c r="X12" s="259">
        <v>2064.1260000000002</v>
      </c>
      <c r="Y12" s="252">
        <f t="shared" si="0"/>
        <v>185631.429</v>
      </c>
      <c r="Z12" s="261">
        <f t="shared" si="0"/>
        <v>19382.842000000001</v>
      </c>
    </row>
    <row r="13" spans="1:26">
      <c r="A13" s="33">
        <v>4</v>
      </c>
      <c r="B13" s="1463" t="s">
        <v>8</v>
      </c>
      <c r="C13" s="1464"/>
      <c r="D13" s="1465"/>
      <c r="E13" s="254">
        <v>4157.5609999999997</v>
      </c>
      <c r="F13" s="255">
        <v>486.68200000000002</v>
      </c>
      <c r="G13" s="256">
        <v>0</v>
      </c>
      <c r="H13" s="257">
        <v>0</v>
      </c>
      <c r="I13" s="254">
        <v>0</v>
      </c>
      <c r="J13" s="256">
        <v>0</v>
      </c>
      <c r="K13" s="256">
        <v>0</v>
      </c>
      <c r="L13" s="257">
        <v>0</v>
      </c>
      <c r="M13" s="254">
        <v>0</v>
      </c>
      <c r="N13" s="256">
        <v>0</v>
      </c>
      <c r="O13" s="256"/>
      <c r="P13" s="256"/>
      <c r="Q13" s="256">
        <v>0</v>
      </c>
      <c r="R13" s="257">
        <v>0</v>
      </c>
      <c r="S13" s="254">
        <v>0</v>
      </c>
      <c r="T13" s="257">
        <v>0</v>
      </c>
      <c r="U13" s="254">
        <v>3898.527</v>
      </c>
      <c r="V13" s="257">
        <v>210.38300000000001</v>
      </c>
      <c r="W13" s="258">
        <v>11083.463</v>
      </c>
      <c r="X13" s="259">
        <v>579.85199999999998</v>
      </c>
      <c r="Y13" s="252">
        <f t="shared" si="0"/>
        <v>19139.550999999999</v>
      </c>
      <c r="Z13" s="262">
        <f t="shared" si="0"/>
        <v>1276.9169999999999</v>
      </c>
    </row>
    <row r="14" spans="1:26" ht="15.75" thickBot="1">
      <c r="A14" s="36">
        <v>5</v>
      </c>
      <c r="B14" s="1421" t="s">
        <v>25</v>
      </c>
      <c r="C14" s="1422"/>
      <c r="D14" s="1423"/>
      <c r="E14" s="263"/>
      <c r="F14" s="264"/>
      <c r="G14" s="265"/>
      <c r="H14" s="266"/>
      <c r="I14" s="263"/>
      <c r="J14" s="265"/>
      <c r="K14" s="265"/>
      <c r="L14" s="266"/>
      <c r="M14" s="263"/>
      <c r="N14" s="265"/>
      <c r="O14" s="265"/>
      <c r="P14" s="265"/>
      <c r="Q14" s="265"/>
      <c r="R14" s="266"/>
      <c r="S14" s="267"/>
      <c r="T14" s="268"/>
      <c r="U14" s="269"/>
      <c r="V14" s="270"/>
      <c r="W14" s="271"/>
      <c r="X14" s="268"/>
      <c r="Y14" s="272"/>
      <c r="Z14" s="273"/>
    </row>
    <row r="15" spans="1:26" ht="15.75" thickBot="1">
      <c r="A15" s="37">
        <v>6</v>
      </c>
      <c r="B15" s="1399" t="s">
        <v>17</v>
      </c>
      <c r="C15" s="1400"/>
      <c r="D15" s="1401"/>
      <c r="E15" s="274">
        <f>SUM(E10:E14)</f>
        <v>292002.74599999998</v>
      </c>
      <c r="F15" s="275">
        <f t="shared" ref="F15:Z15" si="1">SUM(F10:F14)</f>
        <v>14089.932000000001</v>
      </c>
      <c r="G15" s="276">
        <f t="shared" si="1"/>
        <v>129012.16399999999</v>
      </c>
      <c r="H15" s="277">
        <f t="shared" si="1"/>
        <v>3831.7700000000004</v>
      </c>
      <c r="I15" s="274">
        <f t="shared" si="1"/>
        <v>47852.138000000006</v>
      </c>
      <c r="J15" s="276">
        <f t="shared" si="1"/>
        <v>3298.92</v>
      </c>
      <c r="K15" s="276">
        <f t="shared" si="1"/>
        <v>2930.8069999999998</v>
      </c>
      <c r="L15" s="277">
        <f t="shared" si="1"/>
        <v>0</v>
      </c>
      <c r="M15" s="274">
        <f t="shared" si="1"/>
        <v>14065.012000000001</v>
      </c>
      <c r="N15" s="276">
        <f t="shared" si="1"/>
        <v>7838.9939999999997</v>
      </c>
      <c r="O15" s="276"/>
      <c r="P15" s="276"/>
      <c r="Q15" s="276">
        <f t="shared" si="1"/>
        <v>10327.252</v>
      </c>
      <c r="R15" s="277">
        <f t="shared" si="1"/>
        <v>1900.7660000000001</v>
      </c>
      <c r="S15" s="278">
        <f t="shared" si="1"/>
        <v>12227.305</v>
      </c>
      <c r="T15" s="279">
        <f t="shared" si="1"/>
        <v>744.84099999999989</v>
      </c>
      <c r="U15" s="278">
        <f t="shared" si="1"/>
        <v>10558.552</v>
      </c>
      <c r="V15" s="279">
        <f t="shared" si="1"/>
        <v>1841.6760000000002</v>
      </c>
      <c r="W15" s="280">
        <f t="shared" si="1"/>
        <v>23045.190999999999</v>
      </c>
      <c r="X15" s="279">
        <f t="shared" si="1"/>
        <v>3501.4740000000002</v>
      </c>
      <c r="Y15" s="281">
        <f t="shared" si="1"/>
        <v>542021.16700000013</v>
      </c>
      <c r="Z15" s="282">
        <f t="shared" si="1"/>
        <v>37048.373000000007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533">
        <v>5211</v>
      </c>
      <c r="X16" s="1533"/>
      <c r="Y16" s="283">
        <f>----1111</f>
        <v>1111</v>
      </c>
      <c r="Z16" s="283"/>
    </row>
    <row r="17" spans="1:26">
      <c r="A17" s="49" t="s">
        <v>81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1534">
        <v>52111</v>
      </c>
      <c r="X17" s="1534"/>
      <c r="Y17" s="284">
        <v>822.48</v>
      </c>
      <c r="Z17" s="284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1534">
        <v>5212</v>
      </c>
      <c r="X18" s="1534"/>
      <c r="Y18" s="284"/>
      <c r="Z18" s="284">
        <v>37048.370000000003</v>
      </c>
    </row>
    <row r="19" spans="1:26">
      <c r="A19" s="1449" t="s">
        <v>1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85"/>
      <c r="X19" s="286" t="s">
        <v>82</v>
      </c>
      <c r="Y19" s="1538">
        <v>579892.02</v>
      </c>
      <c r="Z19" s="1538"/>
    </row>
    <row r="20" spans="1:26" ht="38.2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3"/>
      <c r="Y20" s="3"/>
      <c r="Z20" s="3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287">
        <v>47.384999999999998</v>
      </c>
      <c r="F22" s="288">
        <v>33905.894</v>
      </c>
      <c r="G22" s="289">
        <f>F22/12/E22</f>
        <v>59.628388027153463</v>
      </c>
      <c r="H22" s="287">
        <v>2.6290000000000049</v>
      </c>
      <c r="I22" s="288">
        <v>2233.8260000000009</v>
      </c>
      <c r="J22" s="289">
        <f t="shared" ref="J22:J31" si="2">I22/12/H22</f>
        <v>70.807214403448612</v>
      </c>
      <c r="K22" s="290">
        <f>E22+H22</f>
        <v>50.014000000000003</v>
      </c>
      <c r="L22" s="288">
        <f>F22+I22</f>
        <v>36139.72</v>
      </c>
      <c r="M22" s="289">
        <f t="shared" ref="M22:M31" si="3">L22/12/K22</f>
        <v>60.216006184934884</v>
      </c>
      <c r="N22" s="48"/>
      <c r="O22" s="48"/>
      <c r="P22" s="48"/>
      <c r="Q22" s="51"/>
      <c r="R22" s="51"/>
      <c r="S22" s="51"/>
      <c r="T22" s="51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291">
        <v>120.747</v>
      </c>
      <c r="F23" s="292">
        <v>67829.773000000001</v>
      </c>
      <c r="G23" s="293">
        <f t="shared" ref="G23:G33" si="4">F23/12/E23</f>
        <v>46.812600589110566</v>
      </c>
      <c r="H23" s="291">
        <v>8.3289999999999935</v>
      </c>
      <c r="I23" s="292">
        <v>5626.6949999999924</v>
      </c>
      <c r="J23" s="293">
        <f t="shared" si="2"/>
        <v>56.296224036498948</v>
      </c>
      <c r="K23" s="294">
        <f t="shared" ref="K23:L32" si="5">E23+H23</f>
        <v>129.07599999999999</v>
      </c>
      <c r="L23" s="292">
        <f t="shared" si="5"/>
        <v>73456.467999999993</v>
      </c>
      <c r="M23" s="293">
        <f t="shared" si="3"/>
        <v>47.424558657948289</v>
      </c>
      <c r="N23" s="48"/>
      <c r="O23" s="48"/>
      <c r="P23" s="48"/>
      <c r="Q23" s="51"/>
      <c r="R23" s="51"/>
      <c r="S23" s="51"/>
      <c r="T23" s="51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291">
        <v>364.35899999999998</v>
      </c>
      <c r="F24" s="292">
        <v>142574.49900000001</v>
      </c>
      <c r="G24" s="293">
        <f t="shared" si="4"/>
        <v>32.608521403341214</v>
      </c>
      <c r="H24" s="291">
        <v>25.758000000000038</v>
      </c>
      <c r="I24" s="292">
        <v>12591.059999999998</v>
      </c>
      <c r="J24" s="293">
        <f t="shared" si="2"/>
        <v>40.735111421694164</v>
      </c>
      <c r="K24" s="294">
        <f t="shared" si="5"/>
        <v>390.11700000000002</v>
      </c>
      <c r="L24" s="292">
        <f t="shared" si="5"/>
        <v>155165.55900000001</v>
      </c>
      <c r="M24" s="293">
        <f t="shared" si="3"/>
        <v>33.14509044722481</v>
      </c>
      <c r="N24" s="48"/>
      <c r="O24" s="48"/>
      <c r="P24" s="48"/>
      <c r="Q24" s="51"/>
      <c r="R24" s="51"/>
      <c r="S24" s="51"/>
      <c r="T24" s="51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291">
        <v>8.952</v>
      </c>
      <c r="F25" s="292">
        <v>2498.3539999999998</v>
      </c>
      <c r="G25" s="293">
        <f t="shared" si="4"/>
        <v>23.256944444444443</v>
      </c>
      <c r="H25" s="291">
        <v>1.3339999999999996</v>
      </c>
      <c r="I25" s="292">
        <v>453.25200000000041</v>
      </c>
      <c r="J25" s="293">
        <f t="shared" si="2"/>
        <v>28.314092953523275</v>
      </c>
      <c r="K25" s="294">
        <f t="shared" si="5"/>
        <v>10.286</v>
      </c>
      <c r="L25" s="292">
        <f t="shared" si="5"/>
        <v>2951.6060000000002</v>
      </c>
      <c r="M25" s="293">
        <f t="shared" si="3"/>
        <v>23.912810292306698</v>
      </c>
      <c r="N25" s="48"/>
      <c r="O25" s="48"/>
      <c r="P25" s="48"/>
      <c r="Q25" s="51"/>
      <c r="R25" s="51"/>
      <c r="S25" s="51"/>
      <c r="T25" s="51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291">
        <v>15.786</v>
      </c>
      <c r="F26" s="292">
        <v>5038.8500000000004</v>
      </c>
      <c r="G26" s="293">
        <f t="shared" si="4"/>
        <v>26.599782507707253</v>
      </c>
      <c r="H26" s="291">
        <v>0</v>
      </c>
      <c r="I26" s="292">
        <v>0</v>
      </c>
      <c r="J26" s="293">
        <v>0</v>
      </c>
      <c r="K26" s="294">
        <f t="shared" si="5"/>
        <v>15.786</v>
      </c>
      <c r="L26" s="292">
        <f t="shared" si="5"/>
        <v>5038.8500000000004</v>
      </c>
      <c r="M26" s="293">
        <f t="shared" si="3"/>
        <v>26.599782507707253</v>
      </c>
      <c r="N26" s="48"/>
      <c r="O26" s="48"/>
      <c r="P26" s="48"/>
      <c r="Q26" s="51"/>
      <c r="R26" s="51"/>
      <c r="S26" s="51"/>
      <c r="T26" s="51"/>
      <c r="U26" s="48"/>
      <c r="V26" s="48"/>
      <c r="W26" s="48"/>
      <c r="X26" s="48"/>
      <c r="Y26" s="48"/>
      <c r="Z26" s="48"/>
    </row>
    <row r="27" spans="1:26" ht="25.5">
      <c r="A27" s="21"/>
      <c r="B27" s="1394"/>
      <c r="C27" s="1459"/>
      <c r="D27" s="295" t="s">
        <v>83</v>
      </c>
      <c r="E27" s="291">
        <v>28.923999999999999</v>
      </c>
      <c r="F27" s="292">
        <v>16163.543</v>
      </c>
      <c r="G27" s="293">
        <f t="shared" si="4"/>
        <v>46.56900555478726</v>
      </c>
      <c r="H27" s="291">
        <v>18.143000000000001</v>
      </c>
      <c r="I27" s="292">
        <v>8215.1129999999994</v>
      </c>
      <c r="J27" s="293">
        <f t="shared" si="2"/>
        <v>37.733161549909049</v>
      </c>
      <c r="K27" s="294">
        <f>E27+H27</f>
        <v>47.067</v>
      </c>
      <c r="L27" s="292">
        <f>F27+I27</f>
        <v>24378.655999999999</v>
      </c>
      <c r="M27" s="293">
        <f t="shared" si="3"/>
        <v>43.163037088972459</v>
      </c>
      <c r="N27" s="48"/>
      <c r="O27" s="48"/>
      <c r="P27" s="48"/>
      <c r="Q27" s="51"/>
      <c r="R27" s="51"/>
      <c r="S27" s="51"/>
      <c r="T27" s="51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291">
        <f>SUM(E22:E27)</f>
        <v>586.15299999999991</v>
      </c>
      <c r="F28" s="292">
        <f>SUM(F22:F27)</f>
        <v>268010.913</v>
      </c>
      <c r="G28" s="293">
        <f t="shared" si="4"/>
        <v>38.103093816802108</v>
      </c>
      <c r="H28" s="291">
        <f>SUM(H22:H27)</f>
        <v>56.19300000000004</v>
      </c>
      <c r="I28" s="292">
        <f>SUM(I22:I27)</f>
        <v>29119.945999999989</v>
      </c>
      <c r="J28" s="293">
        <f t="shared" si="2"/>
        <v>43.184420953974048</v>
      </c>
      <c r="K28" s="294">
        <f>E28+H28</f>
        <v>642.346</v>
      </c>
      <c r="L28" s="292">
        <f>F28+I28</f>
        <v>297130.859</v>
      </c>
      <c r="M28" s="293">
        <f t="shared" si="3"/>
        <v>38.547612838978786</v>
      </c>
      <c r="N28" s="48"/>
      <c r="O28" s="48"/>
      <c r="P28" s="48"/>
      <c r="Q28" s="51"/>
      <c r="R28" s="51"/>
      <c r="S28" s="51"/>
      <c r="T28" s="51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291">
        <v>35.56</v>
      </c>
      <c r="F29" s="292">
        <v>15029.264999999999</v>
      </c>
      <c r="G29" s="293">
        <f t="shared" si="4"/>
        <v>35.220437289088864</v>
      </c>
      <c r="H29" s="291">
        <v>61.388999999999996</v>
      </c>
      <c r="I29" s="292">
        <v>25090.063000000002</v>
      </c>
      <c r="J29" s="293">
        <f t="shared" si="2"/>
        <v>34.058847404801085</v>
      </c>
      <c r="K29" s="294">
        <f t="shared" si="5"/>
        <v>96.948999999999998</v>
      </c>
      <c r="L29" s="292">
        <f t="shared" si="5"/>
        <v>40119.328000000001</v>
      </c>
      <c r="M29" s="293">
        <f t="shared" si="3"/>
        <v>34.48490787252404</v>
      </c>
      <c r="N29" s="48"/>
      <c r="O29" s="48"/>
      <c r="P29" s="48"/>
      <c r="Q29" s="51"/>
      <c r="R29" s="51"/>
      <c r="S29" s="51"/>
      <c r="T29" s="51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291">
        <v>438.57400000000001</v>
      </c>
      <c r="F30" s="292">
        <v>144890.304</v>
      </c>
      <c r="G30" s="293">
        <f t="shared" si="4"/>
        <v>27.530569527605376</v>
      </c>
      <c r="H30" s="291">
        <v>121.38899999999995</v>
      </c>
      <c r="I30" s="292">
        <v>40741.125</v>
      </c>
      <c r="J30" s="293">
        <f t="shared" si="2"/>
        <v>27.96871009729054</v>
      </c>
      <c r="K30" s="294">
        <f t="shared" si="5"/>
        <v>559.96299999999997</v>
      </c>
      <c r="L30" s="292">
        <f t="shared" si="5"/>
        <v>185631.429</v>
      </c>
      <c r="M30" s="293">
        <f t="shared" si="3"/>
        <v>27.625549813112656</v>
      </c>
      <c r="N30" s="48"/>
      <c r="O30" s="48"/>
      <c r="P30" s="48"/>
      <c r="Q30" s="51"/>
      <c r="R30" s="51"/>
      <c r="S30" s="51"/>
      <c r="T30" s="51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291">
        <v>19.468</v>
      </c>
      <c r="F31" s="292">
        <v>4157.5609999999997</v>
      </c>
      <c r="G31" s="293">
        <f t="shared" si="4"/>
        <v>17.796559311006096</v>
      </c>
      <c r="H31" s="291">
        <v>63.22</v>
      </c>
      <c r="I31" s="292">
        <v>14981.99</v>
      </c>
      <c r="J31" s="293">
        <f t="shared" si="2"/>
        <v>19.748484129494887</v>
      </c>
      <c r="K31" s="294">
        <f t="shared" si="5"/>
        <v>82.688000000000002</v>
      </c>
      <c r="L31" s="292">
        <f t="shared" si="5"/>
        <v>19139.550999999999</v>
      </c>
      <c r="M31" s="293">
        <f t="shared" si="3"/>
        <v>19.288924430792051</v>
      </c>
      <c r="N31" s="48"/>
      <c r="O31" s="48"/>
      <c r="P31" s="48"/>
      <c r="Q31" s="51"/>
      <c r="R31" s="51"/>
      <c r="S31" s="51"/>
      <c r="T31" s="51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296"/>
      <c r="F32" s="297"/>
      <c r="G32" s="298"/>
      <c r="H32" s="296"/>
      <c r="I32" s="297"/>
      <c r="J32" s="298"/>
      <c r="K32" s="299">
        <f t="shared" si="5"/>
        <v>0</v>
      </c>
      <c r="L32" s="297">
        <f t="shared" si="5"/>
        <v>0</v>
      </c>
      <c r="M32" s="298"/>
      <c r="N32" s="48"/>
      <c r="O32" s="48"/>
      <c r="P32" s="48"/>
      <c r="Q32" s="51"/>
      <c r="R32" s="51"/>
      <c r="S32" s="51"/>
      <c r="T32" s="51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300">
        <f>E28+E29+E30+E31+E32</f>
        <v>1079.7550000000001</v>
      </c>
      <c r="F33" s="301">
        <f t="shared" ref="F33:L33" si="6">F28+F29+F30+F31+F32</f>
        <v>432088.04300000001</v>
      </c>
      <c r="G33" s="302">
        <f t="shared" si="4"/>
        <v>33.347691760322171</v>
      </c>
      <c r="H33" s="300">
        <f t="shared" si="6"/>
        <v>302.19100000000003</v>
      </c>
      <c r="I33" s="301">
        <f t="shared" si="6"/>
        <v>109933.124</v>
      </c>
      <c r="J33" s="302">
        <f>I33/12/H33</f>
        <v>30.31557414571137</v>
      </c>
      <c r="K33" s="303">
        <f t="shared" si="6"/>
        <v>1381.9459999999999</v>
      </c>
      <c r="L33" s="301">
        <f t="shared" si="6"/>
        <v>542021.16700000002</v>
      </c>
      <c r="M33" s="302">
        <f>L33/12/K33</f>
        <v>32.684656696667844</v>
      </c>
      <c r="N33" s="48"/>
      <c r="O33" s="48"/>
      <c r="P33" s="48"/>
      <c r="Q33" s="1361"/>
      <c r="R33" s="51"/>
      <c r="S33" s="51"/>
      <c r="T33" s="51"/>
      <c r="U33" s="48"/>
      <c r="V33" s="48"/>
      <c r="W33" s="50"/>
      <c r="X33" s="50"/>
      <c r="Y33" s="1362"/>
      <c r="Z33" s="50"/>
    </row>
  </sheetData>
  <mergeCells count="39">
    <mergeCell ref="B32:D32"/>
    <mergeCell ref="B33:D33"/>
    <mergeCell ref="Y19:Z19"/>
    <mergeCell ref="B22:B30"/>
    <mergeCell ref="C22:C28"/>
    <mergeCell ref="C29:D29"/>
    <mergeCell ref="C30:D30"/>
    <mergeCell ref="B31:D31"/>
    <mergeCell ref="B15:D15"/>
    <mergeCell ref="W16:X16"/>
    <mergeCell ref="W17:X17"/>
    <mergeCell ref="W18:X18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70" zoomScaleNormal="70" workbookViewId="0">
      <selection sqref="A1:Z1"/>
    </sheetView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9.5703125" customWidth="1"/>
    <col min="5" max="5" width="18.7109375" bestFit="1" customWidth="1"/>
    <col min="6" max="6" width="15" bestFit="1" customWidth="1"/>
    <col min="7" max="7" width="14.28515625" customWidth="1"/>
    <col min="8" max="8" width="12.7109375" customWidth="1"/>
    <col min="9" max="10" width="14.28515625" customWidth="1"/>
    <col min="11" max="11" width="18.7109375" bestFit="1" customWidth="1"/>
    <col min="12" max="12" width="15" customWidth="1"/>
    <col min="13" max="13" width="19.140625" bestFit="1" customWidth="1"/>
    <col min="14" max="14" width="15" bestFit="1" customWidth="1"/>
    <col min="15" max="16" width="15" style="28" customWidth="1"/>
    <col min="17" max="19" width="14.28515625" customWidth="1"/>
    <col min="20" max="20" width="15" bestFit="1" customWidth="1"/>
    <col min="21" max="24" width="14.28515625" customWidth="1"/>
    <col min="25" max="25" width="15.7109375" customWidth="1"/>
    <col min="26" max="26" width="14.28515625" customWidth="1"/>
  </cols>
  <sheetData>
    <row r="1" spans="1:26" ht="15.75">
      <c r="A1" s="1539" t="s">
        <v>84</v>
      </c>
      <c r="B1" s="1540"/>
      <c r="C1" s="1540"/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1540"/>
      <c r="P1" s="1540"/>
      <c r="Q1" s="1540"/>
      <c r="R1" s="1540"/>
      <c r="S1" s="1540"/>
      <c r="T1" s="1540"/>
      <c r="U1" s="1540"/>
      <c r="V1" s="1540"/>
      <c r="W1" s="1540"/>
      <c r="X1" s="1540"/>
      <c r="Y1" s="1540"/>
      <c r="Z1" s="1540"/>
    </row>
    <row r="2" spans="1:26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</row>
    <row r="3" spans="1:26" ht="18.75">
      <c r="A3" s="1541" t="s">
        <v>85</v>
      </c>
      <c r="B3" s="1542"/>
      <c r="C3" s="1542"/>
      <c r="D3" s="1542"/>
      <c r="E3" s="1542"/>
      <c r="F3" s="1542"/>
      <c r="G3" s="1542"/>
      <c r="H3" s="1542"/>
      <c r="I3" s="1542"/>
      <c r="J3" s="1542"/>
      <c r="K3" s="1542"/>
      <c r="L3" s="1542"/>
      <c r="M3" s="1542"/>
      <c r="N3" s="1542"/>
      <c r="O3" s="1542"/>
      <c r="P3" s="1542"/>
      <c r="Q3" s="1542"/>
      <c r="R3" s="1542"/>
      <c r="S3" s="1542"/>
      <c r="T3" s="1542"/>
      <c r="U3" s="1542"/>
      <c r="V3" s="1542"/>
      <c r="W3" s="1542"/>
      <c r="X3" s="1542"/>
      <c r="Y3" s="1542"/>
      <c r="Z3" s="1542"/>
    </row>
    <row r="4" spans="1:26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5"/>
      <c r="S4" s="304"/>
      <c r="T4" s="304"/>
      <c r="U4" s="304"/>
      <c r="V4" s="304"/>
      <c r="W4" s="304"/>
      <c r="X4" s="304"/>
      <c r="Y4" s="304"/>
      <c r="Z4" s="306" t="s">
        <v>86</v>
      </c>
    </row>
    <row r="5" spans="1:26">
      <c r="A5" s="1543" t="s">
        <v>87</v>
      </c>
      <c r="B5" s="1545" t="s">
        <v>7</v>
      </c>
      <c r="C5" s="1545"/>
      <c r="D5" s="1545"/>
      <c r="E5" s="1547" t="s">
        <v>35</v>
      </c>
      <c r="F5" s="1547"/>
      <c r="G5" s="1547"/>
      <c r="H5" s="1547"/>
      <c r="I5" s="1547"/>
      <c r="J5" s="1547"/>
      <c r="K5" s="1547"/>
      <c r="L5" s="1547"/>
      <c r="M5" s="1547"/>
      <c r="N5" s="1547"/>
      <c r="O5" s="1547"/>
      <c r="P5" s="1547"/>
      <c r="Q5" s="1547"/>
      <c r="R5" s="1547"/>
      <c r="S5" s="1547"/>
      <c r="T5" s="1547"/>
      <c r="U5" s="1547"/>
      <c r="V5" s="1547"/>
      <c r="W5" s="1547"/>
      <c r="X5" s="1547"/>
      <c r="Y5" s="1547"/>
      <c r="Z5" s="1547"/>
    </row>
    <row r="6" spans="1:26">
      <c r="A6" s="1543"/>
      <c r="B6" s="1545"/>
      <c r="C6" s="1545"/>
      <c r="D6" s="1545"/>
      <c r="E6" s="1547" t="s">
        <v>88</v>
      </c>
      <c r="F6" s="1547"/>
      <c r="G6" s="1547"/>
      <c r="H6" s="1547"/>
      <c r="I6" s="1547" t="s">
        <v>28</v>
      </c>
      <c r="J6" s="1547"/>
      <c r="K6" s="1547"/>
      <c r="L6" s="1547"/>
      <c r="M6" s="1547" t="s">
        <v>20</v>
      </c>
      <c r="N6" s="1547"/>
      <c r="O6" s="1547"/>
      <c r="P6" s="1547"/>
      <c r="Q6" s="1547"/>
      <c r="R6" s="1547"/>
      <c r="S6" s="1547" t="s">
        <v>18</v>
      </c>
      <c r="T6" s="1547"/>
      <c r="U6" s="1547" t="s">
        <v>5</v>
      </c>
      <c r="V6" s="1547"/>
      <c r="W6" s="1547" t="s">
        <v>21</v>
      </c>
      <c r="X6" s="1547"/>
      <c r="Y6" s="1548" t="s">
        <v>17</v>
      </c>
      <c r="Z6" s="1548"/>
    </row>
    <row r="7" spans="1:26">
      <c r="A7" s="1543"/>
      <c r="B7" s="1545"/>
      <c r="C7" s="1545"/>
      <c r="D7" s="1545"/>
      <c r="E7" s="1547" t="s">
        <v>89</v>
      </c>
      <c r="F7" s="1547"/>
      <c r="G7" s="1547" t="s">
        <v>27</v>
      </c>
      <c r="H7" s="1547"/>
      <c r="I7" s="1547" t="s">
        <v>63</v>
      </c>
      <c r="J7" s="1547"/>
      <c r="K7" s="1547" t="s">
        <v>29</v>
      </c>
      <c r="L7" s="1547"/>
      <c r="M7" s="1547" t="s">
        <v>90</v>
      </c>
      <c r="N7" s="1547"/>
      <c r="O7" s="307"/>
      <c r="P7" s="307"/>
      <c r="Q7" s="1547" t="s">
        <v>91</v>
      </c>
      <c r="R7" s="1547"/>
      <c r="S7" s="1547"/>
      <c r="T7" s="1547"/>
      <c r="U7" s="1547"/>
      <c r="V7" s="1547"/>
      <c r="W7" s="1547"/>
      <c r="X7" s="1547"/>
      <c r="Y7" s="1548"/>
      <c r="Z7" s="1548"/>
    </row>
    <row r="8" spans="1:26">
      <c r="A8" s="1543"/>
      <c r="B8" s="1545"/>
      <c r="C8" s="1545"/>
      <c r="D8" s="1545"/>
      <c r="E8" s="307" t="s">
        <v>33</v>
      </c>
      <c r="F8" s="307" t="s">
        <v>38</v>
      </c>
      <c r="G8" s="307" t="s">
        <v>33</v>
      </c>
      <c r="H8" s="307" t="s">
        <v>38</v>
      </c>
      <c r="I8" s="307" t="s">
        <v>33</v>
      </c>
      <c r="J8" s="307" t="s">
        <v>38</v>
      </c>
      <c r="K8" s="307" t="s">
        <v>33</v>
      </c>
      <c r="L8" s="307" t="s">
        <v>38</v>
      </c>
      <c r="M8" s="307" t="s">
        <v>33</v>
      </c>
      <c r="N8" s="307" t="s">
        <v>38</v>
      </c>
      <c r="O8" s="307"/>
      <c r="P8" s="307"/>
      <c r="Q8" s="307" t="s">
        <v>33</v>
      </c>
      <c r="R8" s="307" t="s">
        <v>38</v>
      </c>
      <c r="S8" s="307" t="s">
        <v>33</v>
      </c>
      <c r="T8" s="307" t="s">
        <v>38</v>
      </c>
      <c r="U8" s="307" t="s">
        <v>33</v>
      </c>
      <c r="V8" s="307" t="s">
        <v>38</v>
      </c>
      <c r="W8" s="307" t="s">
        <v>33</v>
      </c>
      <c r="X8" s="307" t="s">
        <v>38</v>
      </c>
      <c r="Y8" s="308" t="s">
        <v>92</v>
      </c>
      <c r="Z8" s="308" t="s">
        <v>38</v>
      </c>
    </row>
    <row r="9" spans="1:26">
      <c r="A9" s="1544"/>
      <c r="B9" s="1546"/>
      <c r="C9" s="1546"/>
      <c r="D9" s="1546"/>
      <c r="E9" s="307">
        <v>1</v>
      </c>
      <c r="F9" s="307">
        <v>2</v>
      </c>
      <c r="G9" s="307">
        <v>3</v>
      </c>
      <c r="H9" s="307">
        <v>4</v>
      </c>
      <c r="I9" s="307">
        <v>5</v>
      </c>
      <c r="J9" s="307">
        <v>6</v>
      </c>
      <c r="K9" s="307">
        <v>7</v>
      </c>
      <c r="L9" s="307">
        <v>8</v>
      </c>
      <c r="M9" s="307">
        <v>9</v>
      </c>
      <c r="N9" s="307">
        <v>10</v>
      </c>
      <c r="O9" s="307"/>
      <c r="P9" s="307"/>
      <c r="Q9" s="307">
        <v>11</v>
      </c>
      <c r="R9" s="307">
        <v>12</v>
      </c>
      <c r="S9" s="307">
        <v>13</v>
      </c>
      <c r="T9" s="307">
        <v>14</v>
      </c>
      <c r="U9" s="307">
        <v>15</v>
      </c>
      <c r="V9" s="307">
        <v>16</v>
      </c>
      <c r="W9" s="307">
        <v>17</v>
      </c>
      <c r="X9" s="307">
        <v>18</v>
      </c>
      <c r="Y9" s="308">
        <v>19</v>
      </c>
      <c r="Z9" s="308">
        <v>20</v>
      </c>
    </row>
    <row r="10" spans="1:26">
      <c r="A10" s="309">
        <v>1</v>
      </c>
      <c r="B10" s="1549" t="s">
        <v>93</v>
      </c>
      <c r="C10" s="1552" t="s">
        <v>94</v>
      </c>
      <c r="D10" s="1552"/>
      <c r="E10" s="310">
        <v>151197.37599999999</v>
      </c>
      <c r="F10" s="310">
        <v>4263.3540000000003</v>
      </c>
      <c r="G10" s="310">
        <v>26378.528999999999</v>
      </c>
      <c r="H10" s="310">
        <v>629.73</v>
      </c>
      <c r="I10" s="310">
        <v>525.80600000000004</v>
      </c>
      <c r="J10" s="310">
        <v>37.271000000000001</v>
      </c>
      <c r="K10" s="310">
        <v>0</v>
      </c>
      <c r="L10" s="310">
        <v>0</v>
      </c>
      <c r="M10" s="310">
        <v>0</v>
      </c>
      <c r="N10" s="310">
        <v>0</v>
      </c>
      <c r="O10" s="310"/>
      <c r="P10" s="310"/>
      <c r="Q10" s="310">
        <v>8086.6409999999996</v>
      </c>
      <c r="R10" s="310">
        <v>481.61</v>
      </c>
      <c r="S10" s="310">
        <v>671.2</v>
      </c>
      <c r="T10" s="310">
        <v>0</v>
      </c>
      <c r="U10" s="310">
        <v>2164.8620000000001</v>
      </c>
      <c r="V10" s="310">
        <v>1381.62</v>
      </c>
      <c r="W10" s="311">
        <v>3347.2049999999999</v>
      </c>
      <c r="X10" s="311">
        <v>799.13699999999994</v>
      </c>
      <c r="Y10" s="312">
        <v>192371.61900000001</v>
      </c>
      <c r="Z10" s="312">
        <v>7592.7219999999998</v>
      </c>
    </row>
    <row r="11" spans="1:26">
      <c r="A11" s="309">
        <v>2</v>
      </c>
      <c r="B11" s="1550"/>
      <c r="C11" s="1552" t="s">
        <v>95</v>
      </c>
      <c r="D11" s="1552"/>
      <c r="E11" s="310">
        <v>3246.0309999999999</v>
      </c>
      <c r="F11" s="310">
        <v>5166.0280000000002</v>
      </c>
      <c r="G11" s="310">
        <v>2035.3340000000001</v>
      </c>
      <c r="H11" s="310">
        <v>1421.02</v>
      </c>
      <c r="I11" s="310">
        <v>2505.04</v>
      </c>
      <c r="J11" s="310">
        <v>1142.952</v>
      </c>
      <c r="K11" s="310">
        <v>0</v>
      </c>
      <c r="L11" s="310">
        <v>0</v>
      </c>
      <c r="M11" s="310">
        <v>0</v>
      </c>
      <c r="N11" s="310">
        <v>0</v>
      </c>
      <c r="O11" s="310"/>
      <c r="P11" s="310"/>
      <c r="Q11" s="310">
        <v>574.28599999999994</v>
      </c>
      <c r="R11" s="310">
        <v>4714.152</v>
      </c>
      <c r="S11" s="310">
        <v>67.900000000000006</v>
      </c>
      <c r="T11" s="310">
        <v>0</v>
      </c>
      <c r="U11" s="310">
        <v>234.036</v>
      </c>
      <c r="V11" s="310">
        <v>6495.1220000000003</v>
      </c>
      <c r="W11" s="311">
        <v>8905.8909999999996</v>
      </c>
      <c r="X11" s="311">
        <v>4345.3919999999998</v>
      </c>
      <c r="Y11" s="312">
        <v>17568.518</v>
      </c>
      <c r="Z11" s="312">
        <v>23284.666000000001</v>
      </c>
    </row>
    <row r="12" spans="1:26">
      <c r="A12" s="309">
        <v>3</v>
      </c>
      <c r="B12" s="1551"/>
      <c r="C12" s="1552" t="s">
        <v>37</v>
      </c>
      <c r="D12" s="1552"/>
      <c r="E12" s="310">
        <v>85450.085999999996</v>
      </c>
      <c r="F12" s="310">
        <v>1309.5940000000001</v>
      </c>
      <c r="G12" s="310">
        <v>2372.0340000000001</v>
      </c>
      <c r="H12" s="310">
        <v>97.25</v>
      </c>
      <c r="I12" s="310">
        <v>1461.02</v>
      </c>
      <c r="J12" s="310">
        <v>4</v>
      </c>
      <c r="K12" s="310">
        <v>0</v>
      </c>
      <c r="L12" s="310">
        <v>0</v>
      </c>
      <c r="M12" s="310">
        <v>0</v>
      </c>
      <c r="N12" s="310">
        <v>0</v>
      </c>
      <c r="O12" s="310"/>
      <c r="P12" s="310"/>
      <c r="Q12" s="310">
        <v>10027.084999999999</v>
      </c>
      <c r="R12" s="310">
        <v>778.87800000000004</v>
      </c>
      <c r="S12" s="310">
        <v>974.20399999999995</v>
      </c>
      <c r="T12" s="310">
        <v>0</v>
      </c>
      <c r="U12" s="310">
        <v>8817.7189999999991</v>
      </c>
      <c r="V12" s="310">
        <v>753.61500000000001</v>
      </c>
      <c r="W12" s="311">
        <v>5582.0910000000003</v>
      </c>
      <c r="X12" s="311">
        <v>775.28</v>
      </c>
      <c r="Y12" s="312">
        <v>114684.239</v>
      </c>
      <c r="Z12" s="312">
        <v>3718.6170000000002</v>
      </c>
    </row>
    <row r="13" spans="1:26">
      <c r="A13" s="309">
        <v>4</v>
      </c>
      <c r="B13" s="1553" t="s">
        <v>8</v>
      </c>
      <c r="C13" s="1553"/>
      <c r="D13" s="1553"/>
      <c r="E13" s="310">
        <v>0</v>
      </c>
      <c r="F13" s="310">
        <v>0</v>
      </c>
      <c r="G13" s="310">
        <v>0</v>
      </c>
      <c r="H13" s="310">
        <v>0</v>
      </c>
      <c r="I13" s="310">
        <v>0</v>
      </c>
      <c r="J13" s="310">
        <v>0</v>
      </c>
      <c r="K13" s="310">
        <v>0</v>
      </c>
      <c r="L13" s="310">
        <v>0</v>
      </c>
      <c r="M13" s="310">
        <v>0</v>
      </c>
      <c r="N13" s="310">
        <v>0</v>
      </c>
      <c r="O13" s="310"/>
      <c r="P13" s="310"/>
      <c r="Q13" s="310">
        <v>0</v>
      </c>
      <c r="R13" s="310">
        <v>0</v>
      </c>
      <c r="S13" s="310">
        <v>0</v>
      </c>
      <c r="T13" s="310">
        <v>0</v>
      </c>
      <c r="U13" s="310">
        <v>0</v>
      </c>
      <c r="V13" s="310">
        <v>0</v>
      </c>
      <c r="W13" s="311">
        <v>0</v>
      </c>
      <c r="X13" s="311">
        <v>0</v>
      </c>
      <c r="Y13" s="312">
        <v>0</v>
      </c>
      <c r="Z13" s="312">
        <v>0</v>
      </c>
    </row>
    <row r="14" spans="1:26">
      <c r="A14" s="309">
        <v>5</v>
      </c>
      <c r="B14" s="1553" t="s">
        <v>25</v>
      </c>
      <c r="C14" s="1553"/>
      <c r="D14" s="1553"/>
      <c r="E14" s="310">
        <v>0</v>
      </c>
      <c r="F14" s="310">
        <v>0</v>
      </c>
      <c r="G14" s="310">
        <v>0</v>
      </c>
      <c r="H14" s="310">
        <v>0</v>
      </c>
      <c r="I14" s="310">
        <v>0</v>
      </c>
      <c r="J14" s="310">
        <v>0</v>
      </c>
      <c r="K14" s="310">
        <v>0</v>
      </c>
      <c r="L14" s="310">
        <v>0</v>
      </c>
      <c r="M14" s="310">
        <v>0</v>
      </c>
      <c r="N14" s="310">
        <v>0</v>
      </c>
      <c r="O14" s="310"/>
      <c r="P14" s="310"/>
      <c r="Q14" s="310">
        <v>0</v>
      </c>
      <c r="R14" s="310">
        <v>0</v>
      </c>
      <c r="S14" s="311">
        <v>0</v>
      </c>
      <c r="T14" s="311">
        <v>0</v>
      </c>
      <c r="U14" s="311">
        <v>0</v>
      </c>
      <c r="V14" s="311">
        <v>0</v>
      </c>
      <c r="W14" s="311">
        <v>0</v>
      </c>
      <c r="X14" s="311">
        <v>0</v>
      </c>
      <c r="Y14" s="312">
        <v>0</v>
      </c>
      <c r="Z14" s="312">
        <v>0</v>
      </c>
    </row>
    <row r="15" spans="1:26" ht="15.75">
      <c r="A15" s="313">
        <v>6</v>
      </c>
      <c r="B15" s="1554" t="s">
        <v>17</v>
      </c>
      <c r="C15" s="1555"/>
      <c r="D15" s="1556"/>
      <c r="E15" s="314">
        <f>SUM(E10:E14)</f>
        <v>239893.49299999996</v>
      </c>
      <c r="F15" s="314">
        <f t="shared" ref="F15:Z15" si="0">SUM(F10:F14)</f>
        <v>10738.976000000002</v>
      </c>
      <c r="G15" s="314">
        <f t="shared" si="0"/>
        <v>30785.896999999997</v>
      </c>
      <c r="H15" s="314">
        <f t="shared" si="0"/>
        <v>2148</v>
      </c>
      <c r="I15" s="314">
        <f t="shared" si="0"/>
        <v>4491.866</v>
      </c>
      <c r="J15" s="314">
        <f t="shared" si="0"/>
        <v>1184.223</v>
      </c>
      <c r="K15" s="314">
        <f t="shared" si="0"/>
        <v>0</v>
      </c>
      <c r="L15" s="314">
        <f t="shared" si="0"/>
        <v>0</v>
      </c>
      <c r="M15" s="314">
        <f t="shared" si="0"/>
        <v>0</v>
      </c>
      <c r="N15" s="314">
        <f t="shared" si="0"/>
        <v>0</v>
      </c>
      <c r="O15" s="314"/>
      <c r="P15" s="314"/>
      <c r="Q15" s="314">
        <f t="shared" si="0"/>
        <v>18688.011999999999</v>
      </c>
      <c r="R15" s="314">
        <f t="shared" si="0"/>
        <v>5974.6399999999994</v>
      </c>
      <c r="S15" s="315">
        <f t="shared" si="0"/>
        <v>1713.3040000000001</v>
      </c>
      <c r="T15" s="315">
        <f t="shared" si="0"/>
        <v>0</v>
      </c>
      <c r="U15" s="315">
        <f t="shared" si="0"/>
        <v>11216.616999999998</v>
      </c>
      <c r="V15" s="315">
        <f t="shared" si="0"/>
        <v>8630.357</v>
      </c>
      <c r="W15" s="315">
        <f t="shared" si="0"/>
        <v>17835.186999999998</v>
      </c>
      <c r="X15" s="315">
        <f t="shared" si="0"/>
        <v>5919.8089999999993</v>
      </c>
      <c r="Y15" s="316">
        <f t="shared" si="0"/>
        <v>324624.37600000005</v>
      </c>
      <c r="Z15" s="317">
        <f t="shared" si="0"/>
        <v>34596.004999999997</v>
      </c>
    </row>
    <row r="16" spans="1:26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</row>
    <row r="17" spans="1:26" ht="15.75">
      <c r="A17" s="1541" t="s">
        <v>96</v>
      </c>
      <c r="B17" s="1542"/>
      <c r="C17" s="1542"/>
      <c r="D17" s="1542"/>
      <c r="E17" s="1542"/>
      <c r="F17" s="1542"/>
      <c r="G17" s="1542"/>
      <c r="H17" s="1542"/>
      <c r="I17" s="1542"/>
      <c r="J17" s="1542"/>
      <c r="K17" s="1542"/>
      <c r="L17" s="1542"/>
      <c r="M17" s="1542"/>
      <c r="N17" s="1542"/>
      <c r="O17" s="1542"/>
      <c r="P17" s="1542"/>
      <c r="Q17" s="1542"/>
      <c r="R17" s="1542"/>
      <c r="S17" s="1542"/>
      <c r="T17" s="1542"/>
      <c r="U17" s="1542"/>
      <c r="V17" s="1542"/>
      <c r="W17" s="1542"/>
      <c r="X17" s="1542"/>
      <c r="Y17" s="1542"/>
      <c r="Z17" s="1542"/>
    </row>
    <row r="18" spans="1:26">
      <c r="A18" s="318"/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20" t="s">
        <v>86</v>
      </c>
      <c r="N18" s="304"/>
      <c r="O18" s="304"/>
      <c r="P18" s="304"/>
      <c r="Q18" s="304"/>
      <c r="R18" s="304"/>
      <c r="S18" s="304"/>
      <c r="T18" s="304"/>
      <c r="U18" s="304"/>
      <c r="V18" s="304"/>
      <c r="W18" s="321"/>
      <c r="X18" s="321"/>
      <c r="Y18" s="322"/>
      <c r="Z18" s="322"/>
    </row>
    <row r="19" spans="1:26">
      <c r="A19" s="1543" t="s">
        <v>87</v>
      </c>
      <c r="B19" s="1547" t="s">
        <v>7</v>
      </c>
      <c r="C19" s="1547"/>
      <c r="D19" s="1547"/>
      <c r="E19" s="1557" t="s">
        <v>24</v>
      </c>
      <c r="F19" s="1557"/>
      <c r="G19" s="1557"/>
      <c r="H19" s="1547" t="s">
        <v>97</v>
      </c>
      <c r="I19" s="1547"/>
      <c r="J19" s="1547"/>
      <c r="K19" s="1557" t="s">
        <v>17</v>
      </c>
      <c r="L19" s="1557"/>
      <c r="M19" s="1557"/>
      <c r="N19" s="304"/>
      <c r="O19" s="304"/>
      <c r="P19" s="304"/>
      <c r="Q19" s="304"/>
      <c r="R19" s="304"/>
      <c r="S19" s="304"/>
      <c r="T19" s="304"/>
      <c r="U19" s="304"/>
      <c r="V19" s="304"/>
      <c r="W19" s="321"/>
      <c r="X19" s="321"/>
      <c r="Y19" s="322"/>
      <c r="Z19" s="322"/>
    </row>
    <row r="20" spans="1:26" ht="45">
      <c r="A20" s="1543"/>
      <c r="B20" s="1547"/>
      <c r="C20" s="1547"/>
      <c r="D20" s="1547"/>
      <c r="E20" s="307" t="s">
        <v>66</v>
      </c>
      <c r="F20" s="307" t="s">
        <v>33</v>
      </c>
      <c r="G20" s="307" t="s">
        <v>23</v>
      </c>
      <c r="H20" s="307" t="s">
        <v>22</v>
      </c>
      <c r="I20" s="307" t="s">
        <v>33</v>
      </c>
      <c r="J20" s="307" t="s">
        <v>23</v>
      </c>
      <c r="K20" s="307" t="s">
        <v>22</v>
      </c>
      <c r="L20" s="323" t="s">
        <v>33</v>
      </c>
      <c r="M20" s="307" t="s">
        <v>23</v>
      </c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</row>
    <row r="21" spans="1:26" ht="30">
      <c r="A21" s="1543"/>
      <c r="B21" s="1547"/>
      <c r="C21" s="1547"/>
      <c r="D21" s="1547"/>
      <c r="E21" s="307">
        <v>1</v>
      </c>
      <c r="F21" s="307">
        <v>2</v>
      </c>
      <c r="G21" s="307" t="s">
        <v>47</v>
      </c>
      <c r="H21" s="307">
        <v>4</v>
      </c>
      <c r="I21" s="307">
        <v>5</v>
      </c>
      <c r="J21" s="307" t="s">
        <v>98</v>
      </c>
      <c r="K21" s="307">
        <v>7</v>
      </c>
      <c r="L21" s="323">
        <v>8</v>
      </c>
      <c r="M21" s="307" t="s">
        <v>99</v>
      </c>
      <c r="N21" s="324"/>
      <c r="O21" s="324"/>
      <c r="P21" s="324"/>
      <c r="Q21" s="304"/>
      <c r="R21" s="304"/>
      <c r="S21" s="304"/>
      <c r="T21" s="304"/>
      <c r="U21" s="324"/>
      <c r="V21" s="324"/>
      <c r="W21" s="324"/>
      <c r="X21" s="324"/>
      <c r="Y21" s="324"/>
      <c r="Z21" s="324"/>
    </row>
    <row r="22" spans="1:26">
      <c r="A22" s="309">
        <v>1</v>
      </c>
      <c r="B22" s="1549" t="s">
        <v>93</v>
      </c>
      <c r="C22" s="1558" t="s">
        <v>100</v>
      </c>
      <c r="D22" s="325" t="s">
        <v>101</v>
      </c>
      <c r="E22" s="326">
        <v>26.82</v>
      </c>
      <c r="F22" s="310">
        <v>16145.844999999999</v>
      </c>
      <c r="G22" s="327">
        <f t="shared" ref="G22:G32" si="1">IF(AND(ISNUMBER(E22),E22&gt;0),F22/(12*E22),0)</f>
        <v>50.167303629132483</v>
      </c>
      <c r="H22" s="326">
        <v>2.02</v>
      </c>
      <c r="I22" s="310">
        <v>1410.866</v>
      </c>
      <c r="J22" s="327">
        <f t="shared" ref="J22:J32" si="2">IF(AND(ISNUMBER(H22),H22&gt;0),I22/(12*H22),0)</f>
        <v>58.204042904290425</v>
      </c>
      <c r="K22" s="328">
        <f t="shared" ref="K22:L31" si="3">SUM(E22,H22)</f>
        <v>28.84</v>
      </c>
      <c r="L22" s="329">
        <f t="shared" si="3"/>
        <v>17556.710999999999</v>
      </c>
      <c r="M22" s="327">
        <f t="shared" ref="M22:M32" si="4">IF(AND(ISNUMBER(K22),K22&gt;0),L22/(12*K22),0)</f>
        <v>50.730209778085992</v>
      </c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</row>
    <row r="23" spans="1:26">
      <c r="A23" s="309">
        <v>2</v>
      </c>
      <c r="B23" s="1550"/>
      <c r="C23" s="1559"/>
      <c r="D23" s="325" t="s">
        <v>102</v>
      </c>
      <c r="E23" s="326">
        <v>90.24</v>
      </c>
      <c r="F23" s="310">
        <v>54118.671999999999</v>
      </c>
      <c r="G23" s="327">
        <f t="shared" si="1"/>
        <v>49.976610520094567</v>
      </c>
      <c r="H23" s="326">
        <v>6.21</v>
      </c>
      <c r="I23" s="310">
        <v>3940.6570000000002</v>
      </c>
      <c r="J23" s="327">
        <f t="shared" si="2"/>
        <v>52.880528717122928</v>
      </c>
      <c r="K23" s="328">
        <f t="shared" si="3"/>
        <v>96.449999999999989</v>
      </c>
      <c r="L23" s="329">
        <f t="shared" si="3"/>
        <v>58059.328999999998</v>
      </c>
      <c r="M23" s="327">
        <f t="shared" si="4"/>
        <v>50.163581302920342</v>
      </c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</row>
    <row r="24" spans="1:26">
      <c r="A24" s="309">
        <v>3</v>
      </c>
      <c r="B24" s="1550"/>
      <c r="C24" s="1559"/>
      <c r="D24" s="325" t="s">
        <v>103</v>
      </c>
      <c r="E24" s="326">
        <v>249.22</v>
      </c>
      <c r="F24" s="310">
        <v>101258.7</v>
      </c>
      <c r="G24" s="327">
        <f t="shared" si="1"/>
        <v>33.858538640558542</v>
      </c>
      <c r="H24" s="326">
        <v>10.8</v>
      </c>
      <c r="I24" s="310">
        <v>6804.4110000000001</v>
      </c>
      <c r="J24" s="327">
        <f t="shared" si="2"/>
        <v>52.503171296296287</v>
      </c>
      <c r="K24" s="328">
        <f t="shared" si="3"/>
        <v>260.02</v>
      </c>
      <c r="L24" s="329">
        <f t="shared" si="3"/>
        <v>108063.111</v>
      </c>
      <c r="M24" s="327">
        <f t="shared" si="4"/>
        <v>34.632948427044077</v>
      </c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</row>
    <row r="25" spans="1:26">
      <c r="A25" s="309">
        <v>4</v>
      </c>
      <c r="B25" s="1550"/>
      <c r="C25" s="1559"/>
      <c r="D25" s="325" t="s">
        <v>104</v>
      </c>
      <c r="E25" s="326">
        <v>5.81</v>
      </c>
      <c r="F25" s="310">
        <v>1970.7750000000001</v>
      </c>
      <c r="G25" s="327">
        <f t="shared" si="1"/>
        <v>28.266996557659208</v>
      </c>
      <c r="H25" s="326">
        <v>0.13</v>
      </c>
      <c r="I25" s="310">
        <v>132.84399999999999</v>
      </c>
      <c r="J25" s="327">
        <f t="shared" si="2"/>
        <v>85.156410256410254</v>
      </c>
      <c r="K25" s="328">
        <f t="shared" si="3"/>
        <v>5.9399999999999995</v>
      </c>
      <c r="L25" s="329">
        <f t="shared" si="3"/>
        <v>2103.6190000000001</v>
      </c>
      <c r="M25" s="327">
        <f t="shared" si="4"/>
        <v>29.512051066217733</v>
      </c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</row>
    <row r="26" spans="1:26">
      <c r="A26" s="309">
        <v>5</v>
      </c>
      <c r="B26" s="1550"/>
      <c r="C26" s="1559"/>
      <c r="D26" s="325" t="s">
        <v>105</v>
      </c>
      <c r="E26" s="326">
        <v>15.31</v>
      </c>
      <c r="F26" s="310">
        <v>4753.1130000000003</v>
      </c>
      <c r="G26" s="327">
        <f t="shared" si="1"/>
        <v>25.871505551926848</v>
      </c>
      <c r="H26" s="326">
        <v>0.24</v>
      </c>
      <c r="I26" s="310">
        <v>195.75399999999999</v>
      </c>
      <c r="J26" s="327">
        <f t="shared" si="2"/>
        <v>67.970138888888883</v>
      </c>
      <c r="K26" s="328">
        <f t="shared" si="3"/>
        <v>15.55</v>
      </c>
      <c r="L26" s="329">
        <f t="shared" si="3"/>
        <v>4948.8670000000002</v>
      </c>
      <c r="M26" s="327">
        <f t="shared" si="4"/>
        <v>26.521259378349409</v>
      </c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</row>
    <row r="27" spans="1:26" s="28" customFormat="1">
      <c r="A27" s="309"/>
      <c r="B27" s="1550"/>
      <c r="C27" s="1559"/>
      <c r="D27" s="325"/>
      <c r="E27" s="326"/>
      <c r="F27" s="310"/>
      <c r="G27" s="327"/>
      <c r="H27" s="326"/>
      <c r="I27" s="310"/>
      <c r="J27" s="327"/>
      <c r="K27" s="328"/>
      <c r="L27" s="329"/>
      <c r="M27" s="327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</row>
    <row r="28" spans="1:26">
      <c r="A28" s="309">
        <v>6</v>
      </c>
      <c r="B28" s="1550"/>
      <c r="C28" s="1560"/>
      <c r="D28" s="325" t="s">
        <v>17</v>
      </c>
      <c r="E28" s="328">
        <f>SUM(E22:E26)</f>
        <v>387.4</v>
      </c>
      <c r="F28" s="329">
        <v>178247.10500000001</v>
      </c>
      <c r="G28" s="327">
        <f t="shared" si="1"/>
        <v>38.342605618654282</v>
      </c>
      <c r="H28" s="328">
        <f>SUM(H22:H26)</f>
        <v>19.399999999999999</v>
      </c>
      <c r="I28" s="329">
        <v>12484.531999999999</v>
      </c>
      <c r="J28" s="327">
        <f t="shared" si="2"/>
        <v>53.627714776632303</v>
      </c>
      <c r="K28" s="328">
        <f t="shared" si="3"/>
        <v>406.79999999999995</v>
      </c>
      <c r="L28" s="329">
        <f t="shared" si="3"/>
        <v>190731.63700000002</v>
      </c>
      <c r="M28" s="327">
        <f t="shared" si="4"/>
        <v>39.071541502785976</v>
      </c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</row>
    <row r="29" spans="1:26">
      <c r="A29" s="309">
        <v>7</v>
      </c>
      <c r="B29" s="1550"/>
      <c r="C29" s="1561" t="s">
        <v>106</v>
      </c>
      <c r="D29" s="1561"/>
      <c r="E29" s="326">
        <v>10.57</v>
      </c>
      <c r="F29" s="310">
        <v>5349.2650000000003</v>
      </c>
      <c r="G29" s="327">
        <f t="shared" si="1"/>
        <v>42.173328602964368</v>
      </c>
      <c r="H29" s="326">
        <v>30.71</v>
      </c>
      <c r="I29" s="310">
        <v>12219.253000000001</v>
      </c>
      <c r="J29" s="327">
        <f t="shared" si="2"/>
        <v>33.157638662759148</v>
      </c>
      <c r="K29" s="328">
        <f t="shared" si="3"/>
        <v>41.28</v>
      </c>
      <c r="L29" s="329">
        <f t="shared" si="3"/>
        <v>17568.518</v>
      </c>
      <c r="M29" s="327">
        <f t="shared" si="4"/>
        <v>35.466161983204131</v>
      </c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</row>
    <row r="30" spans="1:26">
      <c r="A30" s="309">
        <v>8</v>
      </c>
      <c r="B30" s="1551"/>
      <c r="C30" s="1562" t="s">
        <v>107</v>
      </c>
      <c r="D30" s="1562"/>
      <c r="E30" s="326">
        <v>308.27</v>
      </c>
      <c r="F30" s="310">
        <v>88796.323999999993</v>
      </c>
      <c r="G30" s="327">
        <f t="shared" si="1"/>
        <v>24.003937024902413</v>
      </c>
      <c r="H30" s="326">
        <v>97.38</v>
      </c>
      <c r="I30" s="310">
        <v>27527.897000000001</v>
      </c>
      <c r="J30" s="327">
        <f t="shared" si="2"/>
        <v>23.557110460738006</v>
      </c>
      <c r="K30" s="328">
        <f t="shared" si="3"/>
        <v>405.65</v>
      </c>
      <c r="L30" s="329">
        <f t="shared" si="3"/>
        <v>116324.22099999999</v>
      </c>
      <c r="M30" s="327">
        <f t="shared" si="4"/>
        <v>23.896672213320187</v>
      </c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</row>
    <row r="31" spans="1:26">
      <c r="A31" s="309">
        <v>9</v>
      </c>
      <c r="B31" s="1553" t="s">
        <v>8</v>
      </c>
      <c r="C31" s="1553"/>
      <c r="D31" s="1553"/>
      <c r="E31" s="326"/>
      <c r="F31" s="310"/>
      <c r="G31" s="327">
        <f t="shared" si="1"/>
        <v>0</v>
      </c>
      <c r="H31" s="326"/>
      <c r="I31" s="310"/>
      <c r="J31" s="327">
        <f t="shared" si="2"/>
        <v>0</v>
      </c>
      <c r="K31" s="328">
        <f t="shared" si="3"/>
        <v>0</v>
      </c>
      <c r="L31" s="329">
        <f t="shared" si="3"/>
        <v>0</v>
      </c>
      <c r="M31" s="327">
        <f t="shared" si="4"/>
        <v>0</v>
      </c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</row>
    <row r="32" spans="1:26">
      <c r="A32" s="309">
        <v>10</v>
      </c>
      <c r="B32" s="1553" t="s">
        <v>25</v>
      </c>
      <c r="C32" s="1553"/>
      <c r="D32" s="1553"/>
      <c r="E32" s="326"/>
      <c r="F32" s="310"/>
      <c r="G32" s="327">
        <f t="shared" si="1"/>
        <v>0</v>
      </c>
      <c r="H32" s="326"/>
      <c r="I32" s="310"/>
      <c r="J32" s="327">
        <f t="shared" si="2"/>
        <v>0</v>
      </c>
      <c r="K32" s="328">
        <f>SUM(E32,H32)</f>
        <v>0</v>
      </c>
      <c r="L32" s="329">
        <f>SUM(F32,I32)</f>
        <v>0</v>
      </c>
      <c r="M32" s="327">
        <f t="shared" si="4"/>
        <v>0</v>
      </c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</row>
    <row r="33" spans="1:26" ht="15.75">
      <c r="A33" s="313">
        <v>11</v>
      </c>
      <c r="B33" s="1554" t="s">
        <v>17</v>
      </c>
      <c r="C33" s="1555"/>
      <c r="D33" s="1556"/>
      <c r="E33" s="330">
        <f t="shared" ref="E33:L33" si="5">SUM(E28:E32)</f>
        <v>706.24</v>
      </c>
      <c r="F33" s="331">
        <f t="shared" si="5"/>
        <v>272392.69400000002</v>
      </c>
      <c r="G33" s="332">
        <f>IF(AND(ISNUMBER(E33),E33&gt;0),F33/(12*E33),0)</f>
        <v>32.14118595189548</v>
      </c>
      <c r="H33" s="330">
        <f t="shared" si="5"/>
        <v>147.49</v>
      </c>
      <c r="I33" s="331">
        <f t="shared" si="5"/>
        <v>52231.682000000001</v>
      </c>
      <c r="J33" s="332">
        <f>IF(AND(ISNUMBER(H33),H33&gt;0),I33/(12*H33),0)</f>
        <v>29.511425633376273</v>
      </c>
      <c r="K33" s="330">
        <f t="shared" si="5"/>
        <v>853.7299999999999</v>
      </c>
      <c r="L33" s="331">
        <f t="shared" si="5"/>
        <v>324624.37600000005</v>
      </c>
      <c r="M33" s="332">
        <f>IF(AND(ISNUMBER(K33),K33&gt;0),L33/(12*K33),0)</f>
        <v>31.686869775377861</v>
      </c>
      <c r="N33" s="304"/>
      <c r="O33" s="304"/>
      <c r="P33" s="304"/>
      <c r="Q33" s="304"/>
      <c r="R33" s="304"/>
      <c r="S33" s="304"/>
      <c r="T33" s="304"/>
      <c r="U33" s="304"/>
      <c r="V33" s="304"/>
      <c r="W33" s="333"/>
      <c r="X33" s="333"/>
      <c r="Y33" s="1363"/>
      <c r="Z33" s="333"/>
    </row>
  </sheetData>
  <mergeCells count="38">
    <mergeCell ref="B33:D33"/>
    <mergeCell ref="B22:B30"/>
    <mergeCell ref="C22:C28"/>
    <mergeCell ref="C29:D29"/>
    <mergeCell ref="C30:D30"/>
    <mergeCell ref="B31:D31"/>
    <mergeCell ref="B32:D32"/>
    <mergeCell ref="B15:D15"/>
    <mergeCell ref="A17:Z17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W6:X7"/>
    <mergeCell ref="Y6:Z7"/>
    <mergeCell ref="E7:F7"/>
    <mergeCell ref="G7:H7"/>
    <mergeCell ref="I7:J7"/>
    <mergeCell ref="K7:L7"/>
    <mergeCell ref="M7:N7"/>
    <mergeCell ref="Q7:R7"/>
    <mergeCell ref="A1:Z1"/>
    <mergeCell ref="A3:Z3"/>
    <mergeCell ref="A5:A9"/>
    <mergeCell ref="B5:D9"/>
    <mergeCell ref="E5:Z5"/>
    <mergeCell ref="E6:H6"/>
    <mergeCell ref="I6:L6"/>
    <mergeCell ref="M6:R6"/>
    <mergeCell ref="S6:T7"/>
    <mergeCell ref="U6:V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70" zoomScaleNormal="70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13" width="13.7109375" customWidth="1"/>
    <col min="14" max="14" width="12" customWidth="1"/>
    <col min="15" max="16" width="12" style="28" customWidth="1"/>
    <col min="17" max="17" width="12.28515625" customWidth="1"/>
    <col min="18" max="18" width="10.28515625" customWidth="1"/>
    <col min="19" max="26" width="13.7109375" customWidth="1"/>
  </cols>
  <sheetData>
    <row r="1" spans="1:26" ht="15.75">
      <c r="A1" s="18" t="s">
        <v>51</v>
      </c>
      <c r="B1" s="20"/>
      <c r="C1" s="20"/>
      <c r="D1" s="20"/>
      <c r="E1" s="20"/>
      <c r="F1" s="20"/>
      <c r="G1" s="20"/>
      <c r="H1" s="20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2"/>
      <c r="X1" s="2"/>
      <c r="Y1" s="3"/>
      <c r="Z1" s="3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49" t="s">
        <v>108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7"/>
      <c r="S4" s="48"/>
      <c r="T4" s="48"/>
      <c r="U4" s="48"/>
      <c r="V4" s="48"/>
      <c r="W4" s="48"/>
      <c r="X4" s="48"/>
      <c r="Y4" s="48"/>
      <c r="Z4" s="65" t="s">
        <v>4</v>
      </c>
    </row>
    <row r="5" spans="1:26" ht="15.75" thickBot="1">
      <c r="A5" s="1563" t="s">
        <v>109</v>
      </c>
      <c r="B5" s="1566" t="s">
        <v>7</v>
      </c>
      <c r="C5" s="1567"/>
      <c r="D5" s="1568"/>
      <c r="E5" s="1428" t="s">
        <v>35</v>
      </c>
      <c r="F5" s="1429"/>
      <c r="G5" s="1429"/>
      <c r="H5" s="1429"/>
      <c r="I5" s="1429"/>
      <c r="J5" s="1429"/>
      <c r="K5" s="1429"/>
      <c r="L5" s="1429"/>
      <c r="M5" s="1429"/>
      <c r="N5" s="1429"/>
      <c r="O5" s="1429"/>
      <c r="P5" s="1429"/>
      <c r="Q5" s="1429"/>
      <c r="R5" s="1429"/>
      <c r="S5" s="1429"/>
      <c r="T5" s="1429"/>
      <c r="U5" s="1429"/>
      <c r="V5" s="1429"/>
      <c r="W5" s="1429"/>
      <c r="X5" s="1429"/>
      <c r="Y5" s="1429"/>
      <c r="Z5" s="1430"/>
    </row>
    <row r="6" spans="1:26">
      <c r="A6" s="1564"/>
      <c r="B6" s="1569"/>
      <c r="C6" s="1570"/>
      <c r="D6" s="1571"/>
      <c r="E6" s="1440" t="s">
        <v>24</v>
      </c>
      <c r="F6" s="1441"/>
      <c r="G6" s="1441"/>
      <c r="H6" s="1442"/>
      <c r="I6" s="1440" t="s">
        <v>28</v>
      </c>
      <c r="J6" s="1441"/>
      <c r="K6" s="1441"/>
      <c r="L6" s="1442"/>
      <c r="M6" s="1440" t="s">
        <v>20</v>
      </c>
      <c r="N6" s="1441"/>
      <c r="O6" s="1441"/>
      <c r="P6" s="1441"/>
      <c r="Q6" s="1441"/>
      <c r="R6" s="1442"/>
      <c r="S6" s="1424" t="s">
        <v>18</v>
      </c>
      <c r="T6" s="1425"/>
      <c r="U6" s="1424" t="s">
        <v>5</v>
      </c>
      <c r="V6" s="1425"/>
      <c r="W6" s="1424" t="s">
        <v>21</v>
      </c>
      <c r="X6" s="1425"/>
      <c r="Y6" s="1455" t="s">
        <v>17</v>
      </c>
      <c r="Z6" s="1456"/>
    </row>
    <row r="7" spans="1:26">
      <c r="A7" s="1564"/>
      <c r="B7" s="1569"/>
      <c r="C7" s="1570"/>
      <c r="D7" s="1571"/>
      <c r="E7" s="1419" t="s">
        <v>19</v>
      </c>
      <c r="F7" s="1420"/>
      <c r="G7" s="1416" t="s">
        <v>27</v>
      </c>
      <c r="H7" s="1417"/>
      <c r="I7" s="1419" t="s">
        <v>73</v>
      </c>
      <c r="J7" s="1420"/>
      <c r="K7" s="1416" t="s">
        <v>29</v>
      </c>
      <c r="L7" s="1417"/>
      <c r="M7" s="1419" t="s">
        <v>59</v>
      </c>
      <c r="N7" s="1420"/>
      <c r="O7" s="1369"/>
      <c r="P7" s="1369"/>
      <c r="Q7" s="1416" t="s">
        <v>31</v>
      </c>
      <c r="R7" s="1417"/>
      <c r="S7" s="1426"/>
      <c r="T7" s="1427"/>
      <c r="U7" s="1426"/>
      <c r="V7" s="1427"/>
      <c r="W7" s="1426"/>
      <c r="X7" s="1427"/>
      <c r="Y7" s="1457"/>
      <c r="Z7" s="1458"/>
    </row>
    <row r="8" spans="1:26" ht="15.75" thickBot="1">
      <c r="A8" s="1564"/>
      <c r="B8" s="1569"/>
      <c r="C8" s="1570"/>
      <c r="D8" s="1571"/>
      <c r="E8" s="15" t="s">
        <v>6</v>
      </c>
      <c r="F8" s="47" t="s">
        <v>38</v>
      </c>
      <c r="G8" s="42" t="s">
        <v>6</v>
      </c>
      <c r="H8" s="44" t="s">
        <v>38</v>
      </c>
      <c r="I8" s="15" t="s">
        <v>6</v>
      </c>
      <c r="J8" s="42" t="s">
        <v>38</v>
      </c>
      <c r="K8" s="42" t="s">
        <v>6</v>
      </c>
      <c r="L8" s="44" t="s">
        <v>38</v>
      </c>
      <c r="M8" s="15" t="s">
        <v>6</v>
      </c>
      <c r="N8" s="42" t="s">
        <v>38</v>
      </c>
      <c r="O8" s="42"/>
      <c r="P8" s="42"/>
      <c r="Q8" s="42" t="s">
        <v>6</v>
      </c>
      <c r="R8" s="44" t="s">
        <v>38</v>
      </c>
      <c r="S8" s="15" t="s">
        <v>6</v>
      </c>
      <c r="T8" s="44" t="s">
        <v>38</v>
      </c>
      <c r="U8" s="15" t="s">
        <v>6</v>
      </c>
      <c r="V8" s="44" t="s">
        <v>38</v>
      </c>
      <c r="W8" s="15" t="s">
        <v>6</v>
      </c>
      <c r="X8" s="44" t="s">
        <v>38</v>
      </c>
      <c r="Y8" s="62" t="s">
        <v>80</v>
      </c>
      <c r="Z8" s="63" t="s">
        <v>38</v>
      </c>
    </row>
    <row r="9" spans="1:26" ht="15.75" thickBot="1">
      <c r="A9" s="1565"/>
      <c r="B9" s="1572"/>
      <c r="C9" s="1413"/>
      <c r="D9" s="1573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0">
        <v>1</v>
      </c>
      <c r="B10" s="1395" t="s">
        <v>30</v>
      </c>
      <c r="C10" s="1452" t="s">
        <v>16</v>
      </c>
      <c r="D10" s="1453"/>
      <c r="E10" s="334">
        <v>622073.9534</v>
      </c>
      <c r="F10" s="335">
        <v>33625.060980000002</v>
      </c>
      <c r="G10" s="336">
        <v>296132.87359999999</v>
      </c>
      <c r="H10" s="337">
        <v>789.14174000000003</v>
      </c>
      <c r="I10" s="334">
        <v>60294.214509999998</v>
      </c>
      <c r="J10" s="336">
        <v>677.77</v>
      </c>
      <c r="K10" s="336">
        <v>17184.171740000002</v>
      </c>
      <c r="L10" s="337">
        <v>2</v>
      </c>
      <c r="M10" s="334">
        <v>22649.716249999998</v>
      </c>
      <c r="N10" s="336">
        <v>304.54000000000002</v>
      </c>
      <c r="O10" s="336"/>
      <c r="P10" s="336"/>
      <c r="Q10" s="336">
        <v>776.50274999999999</v>
      </c>
      <c r="R10" s="337"/>
      <c r="S10" s="334">
        <v>51976.365559999897</v>
      </c>
      <c r="T10" s="337">
        <v>254.73</v>
      </c>
      <c r="U10" s="334">
        <v>6436.0150899999999</v>
      </c>
      <c r="V10" s="337">
        <v>644.7183</v>
      </c>
      <c r="W10" s="338">
        <v>134664.57709999999</v>
      </c>
      <c r="X10" s="339">
        <v>6434.2809800000005</v>
      </c>
      <c r="Y10" s="340">
        <f t="shared" ref="Y10:Z14" si="0">E10+G10+I10+K10+M10+Q10+S10+U10+W10</f>
        <v>1212188.3899999997</v>
      </c>
      <c r="Z10" s="341">
        <f t="shared" si="0"/>
        <v>42732.242000000006</v>
      </c>
    </row>
    <row r="11" spans="1:26">
      <c r="A11" s="30">
        <v>2</v>
      </c>
      <c r="B11" s="1418"/>
      <c r="C11" s="1461" t="s">
        <v>9</v>
      </c>
      <c r="D11" s="1462"/>
      <c r="E11" s="342">
        <v>39453.784899999999</v>
      </c>
      <c r="F11" s="343">
        <v>10631.528200000001</v>
      </c>
      <c r="G11" s="344">
        <v>67177.347099999999</v>
      </c>
      <c r="H11" s="345">
        <v>8645.2038900000007</v>
      </c>
      <c r="I11" s="342">
        <v>58136.64344</v>
      </c>
      <c r="J11" s="344">
        <v>14303.471</v>
      </c>
      <c r="K11" s="344">
        <v>23088.906729999999</v>
      </c>
      <c r="L11" s="345">
        <v>1138.3209999999999</v>
      </c>
      <c r="M11" s="342">
        <v>12483.17345</v>
      </c>
      <c r="N11" s="344">
        <v>2458.1260000000002</v>
      </c>
      <c r="O11" s="344"/>
      <c r="P11" s="344"/>
      <c r="Q11" s="344">
        <v>1436.1019799999999</v>
      </c>
      <c r="R11" s="345"/>
      <c r="S11" s="342">
        <v>2245.0878600000001</v>
      </c>
      <c r="T11" s="345">
        <v>734.16099999999994</v>
      </c>
      <c r="U11" s="342">
        <v>9839.3045199999997</v>
      </c>
      <c r="V11" s="345">
        <v>1474.43416</v>
      </c>
      <c r="W11" s="346">
        <v>39398.124020000003</v>
      </c>
      <c r="X11" s="347">
        <v>10269.54675</v>
      </c>
      <c r="Y11" s="348">
        <f t="shared" si="0"/>
        <v>253258.47399999999</v>
      </c>
      <c r="Z11" s="349">
        <f t="shared" si="0"/>
        <v>49654.792000000009</v>
      </c>
    </row>
    <row r="12" spans="1:26">
      <c r="A12" s="33">
        <v>3</v>
      </c>
      <c r="B12" s="1418"/>
      <c r="C12" s="1405" t="s">
        <v>2</v>
      </c>
      <c r="D12" s="1406"/>
      <c r="E12" s="342">
        <v>464718.41470000002</v>
      </c>
      <c r="F12" s="343">
        <v>17136.936819999999</v>
      </c>
      <c r="G12" s="344">
        <v>110250.23729999999</v>
      </c>
      <c r="H12" s="345">
        <v>3616.7523700000002</v>
      </c>
      <c r="I12" s="342">
        <v>46676.985410000001</v>
      </c>
      <c r="J12" s="344">
        <v>4777.8109199999999</v>
      </c>
      <c r="K12" s="344">
        <v>10909.833790000001</v>
      </c>
      <c r="L12" s="345">
        <v>1275.4059999999999</v>
      </c>
      <c r="M12" s="342">
        <v>21433.539359999999</v>
      </c>
      <c r="N12" s="344">
        <v>1665.5543600000001</v>
      </c>
      <c r="O12" s="344"/>
      <c r="P12" s="344"/>
      <c r="Q12" s="344">
        <v>656.76382999999998</v>
      </c>
      <c r="R12" s="345">
        <v>84.178399999999996</v>
      </c>
      <c r="S12" s="342">
        <v>33897.6878</v>
      </c>
      <c r="T12" s="345">
        <v>957.73895000000005</v>
      </c>
      <c r="U12" s="342">
        <v>18269.398389999998</v>
      </c>
      <c r="V12" s="345">
        <v>3979.75054</v>
      </c>
      <c r="W12" s="346">
        <v>78922.206580000304</v>
      </c>
      <c r="X12" s="347">
        <v>7992.9896399999998</v>
      </c>
      <c r="Y12" s="348">
        <f t="shared" si="0"/>
        <v>785735.06716000021</v>
      </c>
      <c r="Z12" s="349">
        <f t="shared" si="0"/>
        <v>41487.117999999995</v>
      </c>
    </row>
    <row r="13" spans="1:26">
      <c r="A13" s="33">
        <v>4</v>
      </c>
      <c r="B13" s="1463" t="s">
        <v>8</v>
      </c>
      <c r="C13" s="1464"/>
      <c r="D13" s="1465"/>
      <c r="E13" s="342">
        <v>9162.7780000000002</v>
      </c>
      <c r="F13" s="343"/>
      <c r="G13" s="344"/>
      <c r="H13" s="345"/>
      <c r="I13" s="342"/>
      <c r="J13" s="344"/>
      <c r="K13" s="344"/>
      <c r="L13" s="345"/>
      <c r="M13" s="342"/>
      <c r="N13" s="344"/>
      <c r="O13" s="344"/>
      <c r="P13" s="344"/>
      <c r="Q13" s="344"/>
      <c r="R13" s="345"/>
      <c r="S13" s="342"/>
      <c r="T13" s="345"/>
      <c r="U13" s="342">
        <v>6009.5739999999996</v>
      </c>
      <c r="V13" s="345">
        <v>81.935000000000002</v>
      </c>
      <c r="W13" s="346">
        <v>40815.881840000002</v>
      </c>
      <c r="X13" s="347">
        <v>823.37900000000002</v>
      </c>
      <c r="Y13" s="348">
        <f t="shared" si="0"/>
        <v>55988.233840000001</v>
      </c>
      <c r="Z13" s="349">
        <f t="shared" si="0"/>
        <v>905.31400000000008</v>
      </c>
    </row>
    <row r="14" spans="1:26" ht="15.75" thickBot="1">
      <c r="A14" s="36">
        <v>5</v>
      </c>
      <c r="B14" s="1421" t="s">
        <v>25</v>
      </c>
      <c r="C14" s="1422"/>
      <c r="D14" s="1423"/>
      <c r="E14" s="350"/>
      <c r="F14" s="351"/>
      <c r="G14" s="352"/>
      <c r="H14" s="353"/>
      <c r="I14" s="350"/>
      <c r="J14" s="352"/>
      <c r="K14" s="352"/>
      <c r="L14" s="353"/>
      <c r="M14" s="350"/>
      <c r="N14" s="352"/>
      <c r="O14" s="352"/>
      <c r="P14" s="352"/>
      <c r="Q14" s="352"/>
      <c r="R14" s="353"/>
      <c r="S14" s="354"/>
      <c r="T14" s="355"/>
      <c r="U14" s="356"/>
      <c r="V14" s="357"/>
      <c r="W14" s="358"/>
      <c r="X14" s="355"/>
      <c r="Y14" s="359">
        <f t="shared" si="0"/>
        <v>0</v>
      </c>
      <c r="Z14" s="360">
        <f t="shared" si="0"/>
        <v>0</v>
      </c>
    </row>
    <row r="15" spans="1:26" ht="15.75" thickBot="1">
      <c r="A15" s="37">
        <v>6</v>
      </c>
      <c r="B15" s="1399" t="s">
        <v>17</v>
      </c>
      <c r="C15" s="1400"/>
      <c r="D15" s="1401"/>
      <c r="E15" s="361">
        <f>SUM(E10:E14)</f>
        <v>1135408.9309999999</v>
      </c>
      <c r="F15" s="362">
        <f t="shared" ref="F15:Z15" si="1">SUM(F10:F14)</f>
        <v>61393.525999999998</v>
      </c>
      <c r="G15" s="363">
        <f t="shared" si="1"/>
        <v>473560.45799999998</v>
      </c>
      <c r="H15" s="364">
        <f t="shared" si="1"/>
        <v>13051.098</v>
      </c>
      <c r="I15" s="361">
        <f t="shared" si="1"/>
        <v>165107.84336</v>
      </c>
      <c r="J15" s="363">
        <f t="shared" si="1"/>
        <v>19759.051919999998</v>
      </c>
      <c r="K15" s="363">
        <f t="shared" si="1"/>
        <v>51182.912259999997</v>
      </c>
      <c r="L15" s="364">
        <f t="shared" si="1"/>
        <v>2415.7269999999999</v>
      </c>
      <c r="M15" s="361">
        <f t="shared" si="1"/>
        <v>56566.429059999995</v>
      </c>
      <c r="N15" s="363">
        <f t="shared" si="1"/>
        <v>4428.2203600000003</v>
      </c>
      <c r="O15" s="363"/>
      <c r="P15" s="363"/>
      <c r="Q15" s="363">
        <f t="shared" si="1"/>
        <v>2869.3685599999999</v>
      </c>
      <c r="R15" s="364">
        <f t="shared" si="1"/>
        <v>84.178399999999996</v>
      </c>
      <c r="S15" s="365">
        <f t="shared" si="1"/>
        <v>88119.141219999903</v>
      </c>
      <c r="T15" s="366">
        <f t="shared" si="1"/>
        <v>1946.62995</v>
      </c>
      <c r="U15" s="367">
        <f t="shared" si="1"/>
        <v>40554.291999999994</v>
      </c>
      <c r="V15" s="368">
        <f t="shared" si="1"/>
        <v>6180.8380000000006</v>
      </c>
      <c r="W15" s="369">
        <f t="shared" si="1"/>
        <v>293800.78954000026</v>
      </c>
      <c r="X15" s="366">
        <f t="shared" si="1"/>
        <v>25520.196370000001</v>
      </c>
      <c r="Y15" s="370">
        <f t="shared" si="1"/>
        <v>2307170.1649999996</v>
      </c>
      <c r="Z15" s="371">
        <f t="shared" si="1"/>
        <v>134779.46600000001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49" t="s">
        <v>110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"/>
      <c r="W17" s="2"/>
      <c r="X17" s="2"/>
      <c r="Y17" s="3"/>
      <c r="Z17" s="3"/>
    </row>
    <row r="18" spans="1:26" ht="15.75" thickBot="1">
      <c r="A18" s="4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64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2"/>
      <c r="X18" s="2"/>
      <c r="Y18" s="3"/>
      <c r="Z18" s="3"/>
    </row>
    <row r="19" spans="1:26">
      <c r="A19" s="1449" t="s">
        <v>109</v>
      </c>
      <c r="B19" s="1446" t="s">
        <v>7</v>
      </c>
      <c r="C19" s="1446"/>
      <c r="D19" s="1446"/>
      <c r="E19" s="1535" t="s">
        <v>32</v>
      </c>
      <c r="F19" s="1536"/>
      <c r="G19" s="1537"/>
      <c r="H19" s="1440" t="s">
        <v>34</v>
      </c>
      <c r="I19" s="1441"/>
      <c r="J19" s="1442"/>
      <c r="K19" s="1536" t="s">
        <v>17</v>
      </c>
      <c r="L19" s="1536"/>
      <c r="M19" s="1537"/>
      <c r="N19" s="48"/>
      <c r="O19" s="48"/>
      <c r="P19" s="48"/>
      <c r="Q19" s="48"/>
      <c r="R19" s="48"/>
      <c r="S19" s="48"/>
      <c r="T19" s="48"/>
      <c r="U19" s="48"/>
      <c r="V19" s="48"/>
      <c r="W19" s="2"/>
      <c r="X19" s="2"/>
      <c r="Y19" s="3"/>
      <c r="Z19" s="3"/>
    </row>
    <row r="20" spans="1:26" ht="25.5">
      <c r="A20" s="1450"/>
      <c r="B20" s="1447"/>
      <c r="C20" s="1447"/>
      <c r="D20" s="1447"/>
      <c r="E20" s="39" t="s">
        <v>75</v>
      </c>
      <c r="F20" s="31" t="s">
        <v>33</v>
      </c>
      <c r="G20" s="41" t="s">
        <v>23</v>
      </c>
      <c r="H20" s="39" t="s">
        <v>22</v>
      </c>
      <c r="I20" s="31" t="s">
        <v>33</v>
      </c>
      <c r="J20" s="41" t="s">
        <v>23</v>
      </c>
      <c r="K20" s="40" t="s">
        <v>22</v>
      </c>
      <c r="L20" s="25" t="s">
        <v>33</v>
      </c>
      <c r="M20" s="41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451"/>
      <c r="B21" s="1448"/>
      <c r="C21" s="1448"/>
      <c r="D21" s="1448"/>
      <c r="E21" s="15">
        <v>1</v>
      </c>
      <c r="F21" s="42">
        <v>2</v>
      </c>
      <c r="G21" s="44" t="s">
        <v>47</v>
      </c>
      <c r="H21" s="15">
        <v>4</v>
      </c>
      <c r="I21" s="42">
        <v>5</v>
      </c>
      <c r="J21" s="44" t="s">
        <v>48</v>
      </c>
      <c r="K21" s="47">
        <v>7</v>
      </c>
      <c r="L21" s="43">
        <v>8</v>
      </c>
      <c r="M21" s="44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135">
        <v>1</v>
      </c>
      <c r="B22" s="1393" t="s">
        <v>26</v>
      </c>
      <c r="C22" s="1459" t="s">
        <v>76</v>
      </c>
      <c r="D22" s="38" t="s">
        <v>11</v>
      </c>
      <c r="E22" s="68">
        <v>151.095</v>
      </c>
      <c r="F22" s="69">
        <v>213284.54399999999</v>
      </c>
      <c r="G22" s="70">
        <v>117633</v>
      </c>
      <c r="H22" s="68">
        <v>63.498999999999995</v>
      </c>
      <c r="I22" s="69">
        <v>63978.164999999979</v>
      </c>
      <c r="J22" s="70">
        <v>83962</v>
      </c>
      <c r="K22" s="71">
        <f>E22+H22</f>
        <v>214.59399999999999</v>
      </c>
      <c r="L22" s="69">
        <f>F22+I22</f>
        <v>277262.70899999997</v>
      </c>
      <c r="M22" s="70">
        <v>107669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21">
        <v>2</v>
      </c>
      <c r="B23" s="1394"/>
      <c r="C23" s="1459"/>
      <c r="D23" s="133" t="s">
        <v>12</v>
      </c>
      <c r="E23" s="72">
        <v>300.791</v>
      </c>
      <c r="F23" s="67">
        <v>281782.24300000002</v>
      </c>
      <c r="G23" s="74">
        <v>78067</v>
      </c>
      <c r="H23" s="72">
        <v>96.036000000000001</v>
      </c>
      <c r="I23" s="67">
        <v>77399.668000000005</v>
      </c>
      <c r="J23" s="74">
        <v>67162</v>
      </c>
      <c r="K23" s="75">
        <f t="shared" ref="K23:L32" si="2">E23+H23</f>
        <v>396.827</v>
      </c>
      <c r="L23" s="67">
        <f t="shared" si="2"/>
        <v>359181.91100000002</v>
      </c>
      <c r="M23" s="74">
        <v>75428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21">
        <v>3</v>
      </c>
      <c r="B24" s="1394"/>
      <c r="C24" s="1459"/>
      <c r="D24" s="133" t="s">
        <v>13</v>
      </c>
      <c r="E24" s="72">
        <v>507.68900000000002</v>
      </c>
      <c r="F24" s="67">
        <v>306748.80499999999</v>
      </c>
      <c r="G24" s="74">
        <v>50351</v>
      </c>
      <c r="H24" s="72">
        <v>195.05099999999999</v>
      </c>
      <c r="I24" s="67">
        <v>113788.14199999999</v>
      </c>
      <c r="J24" s="74">
        <v>48615</v>
      </c>
      <c r="K24" s="75">
        <f t="shared" si="2"/>
        <v>702.74</v>
      </c>
      <c r="L24" s="67">
        <f t="shared" si="2"/>
        <v>420536.94699999999</v>
      </c>
      <c r="M24" s="74">
        <v>49869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21">
        <v>4</v>
      </c>
      <c r="B25" s="1394"/>
      <c r="C25" s="1459"/>
      <c r="D25" s="133" t="s">
        <v>14</v>
      </c>
      <c r="E25" s="72">
        <v>76.793000000000006</v>
      </c>
      <c r="F25" s="67">
        <v>35601.925999999999</v>
      </c>
      <c r="G25" s="74">
        <v>38634</v>
      </c>
      <c r="H25" s="72">
        <v>40.364999999999995</v>
      </c>
      <c r="I25" s="67">
        <v>16287.665000000001</v>
      </c>
      <c r="J25" s="74">
        <v>33626</v>
      </c>
      <c r="K25" s="75">
        <f t="shared" si="2"/>
        <v>117.158</v>
      </c>
      <c r="L25" s="67">
        <f t="shared" si="2"/>
        <v>51889.591</v>
      </c>
      <c r="M25" s="74">
        <v>36909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21">
        <v>5</v>
      </c>
      <c r="B26" s="1394"/>
      <c r="C26" s="1459"/>
      <c r="D26" s="133" t="s">
        <v>15</v>
      </c>
      <c r="E26" s="72">
        <v>127.096</v>
      </c>
      <c r="F26" s="67">
        <v>56058.608</v>
      </c>
      <c r="G26" s="74">
        <v>36756</v>
      </c>
      <c r="H26" s="72">
        <v>8.9499999999999993</v>
      </c>
      <c r="I26" s="67">
        <v>6553.5729999999967</v>
      </c>
      <c r="J26" s="74">
        <v>61020</v>
      </c>
      <c r="K26" s="75">
        <f t="shared" si="2"/>
        <v>136.04599999999999</v>
      </c>
      <c r="L26" s="67">
        <f t="shared" si="2"/>
        <v>62612.180999999997</v>
      </c>
      <c r="M26" s="74">
        <v>38352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>
      <c r="A27" s="21"/>
      <c r="B27" s="1394"/>
      <c r="C27" s="1459"/>
      <c r="D27" s="372" t="s">
        <v>111</v>
      </c>
      <c r="E27" s="72">
        <v>32.063000000000002</v>
      </c>
      <c r="F27" s="67">
        <v>24730.701000000001</v>
      </c>
      <c r="G27" s="74">
        <v>64276</v>
      </c>
      <c r="H27" s="72">
        <v>28.241999999999997</v>
      </c>
      <c r="I27" s="67">
        <v>15974.35</v>
      </c>
      <c r="J27" s="74">
        <v>47135</v>
      </c>
      <c r="K27" s="75">
        <f t="shared" si="2"/>
        <v>60.305</v>
      </c>
      <c r="L27" s="67">
        <f t="shared" si="2"/>
        <v>40705.050999999999</v>
      </c>
      <c r="M27" s="74">
        <v>56249</v>
      </c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21">
        <v>6</v>
      </c>
      <c r="B28" s="1394"/>
      <c r="C28" s="1460"/>
      <c r="D28" s="133" t="s">
        <v>17</v>
      </c>
      <c r="E28" s="72">
        <v>1195.527</v>
      </c>
      <c r="F28" s="67">
        <v>918206.82699999993</v>
      </c>
      <c r="G28" s="74">
        <v>64003</v>
      </c>
      <c r="H28" s="72">
        <v>432.14300000000003</v>
      </c>
      <c r="I28" s="67">
        <v>293981.56299999991</v>
      </c>
      <c r="J28" s="74">
        <v>56691</v>
      </c>
      <c r="K28" s="75">
        <f t="shared" si="2"/>
        <v>1627.67</v>
      </c>
      <c r="L28" s="67">
        <f t="shared" si="2"/>
        <v>1212188.3899999999</v>
      </c>
      <c r="M28" s="74">
        <v>62062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21">
        <v>7</v>
      </c>
      <c r="B29" s="1394"/>
      <c r="C29" s="1411" t="s">
        <v>77</v>
      </c>
      <c r="D29" s="1412"/>
      <c r="E29" s="72">
        <v>188.011</v>
      </c>
      <c r="F29" s="67">
        <v>106631.132</v>
      </c>
      <c r="G29" s="74">
        <v>47263</v>
      </c>
      <c r="H29" s="72">
        <v>302.01900000000001</v>
      </c>
      <c r="I29" s="67">
        <v>146627.342</v>
      </c>
      <c r="J29" s="74">
        <v>40458</v>
      </c>
      <c r="K29" s="75">
        <f t="shared" si="2"/>
        <v>490.03</v>
      </c>
      <c r="L29" s="67">
        <f t="shared" si="2"/>
        <v>253258.47399999999</v>
      </c>
      <c r="M29" s="74">
        <v>43069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21">
        <v>8</v>
      </c>
      <c r="B30" s="1395"/>
      <c r="C30" s="1409" t="s">
        <v>78</v>
      </c>
      <c r="D30" s="1410"/>
      <c r="E30" s="72">
        <v>1291.751</v>
      </c>
      <c r="F30" s="67">
        <v>574968.652</v>
      </c>
      <c r="G30" s="74">
        <v>37092</v>
      </c>
      <c r="H30" s="72">
        <v>440.47699999999998</v>
      </c>
      <c r="I30" s="67">
        <v>210766.41516</v>
      </c>
      <c r="J30" s="74">
        <v>39875</v>
      </c>
      <c r="K30" s="75">
        <f t="shared" si="2"/>
        <v>1732.2280000000001</v>
      </c>
      <c r="L30" s="67">
        <f t="shared" si="2"/>
        <v>785735.06715999998</v>
      </c>
      <c r="M30" s="74">
        <v>37800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21">
        <v>9</v>
      </c>
      <c r="B31" s="1414" t="s">
        <v>8</v>
      </c>
      <c r="C31" s="1414"/>
      <c r="D31" s="1414"/>
      <c r="E31" s="72">
        <v>35.451000000000001</v>
      </c>
      <c r="F31" s="67">
        <v>9162.7780000000002</v>
      </c>
      <c r="G31" s="74">
        <v>21539</v>
      </c>
      <c r="H31" s="72">
        <v>190.018</v>
      </c>
      <c r="I31" s="67">
        <v>46825.455840000002</v>
      </c>
      <c r="J31" s="74">
        <v>20536</v>
      </c>
      <c r="K31" s="75">
        <f t="shared" si="2"/>
        <v>225.46899999999999</v>
      </c>
      <c r="L31" s="67">
        <f t="shared" si="2"/>
        <v>55988.233840000001</v>
      </c>
      <c r="M31" s="74">
        <v>20693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6">
        <v>10</v>
      </c>
      <c r="B32" s="1392" t="s">
        <v>25</v>
      </c>
      <c r="C32" s="1392"/>
      <c r="D32" s="1392"/>
      <c r="E32" s="80"/>
      <c r="F32" s="78"/>
      <c r="G32" s="79"/>
      <c r="H32" s="80"/>
      <c r="I32" s="78"/>
      <c r="J32" s="79"/>
      <c r="K32" s="81">
        <f t="shared" si="2"/>
        <v>0</v>
      </c>
      <c r="L32" s="78">
        <f t="shared" si="2"/>
        <v>0</v>
      </c>
      <c r="M32" s="79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">
        <v>11</v>
      </c>
      <c r="B33" s="1413" t="s">
        <v>17</v>
      </c>
      <c r="C33" s="1413"/>
      <c r="D33" s="1413"/>
      <c r="E33" s="84">
        <f>E28+E29+E30+E31+E32</f>
        <v>2710.74</v>
      </c>
      <c r="F33" s="82">
        <f t="shared" ref="F33:L33" si="3">F28+F29+F30+F31+F32</f>
        <v>1608969.389</v>
      </c>
      <c r="G33" s="83">
        <v>49463</v>
      </c>
      <c r="H33" s="84">
        <f t="shared" si="3"/>
        <v>1364.6570000000002</v>
      </c>
      <c r="I33" s="82">
        <f t="shared" si="3"/>
        <v>698200.77599999984</v>
      </c>
      <c r="J33" s="83">
        <v>42636</v>
      </c>
      <c r="K33" s="85">
        <f t="shared" si="3"/>
        <v>4075.3969999999999</v>
      </c>
      <c r="L33" s="82">
        <f t="shared" si="3"/>
        <v>2307170.1649999996</v>
      </c>
      <c r="M33" s="83">
        <v>47177</v>
      </c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0"/>
      <c r="Z33" s="50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14.42578125" customWidth="1"/>
    <col min="6" max="6" width="14.7109375" customWidth="1"/>
    <col min="7" max="7" width="8.7109375" customWidth="1"/>
    <col min="8" max="8" width="9.7109375" customWidth="1"/>
    <col min="9" max="9" width="13.140625" customWidth="1"/>
    <col min="10" max="10" width="10.42578125" customWidth="1"/>
    <col min="11" max="11" width="11.140625" customWidth="1"/>
    <col min="12" max="12" width="14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9" max="19" width="8.42578125" customWidth="1"/>
    <col min="20" max="20" width="9.42578125" customWidth="1"/>
    <col min="21" max="21" width="8.42578125" customWidth="1"/>
    <col min="25" max="25" width="12.85546875" customWidth="1"/>
  </cols>
  <sheetData>
    <row r="1" spans="1:26" ht="15.75">
      <c r="A1" s="373" t="s">
        <v>51</v>
      </c>
      <c r="B1" s="66"/>
      <c r="C1" s="66"/>
      <c r="D1" s="66"/>
      <c r="E1" s="66"/>
      <c r="F1" s="66"/>
      <c r="G1" s="66"/>
      <c r="H1" s="66"/>
      <c r="I1" s="54"/>
      <c r="J1" s="54"/>
      <c r="K1" s="54"/>
      <c r="L1" s="54"/>
      <c r="M1" s="54"/>
      <c r="N1" s="54"/>
      <c r="O1" s="54"/>
      <c r="P1" s="54"/>
      <c r="Q1" s="374"/>
      <c r="R1" s="374"/>
      <c r="S1" s="374"/>
      <c r="T1" s="374"/>
      <c r="U1" s="374"/>
      <c r="V1" s="374"/>
      <c r="W1" s="4"/>
      <c r="X1" s="4"/>
      <c r="Y1" s="5"/>
      <c r="Z1" s="5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375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4"/>
      <c r="S4" s="48"/>
      <c r="T4" s="48"/>
      <c r="U4" s="48"/>
      <c r="V4" s="48"/>
      <c r="W4" s="48"/>
      <c r="X4" s="48"/>
      <c r="Y4" s="48"/>
      <c r="Z4" s="376" t="s">
        <v>4</v>
      </c>
    </row>
    <row r="5" spans="1:26" ht="15.75" thickBot="1">
      <c r="A5" s="1574" t="s">
        <v>1</v>
      </c>
      <c r="B5" s="1577" t="s">
        <v>7</v>
      </c>
      <c r="C5" s="1578"/>
      <c r="D5" s="1579"/>
      <c r="E5" s="1586" t="s">
        <v>35</v>
      </c>
      <c r="F5" s="1587"/>
      <c r="G5" s="1587"/>
      <c r="H5" s="1587"/>
      <c r="I5" s="1587"/>
      <c r="J5" s="1587"/>
      <c r="K5" s="1587"/>
      <c r="L5" s="1587"/>
      <c r="M5" s="1587"/>
      <c r="N5" s="1587"/>
      <c r="O5" s="1587"/>
      <c r="P5" s="1587"/>
      <c r="Q5" s="1587"/>
      <c r="R5" s="1587"/>
      <c r="S5" s="1587"/>
      <c r="T5" s="1587"/>
      <c r="U5" s="1587"/>
      <c r="V5" s="1587"/>
      <c r="W5" s="1587"/>
      <c r="X5" s="1587"/>
      <c r="Y5" s="1587"/>
      <c r="Z5" s="1588"/>
    </row>
    <row r="6" spans="1:26">
      <c r="A6" s="1575"/>
      <c r="B6" s="1580"/>
      <c r="C6" s="1581"/>
      <c r="D6" s="1582"/>
      <c r="E6" s="1589" t="s">
        <v>24</v>
      </c>
      <c r="F6" s="1590"/>
      <c r="G6" s="1590"/>
      <c r="H6" s="1591"/>
      <c r="I6" s="1589" t="s">
        <v>28</v>
      </c>
      <c r="J6" s="1590"/>
      <c r="K6" s="1590"/>
      <c r="L6" s="1591"/>
      <c r="M6" s="1589" t="s">
        <v>20</v>
      </c>
      <c r="N6" s="1590"/>
      <c r="O6" s="1590"/>
      <c r="P6" s="1590"/>
      <c r="Q6" s="1590"/>
      <c r="R6" s="1591"/>
      <c r="S6" s="1592" t="s">
        <v>18</v>
      </c>
      <c r="T6" s="1593"/>
      <c r="U6" s="1592" t="s">
        <v>5</v>
      </c>
      <c r="V6" s="1593"/>
      <c r="W6" s="1592" t="s">
        <v>21</v>
      </c>
      <c r="X6" s="1593"/>
      <c r="Y6" s="1596" t="s">
        <v>17</v>
      </c>
      <c r="Z6" s="1597"/>
    </row>
    <row r="7" spans="1:26">
      <c r="A7" s="1575"/>
      <c r="B7" s="1580"/>
      <c r="C7" s="1581"/>
      <c r="D7" s="1582"/>
      <c r="E7" s="1600" t="s">
        <v>19</v>
      </c>
      <c r="F7" s="1601"/>
      <c r="G7" s="1602" t="s">
        <v>27</v>
      </c>
      <c r="H7" s="1603"/>
      <c r="I7" s="1600" t="s">
        <v>73</v>
      </c>
      <c r="J7" s="1601"/>
      <c r="K7" s="1602" t="s">
        <v>29</v>
      </c>
      <c r="L7" s="1603"/>
      <c r="M7" s="1600" t="s">
        <v>59</v>
      </c>
      <c r="N7" s="1601"/>
      <c r="O7" s="1370"/>
      <c r="P7" s="1370"/>
      <c r="Q7" s="1602" t="s">
        <v>31</v>
      </c>
      <c r="R7" s="1603"/>
      <c r="S7" s="1594"/>
      <c r="T7" s="1595"/>
      <c r="U7" s="1594"/>
      <c r="V7" s="1595"/>
      <c r="W7" s="1594"/>
      <c r="X7" s="1595"/>
      <c r="Y7" s="1598"/>
      <c r="Z7" s="1599"/>
    </row>
    <row r="8" spans="1:26" ht="15.75" thickBot="1">
      <c r="A8" s="1575"/>
      <c r="B8" s="1580"/>
      <c r="C8" s="1581"/>
      <c r="D8" s="1582"/>
      <c r="E8" s="378" t="s">
        <v>6</v>
      </c>
      <c r="F8" s="379" t="s">
        <v>38</v>
      </c>
      <c r="G8" s="380" t="s">
        <v>6</v>
      </c>
      <c r="H8" s="381" t="s">
        <v>38</v>
      </c>
      <c r="I8" s="378" t="s">
        <v>6</v>
      </c>
      <c r="J8" s="380" t="s">
        <v>38</v>
      </c>
      <c r="K8" s="380" t="s">
        <v>6</v>
      </c>
      <c r="L8" s="381" t="s">
        <v>38</v>
      </c>
      <c r="M8" s="378" t="s">
        <v>6</v>
      </c>
      <c r="N8" s="380" t="s">
        <v>38</v>
      </c>
      <c r="O8" s="380"/>
      <c r="P8" s="380"/>
      <c r="Q8" s="380" t="s">
        <v>6</v>
      </c>
      <c r="R8" s="381" t="s">
        <v>38</v>
      </c>
      <c r="S8" s="378" t="s">
        <v>6</v>
      </c>
      <c r="T8" s="381" t="s">
        <v>38</v>
      </c>
      <c r="U8" s="378" t="s">
        <v>6</v>
      </c>
      <c r="V8" s="381" t="s">
        <v>38</v>
      </c>
      <c r="W8" s="378" t="s">
        <v>6</v>
      </c>
      <c r="X8" s="381" t="s">
        <v>38</v>
      </c>
      <c r="Y8" s="382" t="s">
        <v>80</v>
      </c>
      <c r="Z8" s="383" t="s">
        <v>38</v>
      </c>
    </row>
    <row r="9" spans="1:26" ht="15.75" thickBot="1">
      <c r="A9" s="1576"/>
      <c r="B9" s="1583"/>
      <c r="C9" s="1584"/>
      <c r="D9" s="1585"/>
      <c r="E9" s="378">
        <v>1</v>
      </c>
      <c r="F9" s="379">
        <v>2</v>
      </c>
      <c r="G9" s="380">
        <v>3</v>
      </c>
      <c r="H9" s="381">
        <v>4</v>
      </c>
      <c r="I9" s="378">
        <v>5</v>
      </c>
      <c r="J9" s="380">
        <v>6</v>
      </c>
      <c r="K9" s="380">
        <v>7</v>
      </c>
      <c r="L9" s="381">
        <v>8</v>
      </c>
      <c r="M9" s="378">
        <v>9</v>
      </c>
      <c r="N9" s="380">
        <v>10</v>
      </c>
      <c r="O9" s="380"/>
      <c r="P9" s="380"/>
      <c r="Q9" s="380">
        <v>11</v>
      </c>
      <c r="R9" s="381">
        <v>12</v>
      </c>
      <c r="S9" s="378">
        <v>13</v>
      </c>
      <c r="T9" s="381">
        <v>14</v>
      </c>
      <c r="U9" s="378">
        <v>15</v>
      </c>
      <c r="V9" s="381">
        <v>16</v>
      </c>
      <c r="W9" s="378">
        <v>17</v>
      </c>
      <c r="X9" s="381">
        <v>18</v>
      </c>
      <c r="Y9" s="382">
        <v>19</v>
      </c>
      <c r="Z9" s="383">
        <v>20</v>
      </c>
    </row>
    <row r="10" spans="1:26">
      <c r="A10" s="384">
        <v>1</v>
      </c>
      <c r="B10" s="1604" t="s">
        <v>30</v>
      </c>
      <c r="C10" s="1606" t="s">
        <v>16</v>
      </c>
      <c r="D10" s="1607"/>
      <c r="E10" s="385">
        <v>347056</v>
      </c>
      <c r="F10" s="386">
        <v>20614</v>
      </c>
      <c r="G10" s="387">
        <v>263650</v>
      </c>
      <c r="H10" s="388">
        <v>549</v>
      </c>
      <c r="I10" s="385">
        <v>67777</v>
      </c>
      <c r="J10" s="387">
        <v>1390</v>
      </c>
      <c r="K10" s="387">
        <v>0</v>
      </c>
      <c r="L10" s="388">
        <v>0</v>
      </c>
      <c r="M10" s="385">
        <v>28704</v>
      </c>
      <c r="N10" s="387">
        <v>2474</v>
      </c>
      <c r="O10" s="387"/>
      <c r="P10" s="387"/>
      <c r="Q10" s="387">
        <v>351</v>
      </c>
      <c r="R10" s="388">
        <v>0</v>
      </c>
      <c r="S10" s="385">
        <v>301</v>
      </c>
      <c r="T10" s="388">
        <v>0</v>
      </c>
      <c r="U10" s="385">
        <v>2243</v>
      </c>
      <c r="V10" s="388">
        <v>915</v>
      </c>
      <c r="W10" s="389">
        <v>42076</v>
      </c>
      <c r="X10" s="390">
        <v>4206</v>
      </c>
      <c r="Y10" s="391">
        <v>752158</v>
      </c>
      <c r="Z10" s="392">
        <v>30148</v>
      </c>
    </row>
    <row r="11" spans="1:26">
      <c r="A11" s="384">
        <v>2</v>
      </c>
      <c r="B11" s="1605"/>
      <c r="C11" s="1608" t="s">
        <v>9</v>
      </c>
      <c r="D11" s="1609"/>
      <c r="E11" s="393">
        <v>7118</v>
      </c>
      <c r="F11" s="394">
        <v>575</v>
      </c>
      <c r="G11" s="395">
        <v>38782</v>
      </c>
      <c r="H11" s="396">
        <v>1122</v>
      </c>
      <c r="I11" s="393">
        <v>40390</v>
      </c>
      <c r="J11" s="395">
        <v>2759</v>
      </c>
      <c r="K11" s="395">
        <v>0</v>
      </c>
      <c r="L11" s="396">
        <v>0</v>
      </c>
      <c r="M11" s="393">
        <v>5902</v>
      </c>
      <c r="N11" s="395">
        <v>264</v>
      </c>
      <c r="O11" s="395"/>
      <c r="P11" s="395"/>
      <c r="Q11" s="395">
        <v>239</v>
      </c>
      <c r="R11" s="396">
        <v>0</v>
      </c>
      <c r="S11" s="393">
        <v>0</v>
      </c>
      <c r="T11" s="396">
        <v>0</v>
      </c>
      <c r="U11" s="393">
        <v>1396</v>
      </c>
      <c r="V11" s="396">
        <v>625</v>
      </c>
      <c r="W11" s="397">
        <v>9469</v>
      </c>
      <c r="X11" s="398">
        <v>356</v>
      </c>
      <c r="Y11" s="399">
        <v>103296</v>
      </c>
      <c r="Z11" s="400">
        <v>5701</v>
      </c>
    </row>
    <row r="12" spans="1:26">
      <c r="A12" s="57">
        <v>3</v>
      </c>
      <c r="B12" s="1605"/>
      <c r="C12" s="1610" t="s">
        <v>2</v>
      </c>
      <c r="D12" s="1611"/>
      <c r="E12" s="393">
        <v>228605</v>
      </c>
      <c r="F12" s="394">
        <v>16178</v>
      </c>
      <c r="G12" s="395">
        <v>47079</v>
      </c>
      <c r="H12" s="396">
        <v>2730</v>
      </c>
      <c r="I12" s="393">
        <v>21560</v>
      </c>
      <c r="J12" s="395">
        <v>5127</v>
      </c>
      <c r="K12" s="395">
        <v>0</v>
      </c>
      <c r="L12" s="396">
        <v>0</v>
      </c>
      <c r="M12" s="393">
        <v>29309</v>
      </c>
      <c r="N12" s="395">
        <v>11338</v>
      </c>
      <c r="O12" s="395"/>
      <c r="P12" s="395"/>
      <c r="Q12" s="395">
        <v>0</v>
      </c>
      <c r="R12" s="396">
        <v>67</v>
      </c>
      <c r="S12" s="393">
        <v>524</v>
      </c>
      <c r="T12" s="396">
        <v>0</v>
      </c>
      <c r="U12" s="393">
        <v>8805</v>
      </c>
      <c r="V12" s="396">
        <v>3179</v>
      </c>
      <c r="W12" s="397">
        <v>30866</v>
      </c>
      <c r="X12" s="398">
        <v>11742</v>
      </c>
      <c r="Y12" s="399">
        <v>366748</v>
      </c>
      <c r="Z12" s="400">
        <v>50361</v>
      </c>
    </row>
    <row r="13" spans="1:26">
      <c r="A13" s="57">
        <v>4</v>
      </c>
      <c r="B13" s="1612" t="s">
        <v>8</v>
      </c>
      <c r="C13" s="1613"/>
      <c r="D13" s="1614"/>
      <c r="E13" s="393">
        <v>6904</v>
      </c>
      <c r="F13" s="394">
        <v>29</v>
      </c>
      <c r="G13" s="395">
        <v>0</v>
      </c>
      <c r="H13" s="396">
        <v>0</v>
      </c>
      <c r="I13" s="393">
        <v>0</v>
      </c>
      <c r="J13" s="395">
        <v>0</v>
      </c>
      <c r="K13" s="395">
        <v>0</v>
      </c>
      <c r="L13" s="396">
        <v>0</v>
      </c>
      <c r="M13" s="393">
        <v>0</v>
      </c>
      <c r="N13" s="395">
        <v>0</v>
      </c>
      <c r="O13" s="395"/>
      <c r="P13" s="395"/>
      <c r="Q13" s="395">
        <v>0</v>
      </c>
      <c r="R13" s="396">
        <v>0</v>
      </c>
      <c r="S13" s="393">
        <v>1285</v>
      </c>
      <c r="T13" s="396">
        <v>0</v>
      </c>
      <c r="U13" s="393">
        <v>2416</v>
      </c>
      <c r="V13" s="396">
        <v>354</v>
      </c>
      <c r="W13" s="397">
        <v>29963</v>
      </c>
      <c r="X13" s="398">
        <v>698</v>
      </c>
      <c r="Y13" s="399">
        <v>40568</v>
      </c>
      <c r="Z13" s="400">
        <v>1081</v>
      </c>
    </row>
    <row r="14" spans="1:26" ht="15.75" thickBot="1">
      <c r="A14" s="401">
        <v>5</v>
      </c>
      <c r="B14" s="1615" t="s">
        <v>25</v>
      </c>
      <c r="C14" s="1616"/>
      <c r="D14" s="1617"/>
      <c r="E14" s="402">
        <v>0</v>
      </c>
      <c r="F14" s="403">
        <v>0</v>
      </c>
      <c r="G14" s="404">
        <v>0</v>
      </c>
      <c r="H14" s="405">
        <v>0</v>
      </c>
      <c r="I14" s="402">
        <v>0</v>
      </c>
      <c r="J14" s="404">
        <v>0</v>
      </c>
      <c r="K14" s="404">
        <v>0</v>
      </c>
      <c r="L14" s="405">
        <v>0</v>
      </c>
      <c r="M14" s="402">
        <v>0</v>
      </c>
      <c r="N14" s="404">
        <v>0</v>
      </c>
      <c r="O14" s="404"/>
      <c r="P14" s="404"/>
      <c r="Q14" s="404">
        <v>0</v>
      </c>
      <c r="R14" s="405">
        <v>0</v>
      </c>
      <c r="S14" s="406">
        <v>0</v>
      </c>
      <c r="T14" s="407">
        <v>0</v>
      </c>
      <c r="U14" s="408">
        <v>0</v>
      </c>
      <c r="V14" s="409">
        <v>0</v>
      </c>
      <c r="W14" s="410">
        <v>0</v>
      </c>
      <c r="X14" s="411">
        <v>0</v>
      </c>
      <c r="Y14" s="412">
        <v>0</v>
      </c>
      <c r="Z14" s="413">
        <v>0</v>
      </c>
    </row>
    <row r="15" spans="1:26" ht="15.75" thickBot="1">
      <c r="A15" s="414">
        <v>6</v>
      </c>
      <c r="B15" s="1618" t="s">
        <v>17</v>
      </c>
      <c r="C15" s="1619"/>
      <c r="D15" s="1620"/>
      <c r="E15" s="415">
        <f>SUM(E10:E14)</f>
        <v>589683</v>
      </c>
      <c r="F15" s="416">
        <f t="shared" ref="F15:Z15" si="0">SUM(F10:F14)</f>
        <v>37396</v>
      </c>
      <c r="G15" s="417">
        <f t="shared" si="0"/>
        <v>349511</v>
      </c>
      <c r="H15" s="418">
        <f t="shared" si="0"/>
        <v>4401</v>
      </c>
      <c r="I15" s="415">
        <f t="shared" si="0"/>
        <v>129727</v>
      </c>
      <c r="J15" s="417">
        <f t="shared" si="0"/>
        <v>9276</v>
      </c>
      <c r="K15" s="417">
        <f t="shared" si="0"/>
        <v>0</v>
      </c>
      <c r="L15" s="418">
        <f t="shared" si="0"/>
        <v>0</v>
      </c>
      <c r="M15" s="415">
        <f t="shared" si="0"/>
        <v>63915</v>
      </c>
      <c r="N15" s="417">
        <f t="shared" si="0"/>
        <v>14076</v>
      </c>
      <c r="O15" s="417"/>
      <c r="P15" s="417"/>
      <c r="Q15" s="417">
        <f t="shared" si="0"/>
        <v>590</v>
      </c>
      <c r="R15" s="418">
        <f t="shared" si="0"/>
        <v>67</v>
      </c>
      <c r="S15" s="419">
        <f t="shared" si="0"/>
        <v>2110</v>
      </c>
      <c r="T15" s="420">
        <f t="shared" si="0"/>
        <v>0</v>
      </c>
      <c r="U15" s="421">
        <f t="shared" si="0"/>
        <v>14860</v>
      </c>
      <c r="V15" s="422">
        <f t="shared" si="0"/>
        <v>5073</v>
      </c>
      <c r="W15" s="423">
        <f t="shared" si="0"/>
        <v>112374</v>
      </c>
      <c r="X15" s="420">
        <f t="shared" si="0"/>
        <v>17002</v>
      </c>
      <c r="Y15" s="424">
        <f t="shared" si="0"/>
        <v>1262770</v>
      </c>
      <c r="Z15" s="425">
        <f t="shared" si="0"/>
        <v>87291</v>
      </c>
    </row>
    <row r="16" spans="1:26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>
      <c r="A17" s="375" t="s">
        <v>58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26"/>
      <c r="S17" s="426"/>
      <c r="T17" s="426"/>
      <c r="U17" s="426"/>
      <c r="V17" s="4"/>
      <c r="W17" s="4"/>
      <c r="X17" s="4"/>
      <c r="Y17" s="5"/>
      <c r="Z17" s="5"/>
    </row>
    <row r="18" spans="1:26" ht="15.75" thickBot="1">
      <c r="A18" s="375"/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7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4"/>
      <c r="X18" s="4"/>
      <c r="Y18" s="5"/>
      <c r="Z18" s="5"/>
    </row>
    <row r="19" spans="1:26">
      <c r="A19" s="1621" t="s">
        <v>1</v>
      </c>
      <c r="B19" s="1624" t="s">
        <v>7</v>
      </c>
      <c r="C19" s="1624"/>
      <c r="D19" s="1624"/>
      <c r="E19" s="1627" t="s">
        <v>32</v>
      </c>
      <c r="F19" s="1628"/>
      <c r="G19" s="1629"/>
      <c r="H19" s="1589" t="s">
        <v>34</v>
      </c>
      <c r="I19" s="1590"/>
      <c r="J19" s="1591"/>
      <c r="K19" s="1628" t="s">
        <v>17</v>
      </c>
      <c r="L19" s="1628"/>
      <c r="M19" s="1629"/>
      <c r="N19" s="48"/>
      <c r="O19" s="48"/>
      <c r="P19" s="48"/>
      <c r="Q19" s="48"/>
      <c r="R19" s="48"/>
      <c r="S19" s="48"/>
      <c r="T19" s="48"/>
      <c r="U19" s="48"/>
      <c r="V19" s="48"/>
      <c r="W19" s="4"/>
      <c r="X19" s="4"/>
      <c r="Y19" s="5"/>
      <c r="Z19" s="5"/>
    </row>
    <row r="20" spans="1:26" ht="38.25">
      <c r="A20" s="1622"/>
      <c r="B20" s="1625"/>
      <c r="C20" s="1625"/>
      <c r="D20" s="1625"/>
      <c r="E20" s="428" t="s">
        <v>75</v>
      </c>
      <c r="F20" s="429" t="s">
        <v>33</v>
      </c>
      <c r="G20" s="430" t="s">
        <v>23</v>
      </c>
      <c r="H20" s="428" t="s">
        <v>22</v>
      </c>
      <c r="I20" s="429" t="s">
        <v>33</v>
      </c>
      <c r="J20" s="430" t="s">
        <v>23</v>
      </c>
      <c r="K20" s="431" t="s">
        <v>22</v>
      </c>
      <c r="L20" s="432" t="s">
        <v>33</v>
      </c>
      <c r="M20" s="430" t="s">
        <v>23</v>
      </c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6.25" thickBot="1">
      <c r="A21" s="1623"/>
      <c r="B21" s="1626"/>
      <c r="C21" s="1626"/>
      <c r="D21" s="1626"/>
      <c r="E21" s="378">
        <v>1</v>
      </c>
      <c r="F21" s="380">
        <v>2</v>
      </c>
      <c r="G21" s="381" t="s">
        <v>47</v>
      </c>
      <c r="H21" s="378">
        <v>4</v>
      </c>
      <c r="I21" s="380">
        <v>5</v>
      </c>
      <c r="J21" s="381" t="s">
        <v>48</v>
      </c>
      <c r="K21" s="379">
        <v>7</v>
      </c>
      <c r="L21" s="433">
        <v>8</v>
      </c>
      <c r="M21" s="381" t="s">
        <v>49</v>
      </c>
      <c r="N21" s="51"/>
      <c r="O21" s="51"/>
      <c r="P21" s="51"/>
      <c r="Q21" s="48"/>
      <c r="R21" s="48"/>
      <c r="S21" s="48"/>
      <c r="T21" s="48"/>
      <c r="U21" s="51"/>
      <c r="V21" s="51"/>
      <c r="W21" s="51"/>
      <c r="X21" s="51"/>
      <c r="Y21" s="51"/>
      <c r="Z21" s="51"/>
    </row>
    <row r="22" spans="1:26">
      <c r="A22" s="434">
        <v>1</v>
      </c>
      <c r="B22" s="1631" t="s">
        <v>26</v>
      </c>
      <c r="C22" s="1633" t="s">
        <v>76</v>
      </c>
      <c r="D22" s="435" t="s">
        <v>11</v>
      </c>
      <c r="E22" s="436">
        <v>105.88200000000001</v>
      </c>
      <c r="F22" s="437">
        <v>120120.35799999999</v>
      </c>
      <c r="G22" s="438">
        <v>94.539000000000001</v>
      </c>
      <c r="H22" s="436">
        <v>32.704000000000001</v>
      </c>
      <c r="I22" s="437">
        <v>23576.118999999999</v>
      </c>
      <c r="J22" s="438">
        <v>60.075000000000003</v>
      </c>
      <c r="K22" s="439">
        <f>E22+H22</f>
        <v>138.58600000000001</v>
      </c>
      <c r="L22" s="437">
        <f>F22+I22</f>
        <v>143696.47699999998</v>
      </c>
      <c r="M22" s="438">
        <v>86.406000000000006</v>
      </c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>
      <c r="A23" s="440">
        <v>2</v>
      </c>
      <c r="B23" s="1632"/>
      <c r="C23" s="1633"/>
      <c r="D23" s="441" t="s">
        <v>12</v>
      </c>
      <c r="E23" s="442">
        <v>193.673</v>
      </c>
      <c r="F23" s="443">
        <v>144014.60200000001</v>
      </c>
      <c r="G23" s="444">
        <v>61.966000000000001</v>
      </c>
      <c r="H23" s="442">
        <v>58.216999999999999</v>
      </c>
      <c r="I23" s="443">
        <v>32147.985000000001</v>
      </c>
      <c r="J23" s="444">
        <v>46.017000000000003</v>
      </c>
      <c r="K23" s="445">
        <f t="shared" ref="K23:L32" si="1">E23+H23</f>
        <v>251.89</v>
      </c>
      <c r="L23" s="443">
        <f t="shared" si="1"/>
        <v>176162.587</v>
      </c>
      <c r="M23" s="444">
        <v>58.28</v>
      </c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>
      <c r="A24" s="440">
        <v>3</v>
      </c>
      <c r="B24" s="1632"/>
      <c r="C24" s="1633"/>
      <c r="D24" s="441" t="s">
        <v>13</v>
      </c>
      <c r="E24" s="442">
        <v>542.47</v>
      </c>
      <c r="F24" s="443">
        <v>257970.81200000001</v>
      </c>
      <c r="G24" s="444">
        <v>39.628999999999998</v>
      </c>
      <c r="H24" s="442">
        <v>112.25</v>
      </c>
      <c r="I24" s="443">
        <v>57371.400999999998</v>
      </c>
      <c r="J24" s="444">
        <v>42.591999999999999</v>
      </c>
      <c r="K24" s="445">
        <f t="shared" si="1"/>
        <v>654.72</v>
      </c>
      <c r="L24" s="443">
        <f t="shared" si="1"/>
        <v>315342.21299999999</v>
      </c>
      <c r="M24" s="444">
        <v>40.137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>
      <c r="A25" s="440">
        <v>4</v>
      </c>
      <c r="B25" s="1632"/>
      <c r="C25" s="1633"/>
      <c r="D25" s="441" t="s">
        <v>14</v>
      </c>
      <c r="E25" s="442">
        <v>67.018000000000001</v>
      </c>
      <c r="F25" s="443">
        <v>21351.439999999999</v>
      </c>
      <c r="G25" s="444">
        <v>26.548999999999999</v>
      </c>
      <c r="H25" s="442">
        <v>9.3829999999999991</v>
      </c>
      <c r="I25" s="443">
        <v>3494.451</v>
      </c>
      <c r="J25" s="444">
        <v>31.035</v>
      </c>
      <c r="K25" s="445">
        <f t="shared" si="1"/>
        <v>76.400999999999996</v>
      </c>
      <c r="L25" s="443">
        <f t="shared" si="1"/>
        <v>24845.891</v>
      </c>
      <c r="M25" s="444">
        <v>27.1</v>
      </c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>
      <c r="A26" s="440">
        <v>5</v>
      </c>
      <c r="B26" s="1632"/>
      <c r="C26" s="1633"/>
      <c r="D26" s="441" t="s">
        <v>15</v>
      </c>
      <c r="E26" s="442">
        <v>65.754000000000005</v>
      </c>
      <c r="F26" s="443">
        <v>21215.332999999999</v>
      </c>
      <c r="G26" s="444">
        <v>26.887</v>
      </c>
      <c r="H26" s="442">
        <v>5.4710000000000001</v>
      </c>
      <c r="I26" s="443">
        <v>1850.8579999999999</v>
      </c>
      <c r="J26" s="444">
        <v>28.192</v>
      </c>
      <c r="K26" s="445">
        <f t="shared" si="1"/>
        <v>71.225000000000009</v>
      </c>
      <c r="L26" s="443">
        <f t="shared" si="1"/>
        <v>23066.190999999999</v>
      </c>
      <c r="M26" s="444">
        <v>26.986999999999998</v>
      </c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>
      <c r="A27" s="440"/>
      <c r="B27" s="1632"/>
      <c r="C27" s="1633"/>
      <c r="D27" s="441" t="s">
        <v>112</v>
      </c>
      <c r="E27" s="442">
        <v>81.8</v>
      </c>
      <c r="F27" s="443">
        <v>46032.828999999998</v>
      </c>
      <c r="G27" s="444">
        <v>46.896000000000001</v>
      </c>
      <c r="H27" s="442">
        <v>63.247999999999998</v>
      </c>
      <c r="I27" s="443">
        <v>23011.915000000001</v>
      </c>
      <c r="J27" s="444">
        <v>30.32</v>
      </c>
      <c r="K27" s="445">
        <f t="shared" si="1"/>
        <v>145.048</v>
      </c>
      <c r="L27" s="443">
        <f t="shared" si="1"/>
        <v>69044.744000000006</v>
      </c>
      <c r="M27" s="444">
        <v>39.667999999999999</v>
      </c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>
      <c r="A28" s="440">
        <v>6</v>
      </c>
      <c r="B28" s="1632"/>
      <c r="C28" s="1634"/>
      <c r="D28" s="441" t="s">
        <v>17</v>
      </c>
      <c r="E28" s="442">
        <f>SUM(E22:E27)</f>
        <v>1056.5970000000002</v>
      </c>
      <c r="F28" s="443">
        <f>SUM(F22:F27)</f>
        <v>610705.37399999995</v>
      </c>
      <c r="G28" s="444">
        <v>48.165999999999997</v>
      </c>
      <c r="H28" s="442">
        <f>SUM(H22:H27)</f>
        <v>281.27300000000002</v>
      </c>
      <c r="I28" s="443">
        <f>SUM(I22:I27)</f>
        <v>141452.72899999999</v>
      </c>
      <c r="J28" s="444">
        <v>41.908000000000001</v>
      </c>
      <c r="K28" s="445">
        <f t="shared" si="1"/>
        <v>1337.8700000000003</v>
      </c>
      <c r="L28" s="443">
        <f t="shared" si="1"/>
        <v>752158.10299999989</v>
      </c>
      <c r="M28" s="444">
        <v>46.85</v>
      </c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>
      <c r="A29" s="440">
        <v>7</v>
      </c>
      <c r="B29" s="1632"/>
      <c r="C29" s="1635" t="s">
        <v>77</v>
      </c>
      <c r="D29" s="1636"/>
      <c r="E29" s="442">
        <v>100.483</v>
      </c>
      <c r="F29" s="443">
        <v>45900.343999999997</v>
      </c>
      <c r="G29" s="444">
        <v>38.066000000000003</v>
      </c>
      <c r="H29" s="442">
        <v>150.23400000000001</v>
      </c>
      <c r="I29" s="443">
        <v>57395.254999999997</v>
      </c>
      <c r="J29" s="444">
        <v>31.837</v>
      </c>
      <c r="K29" s="445">
        <f t="shared" si="1"/>
        <v>250.71700000000001</v>
      </c>
      <c r="L29" s="443">
        <f t="shared" si="1"/>
        <v>103295.59899999999</v>
      </c>
      <c r="M29" s="444">
        <v>34.332999999999998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>
      <c r="A30" s="440">
        <v>8</v>
      </c>
      <c r="B30" s="1604"/>
      <c r="C30" s="1637" t="s">
        <v>78</v>
      </c>
      <c r="D30" s="1638"/>
      <c r="E30" s="442">
        <v>842.96400000000006</v>
      </c>
      <c r="F30" s="443">
        <v>275685.13299999997</v>
      </c>
      <c r="G30" s="444">
        <v>27.254000000000001</v>
      </c>
      <c r="H30" s="442">
        <v>226.79900000000001</v>
      </c>
      <c r="I30" s="443">
        <v>91063.725000000006</v>
      </c>
      <c r="J30" s="444">
        <v>33.460999999999999</v>
      </c>
      <c r="K30" s="445">
        <f t="shared" si="1"/>
        <v>1069.7630000000001</v>
      </c>
      <c r="L30" s="443">
        <f t="shared" si="1"/>
        <v>366748.85800000001</v>
      </c>
      <c r="M30" s="444">
        <v>28.57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>
      <c r="A31" s="440">
        <v>9</v>
      </c>
      <c r="B31" s="1639" t="s">
        <v>8</v>
      </c>
      <c r="C31" s="1639"/>
      <c r="D31" s="1639"/>
      <c r="E31" s="442">
        <v>35.307000000000002</v>
      </c>
      <c r="F31" s="443">
        <v>6903</v>
      </c>
      <c r="G31" s="444">
        <v>16.292999999999999</v>
      </c>
      <c r="H31" s="442">
        <v>136.434</v>
      </c>
      <c r="I31" s="443">
        <v>33664.445</v>
      </c>
      <c r="J31" s="444">
        <v>20.56</v>
      </c>
      <c r="K31" s="445">
        <f t="shared" si="1"/>
        <v>171.74099999999999</v>
      </c>
      <c r="L31" s="443">
        <f t="shared" si="1"/>
        <v>40567.445</v>
      </c>
      <c r="M31" s="444">
        <v>19.681999999999999</v>
      </c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5.75" thickBot="1">
      <c r="A32" s="446">
        <v>10</v>
      </c>
      <c r="B32" s="1640" t="s">
        <v>25</v>
      </c>
      <c r="C32" s="1640"/>
      <c r="D32" s="1640"/>
      <c r="E32" s="447"/>
      <c r="F32" s="448"/>
      <c r="G32" s="449"/>
      <c r="H32" s="447"/>
      <c r="I32" s="448"/>
      <c r="J32" s="449"/>
      <c r="K32" s="450">
        <f t="shared" si="1"/>
        <v>0</v>
      </c>
      <c r="L32" s="448">
        <f t="shared" si="1"/>
        <v>0</v>
      </c>
      <c r="M32" s="449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5.75" thickBot="1">
      <c r="A33" s="451">
        <v>11</v>
      </c>
      <c r="B33" s="1630" t="s">
        <v>17</v>
      </c>
      <c r="C33" s="1630"/>
      <c r="D33" s="1630"/>
      <c r="E33" s="452">
        <f>E28+E29+E30+E31+E32</f>
        <v>2035.3510000000003</v>
      </c>
      <c r="F33" s="453">
        <f t="shared" ref="F33:L33" si="2">F28+F29+F30+F31+F32</f>
        <v>939193.85100000002</v>
      </c>
      <c r="G33" s="454">
        <v>38.453000000000003</v>
      </c>
      <c r="H33" s="452">
        <f t="shared" si="2"/>
        <v>794.74</v>
      </c>
      <c r="I33" s="453">
        <f t="shared" si="2"/>
        <v>323576.15400000004</v>
      </c>
      <c r="J33" s="454">
        <v>33.929000000000002</v>
      </c>
      <c r="K33" s="455">
        <f t="shared" si="2"/>
        <v>2830.0910000000003</v>
      </c>
      <c r="L33" s="453">
        <f t="shared" si="2"/>
        <v>1262770.0049999999</v>
      </c>
      <c r="M33" s="454">
        <v>37.182000000000002</v>
      </c>
      <c r="N33" s="48"/>
      <c r="O33" s="48"/>
      <c r="P33" s="48"/>
      <c r="Q33" s="48"/>
      <c r="R33" s="48"/>
      <c r="S33" s="48"/>
      <c r="T33" s="48"/>
      <c r="U33" s="48"/>
      <c r="V33" s="48"/>
      <c r="W33" s="456"/>
      <c r="X33" s="456"/>
      <c r="Y33" s="456"/>
      <c r="Z33" s="456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7.42578125" customWidth="1"/>
    <col min="3" max="3" width="10.7109375" customWidth="1"/>
    <col min="4" max="4" width="16.28515625" customWidth="1"/>
    <col min="5" max="14" width="10" customWidth="1"/>
    <col min="15" max="16" width="10" style="28" customWidth="1"/>
    <col min="17" max="26" width="10" customWidth="1"/>
  </cols>
  <sheetData>
    <row r="1" spans="1:26" ht="15.75">
      <c r="A1" s="7" t="s">
        <v>113</v>
      </c>
      <c r="B1" s="66"/>
      <c r="C1" s="66"/>
      <c r="D1" s="66"/>
      <c r="E1" s="66"/>
      <c r="F1" s="66"/>
      <c r="G1" s="66"/>
      <c r="H1" s="66"/>
      <c r="I1" s="54"/>
      <c r="J1" s="54"/>
      <c r="K1" s="54"/>
      <c r="L1" s="54"/>
      <c r="M1" s="54"/>
      <c r="N1" s="54"/>
      <c r="O1" s="54"/>
      <c r="P1" s="54"/>
      <c r="Q1" s="54"/>
      <c r="R1" s="374"/>
      <c r="S1" s="374"/>
      <c r="T1" s="374"/>
      <c r="U1" s="374"/>
      <c r="V1" s="374"/>
      <c r="W1" s="374"/>
      <c r="X1" s="374"/>
      <c r="Y1" s="4"/>
      <c r="Z1" s="4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>
      <c r="A3" s="375" t="s">
        <v>57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.75" thickBo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54"/>
      <c r="U4" s="48"/>
      <c r="V4" s="48"/>
      <c r="W4" s="48"/>
      <c r="X4" s="48"/>
      <c r="Y4" s="48"/>
      <c r="Z4" s="376" t="s">
        <v>4</v>
      </c>
    </row>
    <row r="5" spans="1:26" ht="15.75" thickBot="1">
      <c r="A5" s="1574" t="s">
        <v>1</v>
      </c>
      <c r="B5" s="1577" t="s">
        <v>7</v>
      </c>
      <c r="C5" s="1578"/>
      <c r="D5" s="1579"/>
      <c r="E5" s="1641" t="s">
        <v>35</v>
      </c>
      <c r="F5" s="1642"/>
      <c r="G5" s="1642"/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3"/>
    </row>
    <row r="6" spans="1:26">
      <c r="A6" s="1575"/>
      <c r="B6" s="1580"/>
      <c r="C6" s="1581"/>
      <c r="D6" s="1582"/>
      <c r="E6" s="1589" t="s">
        <v>24</v>
      </c>
      <c r="F6" s="1590"/>
      <c r="G6" s="1590"/>
      <c r="H6" s="1591"/>
      <c r="I6" s="1589" t="s">
        <v>114</v>
      </c>
      <c r="J6" s="1590"/>
      <c r="K6" s="1590"/>
      <c r="L6" s="1591"/>
      <c r="M6" s="1589" t="s">
        <v>20</v>
      </c>
      <c r="N6" s="1590"/>
      <c r="O6" s="1590"/>
      <c r="P6" s="1590"/>
      <c r="Q6" s="1590"/>
      <c r="R6" s="1591"/>
      <c r="S6" s="1592" t="s">
        <v>18</v>
      </c>
      <c r="T6" s="1593"/>
      <c r="U6" s="1592" t="s">
        <v>5</v>
      </c>
      <c r="V6" s="1593"/>
      <c r="W6" s="1592" t="s">
        <v>21</v>
      </c>
      <c r="X6" s="1593"/>
      <c r="Y6" s="1644" t="s">
        <v>17</v>
      </c>
      <c r="Z6" s="1645"/>
    </row>
    <row r="7" spans="1:26">
      <c r="A7" s="1575"/>
      <c r="B7" s="1580"/>
      <c r="C7" s="1581"/>
      <c r="D7" s="1582"/>
      <c r="E7" s="1600" t="s">
        <v>19</v>
      </c>
      <c r="F7" s="1601"/>
      <c r="G7" s="1602" t="s">
        <v>27</v>
      </c>
      <c r="H7" s="1603"/>
      <c r="I7" s="1600" t="s">
        <v>73</v>
      </c>
      <c r="J7" s="1601"/>
      <c r="K7" s="1602" t="s">
        <v>29</v>
      </c>
      <c r="L7" s="1603"/>
      <c r="M7" s="1600" t="s">
        <v>64</v>
      </c>
      <c r="N7" s="1601"/>
      <c r="O7" s="1370"/>
      <c r="P7" s="1370"/>
      <c r="Q7" s="1602" t="s">
        <v>31</v>
      </c>
      <c r="R7" s="1603"/>
      <c r="S7" s="1594"/>
      <c r="T7" s="1595"/>
      <c r="U7" s="1594"/>
      <c r="V7" s="1595"/>
      <c r="W7" s="1594"/>
      <c r="X7" s="1595"/>
      <c r="Y7" s="1646"/>
      <c r="Z7" s="1599"/>
    </row>
    <row r="8" spans="1:26" ht="15.75" thickBot="1">
      <c r="A8" s="1575"/>
      <c r="B8" s="1580"/>
      <c r="C8" s="1581"/>
      <c r="D8" s="1582"/>
      <c r="E8" s="378" t="s">
        <v>6</v>
      </c>
      <c r="F8" s="379" t="s">
        <v>38</v>
      </c>
      <c r="G8" s="380" t="s">
        <v>6</v>
      </c>
      <c r="H8" s="381" t="s">
        <v>38</v>
      </c>
      <c r="I8" s="378" t="s">
        <v>6</v>
      </c>
      <c r="J8" s="380" t="s">
        <v>38</v>
      </c>
      <c r="K8" s="380" t="s">
        <v>6</v>
      </c>
      <c r="L8" s="381" t="s">
        <v>38</v>
      </c>
      <c r="M8" s="378" t="s">
        <v>6</v>
      </c>
      <c r="N8" s="380" t="s">
        <v>38</v>
      </c>
      <c r="O8" s="380"/>
      <c r="P8" s="380"/>
      <c r="Q8" s="380" t="s">
        <v>6</v>
      </c>
      <c r="R8" s="381" t="s">
        <v>38</v>
      </c>
      <c r="S8" s="378" t="s">
        <v>6</v>
      </c>
      <c r="T8" s="381" t="s">
        <v>38</v>
      </c>
      <c r="U8" s="378" t="s">
        <v>6</v>
      </c>
      <c r="V8" s="381" t="s">
        <v>38</v>
      </c>
      <c r="W8" s="378" t="s">
        <v>6</v>
      </c>
      <c r="X8" s="381" t="s">
        <v>38</v>
      </c>
      <c r="Y8" s="457" t="s">
        <v>80</v>
      </c>
      <c r="Z8" s="458" t="s">
        <v>38</v>
      </c>
    </row>
    <row r="9" spans="1:26" ht="15.75" thickBot="1">
      <c r="A9" s="1576"/>
      <c r="B9" s="1583"/>
      <c r="C9" s="1584"/>
      <c r="D9" s="1585"/>
      <c r="E9" s="378">
        <v>1</v>
      </c>
      <c r="F9" s="379">
        <v>2</v>
      </c>
      <c r="G9" s="380">
        <v>3</v>
      </c>
      <c r="H9" s="381">
        <v>4</v>
      </c>
      <c r="I9" s="378">
        <v>5</v>
      </c>
      <c r="J9" s="380">
        <v>6</v>
      </c>
      <c r="K9" s="380">
        <v>7</v>
      </c>
      <c r="L9" s="381">
        <v>8</v>
      </c>
      <c r="M9" s="378">
        <v>9</v>
      </c>
      <c r="N9" s="380">
        <v>10</v>
      </c>
      <c r="O9" s="380"/>
      <c r="P9" s="380"/>
      <c r="Q9" s="380">
        <v>11</v>
      </c>
      <c r="R9" s="381">
        <v>12</v>
      </c>
      <c r="S9" s="378">
        <v>13</v>
      </c>
      <c r="T9" s="381">
        <v>14</v>
      </c>
      <c r="U9" s="378">
        <v>15</v>
      </c>
      <c r="V9" s="381">
        <v>16</v>
      </c>
      <c r="W9" s="378">
        <v>17</v>
      </c>
      <c r="X9" s="381">
        <v>18</v>
      </c>
      <c r="Y9" s="457">
        <v>19</v>
      </c>
      <c r="Z9" s="458">
        <v>20</v>
      </c>
    </row>
    <row r="10" spans="1:26">
      <c r="A10" s="434">
        <v>1</v>
      </c>
      <c r="B10" s="1604" t="s">
        <v>30</v>
      </c>
      <c r="C10" s="1606" t="s">
        <v>16</v>
      </c>
      <c r="D10" s="1607"/>
      <c r="E10" s="459">
        <v>81535</v>
      </c>
      <c r="F10" s="460">
        <v>0</v>
      </c>
      <c r="G10" s="461">
        <v>23650</v>
      </c>
      <c r="H10" s="462">
        <v>0</v>
      </c>
      <c r="I10" s="459">
        <v>1395</v>
      </c>
      <c r="J10" s="461">
        <v>0</v>
      </c>
      <c r="K10" s="461">
        <v>0</v>
      </c>
      <c r="L10" s="462">
        <v>0</v>
      </c>
      <c r="M10" s="459">
        <v>0</v>
      </c>
      <c r="N10" s="461">
        <v>0</v>
      </c>
      <c r="O10" s="461"/>
      <c r="P10" s="461"/>
      <c r="Q10" s="461">
        <v>0</v>
      </c>
      <c r="R10" s="462">
        <v>0</v>
      </c>
      <c r="S10" s="459">
        <v>0</v>
      </c>
      <c r="T10" s="462">
        <v>0</v>
      </c>
      <c r="U10" s="459">
        <v>2598</v>
      </c>
      <c r="V10" s="462">
        <v>0</v>
      </c>
      <c r="W10" s="463">
        <v>34162</v>
      </c>
      <c r="X10" s="464">
        <v>0</v>
      </c>
      <c r="Y10" s="465">
        <f t="shared" ref="Y10:Z14" si="0">SUM(E10+G10+I10+K10+M10+Q10+S10+U10+W10)</f>
        <v>143340</v>
      </c>
      <c r="Z10" s="466">
        <f t="shared" si="0"/>
        <v>0</v>
      </c>
    </row>
    <row r="11" spans="1:26">
      <c r="A11" s="434">
        <v>2</v>
      </c>
      <c r="B11" s="1605"/>
      <c r="C11" s="1608" t="s">
        <v>9</v>
      </c>
      <c r="D11" s="1609"/>
      <c r="E11" s="467">
        <v>560</v>
      </c>
      <c r="F11" s="468">
        <v>0</v>
      </c>
      <c r="G11" s="469">
        <v>1739</v>
      </c>
      <c r="H11" s="470">
        <v>0</v>
      </c>
      <c r="I11" s="467">
        <v>3135</v>
      </c>
      <c r="J11" s="469">
        <v>0</v>
      </c>
      <c r="K11" s="469">
        <v>0</v>
      </c>
      <c r="L11" s="470">
        <v>0</v>
      </c>
      <c r="M11" s="467">
        <v>0</v>
      </c>
      <c r="N11" s="469">
        <v>0</v>
      </c>
      <c r="O11" s="469"/>
      <c r="P11" s="469"/>
      <c r="Q11" s="469">
        <v>0</v>
      </c>
      <c r="R11" s="470">
        <v>0</v>
      </c>
      <c r="S11" s="467">
        <v>0</v>
      </c>
      <c r="T11" s="470">
        <v>0</v>
      </c>
      <c r="U11" s="467">
        <v>0</v>
      </c>
      <c r="V11" s="470">
        <v>0</v>
      </c>
      <c r="W11" s="471">
        <v>557</v>
      </c>
      <c r="X11" s="472">
        <v>0</v>
      </c>
      <c r="Y11" s="473">
        <f t="shared" si="0"/>
        <v>5991</v>
      </c>
      <c r="Z11" s="474">
        <f t="shared" si="0"/>
        <v>0</v>
      </c>
    </row>
    <row r="12" spans="1:26">
      <c r="A12" s="440">
        <v>3</v>
      </c>
      <c r="B12" s="1605"/>
      <c r="C12" s="1610" t="s">
        <v>2</v>
      </c>
      <c r="D12" s="1611"/>
      <c r="E12" s="467">
        <v>60558</v>
      </c>
      <c r="F12" s="468">
        <v>2151</v>
      </c>
      <c r="G12" s="469">
        <v>2970</v>
      </c>
      <c r="H12" s="470">
        <v>393</v>
      </c>
      <c r="I12" s="467">
        <v>6683</v>
      </c>
      <c r="J12" s="469">
        <v>1639</v>
      </c>
      <c r="K12" s="469">
        <v>0</v>
      </c>
      <c r="L12" s="470">
        <v>0</v>
      </c>
      <c r="M12" s="467">
        <v>362</v>
      </c>
      <c r="N12" s="469">
        <v>0</v>
      </c>
      <c r="O12" s="469"/>
      <c r="P12" s="469"/>
      <c r="Q12" s="469">
        <v>0</v>
      </c>
      <c r="R12" s="470">
        <v>0</v>
      </c>
      <c r="S12" s="467">
        <v>0</v>
      </c>
      <c r="T12" s="470">
        <v>0</v>
      </c>
      <c r="U12" s="467">
        <v>2521</v>
      </c>
      <c r="V12" s="470">
        <v>443</v>
      </c>
      <c r="W12" s="471">
        <v>22783</v>
      </c>
      <c r="X12" s="472">
        <v>2627</v>
      </c>
      <c r="Y12" s="473">
        <f t="shared" si="0"/>
        <v>95877</v>
      </c>
      <c r="Z12" s="474">
        <f t="shared" si="0"/>
        <v>7253</v>
      </c>
    </row>
    <row r="13" spans="1:26">
      <c r="A13" s="440">
        <v>4</v>
      </c>
      <c r="B13" s="1612" t="s">
        <v>8</v>
      </c>
      <c r="C13" s="1613"/>
      <c r="D13" s="1614"/>
      <c r="E13" s="467">
        <v>0</v>
      </c>
      <c r="F13" s="468">
        <v>0</v>
      </c>
      <c r="G13" s="469">
        <v>0</v>
      </c>
      <c r="H13" s="470">
        <v>0</v>
      </c>
      <c r="I13" s="467">
        <v>0</v>
      </c>
      <c r="J13" s="469">
        <v>0</v>
      </c>
      <c r="K13" s="469">
        <v>0</v>
      </c>
      <c r="L13" s="470">
        <v>0</v>
      </c>
      <c r="M13" s="467">
        <v>0</v>
      </c>
      <c r="N13" s="469">
        <v>0</v>
      </c>
      <c r="O13" s="469"/>
      <c r="P13" s="469"/>
      <c r="Q13" s="469">
        <v>0</v>
      </c>
      <c r="R13" s="470">
        <v>0</v>
      </c>
      <c r="S13" s="467">
        <v>0</v>
      </c>
      <c r="T13" s="470">
        <v>0</v>
      </c>
      <c r="U13" s="467">
        <v>177</v>
      </c>
      <c r="V13" s="470">
        <v>0</v>
      </c>
      <c r="W13" s="471">
        <v>3481</v>
      </c>
      <c r="X13" s="472">
        <v>53</v>
      </c>
      <c r="Y13" s="473">
        <f t="shared" si="0"/>
        <v>3658</v>
      </c>
      <c r="Z13" s="474">
        <f t="shared" si="0"/>
        <v>53</v>
      </c>
    </row>
    <row r="14" spans="1:26" ht="15.75" thickBot="1">
      <c r="A14" s="475">
        <v>5</v>
      </c>
      <c r="B14" s="1615" t="s">
        <v>115</v>
      </c>
      <c r="C14" s="1616"/>
      <c r="D14" s="1617"/>
      <c r="E14" s="476">
        <v>798</v>
      </c>
      <c r="F14" s="477">
        <v>4</v>
      </c>
      <c r="G14" s="478">
        <v>0</v>
      </c>
      <c r="H14" s="479">
        <v>0</v>
      </c>
      <c r="I14" s="476">
        <v>0</v>
      </c>
      <c r="J14" s="478">
        <v>0</v>
      </c>
      <c r="K14" s="478">
        <v>0</v>
      </c>
      <c r="L14" s="479">
        <v>0</v>
      </c>
      <c r="M14" s="476">
        <v>0</v>
      </c>
      <c r="N14" s="478">
        <v>0</v>
      </c>
      <c r="O14" s="478"/>
      <c r="P14" s="478"/>
      <c r="Q14" s="478">
        <v>0</v>
      </c>
      <c r="R14" s="479">
        <v>0</v>
      </c>
      <c r="S14" s="480">
        <v>0</v>
      </c>
      <c r="T14" s="481">
        <v>0</v>
      </c>
      <c r="U14" s="480">
        <v>44459</v>
      </c>
      <c r="V14" s="481">
        <v>2538</v>
      </c>
      <c r="W14" s="482">
        <v>0</v>
      </c>
      <c r="X14" s="481">
        <v>0</v>
      </c>
      <c r="Y14" s="483">
        <f t="shared" si="0"/>
        <v>45257</v>
      </c>
      <c r="Z14" s="484">
        <f t="shared" si="0"/>
        <v>2542</v>
      </c>
    </row>
    <row r="15" spans="1:26" ht="15.75" thickBot="1">
      <c r="A15" s="485">
        <v>6</v>
      </c>
      <c r="B15" s="1618" t="s">
        <v>17</v>
      </c>
      <c r="C15" s="1619"/>
      <c r="D15" s="1620"/>
      <c r="E15" s="486">
        <f>SUM(E10:E14)</f>
        <v>143451</v>
      </c>
      <c r="F15" s="487">
        <f t="shared" ref="F15:X15" si="1">SUM(F10:F14)</f>
        <v>2155</v>
      </c>
      <c r="G15" s="488">
        <f t="shared" si="1"/>
        <v>28359</v>
      </c>
      <c r="H15" s="489">
        <f t="shared" si="1"/>
        <v>393</v>
      </c>
      <c r="I15" s="486">
        <f t="shared" si="1"/>
        <v>11213</v>
      </c>
      <c r="J15" s="488">
        <f t="shared" si="1"/>
        <v>1639</v>
      </c>
      <c r="K15" s="488">
        <f t="shared" si="1"/>
        <v>0</v>
      </c>
      <c r="L15" s="489">
        <f t="shared" si="1"/>
        <v>0</v>
      </c>
      <c r="M15" s="486">
        <f t="shared" si="1"/>
        <v>362</v>
      </c>
      <c r="N15" s="488">
        <f t="shared" si="1"/>
        <v>0</v>
      </c>
      <c r="O15" s="488"/>
      <c r="P15" s="488"/>
      <c r="Q15" s="488">
        <f t="shared" si="1"/>
        <v>0</v>
      </c>
      <c r="R15" s="489">
        <f t="shared" si="1"/>
        <v>0</v>
      </c>
      <c r="S15" s="490">
        <f t="shared" si="1"/>
        <v>0</v>
      </c>
      <c r="T15" s="491">
        <f t="shared" si="1"/>
        <v>0</v>
      </c>
      <c r="U15" s="490">
        <f t="shared" si="1"/>
        <v>49755</v>
      </c>
      <c r="V15" s="491">
        <f t="shared" si="1"/>
        <v>2981</v>
      </c>
      <c r="W15" s="492">
        <f t="shared" si="1"/>
        <v>60983</v>
      </c>
      <c r="X15" s="491">
        <f t="shared" si="1"/>
        <v>2680</v>
      </c>
      <c r="Y15" s="493">
        <f>SUM(Y10:Y14)</f>
        <v>294123</v>
      </c>
      <c r="Z15" s="494">
        <f>SUM(Z10:Z14)</f>
        <v>9848</v>
      </c>
    </row>
    <row r="16" spans="1:26">
      <c r="A16" s="48"/>
      <c r="B16" s="48"/>
      <c r="C16" s="48"/>
      <c r="D16" s="48"/>
      <c r="E16" s="48"/>
      <c r="F16" s="48"/>
      <c r="G16" s="48"/>
      <c r="H16" s="495"/>
      <c r="I16" s="48"/>
      <c r="J16" s="48"/>
      <c r="K16" s="48"/>
      <c r="L16" s="495"/>
      <c r="M16" s="48"/>
      <c r="N16" s="495"/>
      <c r="O16" s="495"/>
      <c r="P16" s="495"/>
      <c r="Q16" s="48"/>
      <c r="R16" s="495"/>
      <c r="S16" s="48"/>
      <c r="T16" s="48"/>
      <c r="U16" s="48"/>
      <c r="V16" s="48"/>
      <c r="W16" s="48"/>
      <c r="X16" s="495"/>
      <c r="Y16" s="48"/>
      <c r="Z16" s="495"/>
    </row>
    <row r="17" spans="1:26">
      <c r="A17" s="375" t="s">
        <v>81</v>
      </c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6"/>
      <c r="R17" s="496"/>
      <c r="S17" s="426"/>
      <c r="T17" s="426"/>
      <c r="U17" s="426"/>
      <c r="V17" s="426"/>
      <c r="W17" s="426"/>
      <c r="X17" s="4"/>
      <c r="Y17" s="4"/>
      <c r="Z17" s="4"/>
    </row>
    <row r="18" spans="1:26" ht="15.75" thickBot="1">
      <c r="A18" s="375"/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427" t="s">
        <v>4</v>
      </c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"/>
      <c r="Z18" s="4"/>
    </row>
    <row r="19" spans="1:26">
      <c r="A19" s="1621" t="s">
        <v>1</v>
      </c>
      <c r="B19" s="1624" t="s">
        <v>7</v>
      </c>
      <c r="C19" s="1624"/>
      <c r="D19" s="1624"/>
      <c r="E19" s="1627" t="s">
        <v>32</v>
      </c>
      <c r="F19" s="1628"/>
      <c r="G19" s="1629"/>
      <c r="H19" s="1589" t="s">
        <v>34</v>
      </c>
      <c r="I19" s="1590"/>
      <c r="J19" s="1591"/>
      <c r="K19" s="1647" t="s">
        <v>17</v>
      </c>
      <c r="L19" s="1647"/>
      <c r="M19" s="1648"/>
      <c r="N19" s="48"/>
      <c r="O19" s="48"/>
      <c r="P19" s="48"/>
      <c r="Q19" s="129"/>
      <c r="R19" s="129"/>
      <c r="S19" s="129"/>
      <c r="T19" s="129"/>
      <c r="U19" s="129"/>
      <c r="V19" s="129"/>
      <c r="W19" s="129"/>
      <c r="X19" s="129"/>
      <c r="Y19" s="54"/>
      <c r="Z19" s="54"/>
    </row>
    <row r="20" spans="1:26" ht="38.25">
      <c r="A20" s="1622"/>
      <c r="B20" s="1625"/>
      <c r="C20" s="1625"/>
      <c r="D20" s="1625"/>
      <c r="E20" s="497" t="s">
        <v>75</v>
      </c>
      <c r="F20" s="498" t="s">
        <v>33</v>
      </c>
      <c r="G20" s="499" t="s">
        <v>116</v>
      </c>
      <c r="H20" s="497" t="s">
        <v>22</v>
      </c>
      <c r="I20" s="498" t="s">
        <v>33</v>
      </c>
      <c r="J20" s="499" t="s">
        <v>116</v>
      </c>
      <c r="K20" s="500" t="s">
        <v>22</v>
      </c>
      <c r="L20" s="501" t="s">
        <v>117</v>
      </c>
      <c r="M20" s="502" t="s">
        <v>116</v>
      </c>
      <c r="N20" s="48"/>
      <c r="O20" s="48"/>
      <c r="P20" s="48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ht="26.25" thickBot="1">
      <c r="A21" s="1623"/>
      <c r="B21" s="1626"/>
      <c r="C21" s="1626"/>
      <c r="D21" s="1626"/>
      <c r="E21" s="378">
        <v>1</v>
      </c>
      <c r="F21" s="380">
        <v>2</v>
      </c>
      <c r="G21" s="381" t="s">
        <v>118</v>
      </c>
      <c r="H21" s="378">
        <v>4</v>
      </c>
      <c r="I21" s="380">
        <v>5</v>
      </c>
      <c r="J21" s="381" t="s">
        <v>119</v>
      </c>
      <c r="K21" s="503">
        <v>7</v>
      </c>
      <c r="L21" s="504">
        <v>8</v>
      </c>
      <c r="M21" s="458" t="s">
        <v>120</v>
      </c>
      <c r="N21" s="51"/>
      <c r="O21" s="51"/>
      <c r="P21" s="51"/>
      <c r="Q21" s="129"/>
      <c r="R21" s="129"/>
      <c r="S21" s="129"/>
      <c r="T21" s="129"/>
      <c r="U21" s="129"/>
      <c r="V21" s="129"/>
      <c r="W21" s="505"/>
      <c r="X21" s="505"/>
      <c r="Y21" s="505"/>
      <c r="Z21" s="505"/>
    </row>
    <row r="22" spans="1:26">
      <c r="A22" s="434">
        <v>1</v>
      </c>
      <c r="B22" s="1631" t="s">
        <v>26</v>
      </c>
      <c r="C22" s="1633" t="s">
        <v>76</v>
      </c>
      <c r="D22" s="435" t="s">
        <v>11</v>
      </c>
      <c r="E22" s="459">
        <v>33</v>
      </c>
      <c r="F22" s="461">
        <v>22614</v>
      </c>
      <c r="G22" s="462">
        <v>57491</v>
      </c>
      <c r="H22" s="459">
        <v>1</v>
      </c>
      <c r="I22" s="461">
        <v>8136</v>
      </c>
      <c r="J22" s="506" t="s">
        <v>68</v>
      </c>
      <c r="K22" s="507">
        <f>E22+H22</f>
        <v>34</v>
      </c>
      <c r="L22" s="508">
        <f>F22+I22</f>
        <v>30750</v>
      </c>
      <c r="M22" s="509">
        <v>75962</v>
      </c>
      <c r="N22" s="48"/>
      <c r="O22" s="48"/>
      <c r="P22" s="48"/>
      <c r="Q22" s="1649"/>
      <c r="R22" s="1650"/>
      <c r="S22" s="1650"/>
      <c r="T22" s="1650"/>
      <c r="U22" s="1650"/>
      <c r="V22" s="1650"/>
      <c r="W22" s="129"/>
      <c r="X22" s="129"/>
      <c r="Y22" s="129"/>
      <c r="Z22" s="129"/>
    </row>
    <row r="23" spans="1:26">
      <c r="A23" s="440">
        <v>2</v>
      </c>
      <c r="B23" s="1632"/>
      <c r="C23" s="1633"/>
      <c r="D23" s="441" t="s">
        <v>12</v>
      </c>
      <c r="E23" s="467">
        <v>37</v>
      </c>
      <c r="F23" s="469">
        <v>20940</v>
      </c>
      <c r="G23" s="470">
        <v>46637</v>
      </c>
      <c r="H23" s="467">
        <v>0</v>
      </c>
      <c r="I23" s="469">
        <v>5469</v>
      </c>
      <c r="J23" s="510" t="s">
        <v>68</v>
      </c>
      <c r="K23" s="511">
        <f t="shared" ref="K23:L32" si="2">E23+H23</f>
        <v>37</v>
      </c>
      <c r="L23" s="512">
        <f t="shared" si="2"/>
        <v>26409</v>
      </c>
      <c r="M23" s="513">
        <v>58326</v>
      </c>
      <c r="N23" s="48"/>
      <c r="O23" s="48"/>
      <c r="P23" s="48"/>
      <c r="Q23" s="1650"/>
      <c r="R23" s="1650"/>
      <c r="S23" s="1650"/>
      <c r="T23" s="1650"/>
      <c r="U23" s="1650"/>
      <c r="V23" s="1650"/>
      <c r="W23" s="129"/>
      <c r="X23" s="129"/>
      <c r="Y23" s="129"/>
      <c r="Z23" s="129"/>
    </row>
    <row r="24" spans="1:26">
      <c r="A24" s="440">
        <v>3</v>
      </c>
      <c r="B24" s="1632"/>
      <c r="C24" s="1633"/>
      <c r="D24" s="441" t="s">
        <v>13</v>
      </c>
      <c r="E24" s="467">
        <v>136</v>
      </c>
      <c r="F24" s="469">
        <v>47485</v>
      </c>
      <c r="G24" s="470">
        <v>29005</v>
      </c>
      <c r="H24" s="467">
        <v>4</v>
      </c>
      <c r="I24" s="469">
        <v>18054</v>
      </c>
      <c r="J24" s="510" t="s">
        <v>68</v>
      </c>
      <c r="K24" s="511">
        <f t="shared" si="2"/>
        <v>140</v>
      </c>
      <c r="L24" s="512">
        <f t="shared" si="2"/>
        <v>65539</v>
      </c>
      <c r="M24" s="513">
        <v>38882</v>
      </c>
      <c r="N24" s="48"/>
      <c r="O24" s="48"/>
      <c r="P24" s="48"/>
      <c r="Q24" s="1650"/>
      <c r="R24" s="1650"/>
      <c r="S24" s="1650"/>
      <c r="T24" s="1650"/>
      <c r="U24" s="1650"/>
      <c r="V24" s="1650"/>
      <c r="W24" s="129"/>
      <c r="X24" s="129"/>
      <c r="Y24" s="129"/>
      <c r="Z24" s="129"/>
    </row>
    <row r="25" spans="1:26">
      <c r="A25" s="440">
        <v>4</v>
      </c>
      <c r="B25" s="1632"/>
      <c r="C25" s="1633"/>
      <c r="D25" s="441" t="s">
        <v>14</v>
      </c>
      <c r="E25" s="467">
        <v>50</v>
      </c>
      <c r="F25" s="469">
        <v>14146</v>
      </c>
      <c r="G25" s="470">
        <v>23452</v>
      </c>
      <c r="H25" s="467">
        <v>2</v>
      </c>
      <c r="I25" s="469">
        <v>6496</v>
      </c>
      <c r="J25" s="510" t="s">
        <v>68</v>
      </c>
      <c r="K25" s="511">
        <f t="shared" si="2"/>
        <v>52</v>
      </c>
      <c r="L25" s="512">
        <f t="shared" si="2"/>
        <v>20642</v>
      </c>
      <c r="M25" s="513">
        <v>33115</v>
      </c>
      <c r="N25" s="48"/>
      <c r="O25" s="48"/>
      <c r="P25" s="48"/>
      <c r="Q25" s="1650"/>
      <c r="R25" s="1650"/>
      <c r="S25" s="1650"/>
      <c r="T25" s="1650"/>
      <c r="U25" s="1650"/>
      <c r="V25" s="1650"/>
      <c r="W25" s="129"/>
      <c r="X25" s="129"/>
      <c r="Y25" s="129"/>
      <c r="Z25" s="129"/>
    </row>
    <row r="26" spans="1:26">
      <c r="A26" s="440">
        <v>5</v>
      </c>
      <c r="B26" s="1632"/>
      <c r="C26" s="1633"/>
      <c r="D26" s="441" t="s">
        <v>15</v>
      </c>
      <c r="E26" s="467">
        <v>0</v>
      </c>
      <c r="F26" s="469">
        <v>0</v>
      </c>
      <c r="G26" s="470">
        <v>0</v>
      </c>
      <c r="H26" s="467">
        <v>0</v>
      </c>
      <c r="I26" s="469">
        <v>0</v>
      </c>
      <c r="J26" s="510" t="s">
        <v>68</v>
      </c>
      <c r="K26" s="511">
        <f t="shared" si="2"/>
        <v>0</v>
      </c>
      <c r="L26" s="512">
        <f t="shared" si="2"/>
        <v>0</v>
      </c>
      <c r="M26" s="513">
        <v>0</v>
      </c>
      <c r="N26" s="48"/>
      <c r="O26" s="48"/>
      <c r="P26" s="48"/>
      <c r="Q26" s="1650"/>
      <c r="R26" s="1650"/>
      <c r="S26" s="1650"/>
      <c r="T26" s="1650"/>
      <c r="U26" s="1650"/>
      <c r="V26" s="1650"/>
      <c r="W26" s="129"/>
      <c r="X26" s="129"/>
      <c r="Y26" s="129"/>
      <c r="Z26" s="129"/>
    </row>
    <row r="27" spans="1:26" s="28" customFormat="1">
      <c r="A27" s="440"/>
      <c r="B27" s="1632"/>
      <c r="C27" s="1633"/>
      <c r="D27" s="441"/>
      <c r="E27" s="467"/>
      <c r="F27" s="469"/>
      <c r="G27" s="470"/>
      <c r="H27" s="467"/>
      <c r="I27" s="469"/>
      <c r="J27" s="510"/>
      <c r="K27" s="511"/>
      <c r="L27" s="512"/>
      <c r="M27" s="513"/>
      <c r="N27" s="48"/>
      <c r="O27" s="48"/>
      <c r="P27" s="48"/>
      <c r="Q27" s="1650"/>
      <c r="R27" s="1650"/>
      <c r="S27" s="1650"/>
      <c r="T27" s="1650"/>
      <c r="U27" s="1650"/>
      <c r="V27" s="1650"/>
      <c r="W27" s="129"/>
      <c r="X27" s="129"/>
      <c r="Y27" s="129"/>
      <c r="Z27" s="129"/>
    </row>
    <row r="28" spans="1:26">
      <c r="A28" s="440">
        <v>6</v>
      </c>
      <c r="B28" s="1632"/>
      <c r="C28" s="1634"/>
      <c r="D28" s="441" t="s">
        <v>17</v>
      </c>
      <c r="E28" s="467">
        <v>257</v>
      </c>
      <c r="F28" s="469">
        <f>SUM(F22:F26)</f>
        <v>105185</v>
      </c>
      <c r="G28" s="470">
        <v>34122</v>
      </c>
      <c r="H28" s="467">
        <v>6</v>
      </c>
      <c r="I28" s="469">
        <f>SUM(I22:I26)</f>
        <v>38155</v>
      </c>
      <c r="J28" s="510" t="s">
        <v>68</v>
      </c>
      <c r="K28" s="511">
        <f t="shared" si="2"/>
        <v>263</v>
      </c>
      <c r="L28" s="512">
        <f t="shared" si="2"/>
        <v>143340</v>
      </c>
      <c r="M28" s="513">
        <v>45267</v>
      </c>
      <c r="N28" s="48"/>
      <c r="O28" s="48"/>
      <c r="P28" s="48"/>
      <c r="Q28" s="1650"/>
      <c r="R28" s="1650"/>
      <c r="S28" s="1650"/>
      <c r="T28" s="1650"/>
      <c r="U28" s="1650"/>
      <c r="V28" s="1650"/>
      <c r="W28" s="129"/>
      <c r="X28" s="129"/>
      <c r="Y28" s="129"/>
      <c r="Z28" s="129"/>
    </row>
    <row r="29" spans="1:26">
      <c r="A29" s="440">
        <v>7</v>
      </c>
      <c r="B29" s="1632"/>
      <c r="C29" s="1635" t="s">
        <v>77</v>
      </c>
      <c r="D29" s="1636"/>
      <c r="E29" s="467">
        <v>8</v>
      </c>
      <c r="F29" s="469">
        <v>2300</v>
      </c>
      <c r="G29" s="470">
        <v>24849</v>
      </c>
      <c r="H29" s="467">
        <v>12</v>
      </c>
      <c r="I29" s="469">
        <v>3691</v>
      </c>
      <c r="J29" s="510" t="s">
        <v>68</v>
      </c>
      <c r="K29" s="511">
        <f t="shared" si="2"/>
        <v>20</v>
      </c>
      <c r="L29" s="512">
        <f t="shared" si="2"/>
        <v>5991</v>
      </c>
      <c r="M29" s="513">
        <v>25578</v>
      </c>
      <c r="N29" s="48"/>
      <c r="O29" s="48"/>
      <c r="P29" s="48"/>
      <c r="Q29" s="1650"/>
      <c r="R29" s="1650"/>
      <c r="S29" s="1650"/>
      <c r="T29" s="1650"/>
      <c r="U29" s="1650"/>
      <c r="V29" s="1650"/>
      <c r="W29" s="129"/>
      <c r="X29" s="129"/>
      <c r="Y29" s="129"/>
      <c r="Z29" s="129"/>
    </row>
    <row r="30" spans="1:26">
      <c r="A30" s="440">
        <v>8</v>
      </c>
      <c r="B30" s="1604"/>
      <c r="C30" s="1637" t="s">
        <v>78</v>
      </c>
      <c r="D30" s="1638"/>
      <c r="E30" s="467">
        <v>296</v>
      </c>
      <c r="F30" s="469">
        <v>63527</v>
      </c>
      <c r="G30" s="470">
        <v>17891</v>
      </c>
      <c r="H30" s="467">
        <v>62</v>
      </c>
      <c r="I30" s="469">
        <v>32350</v>
      </c>
      <c r="J30" s="510" t="s">
        <v>68</v>
      </c>
      <c r="K30" s="511">
        <f t="shared" si="2"/>
        <v>358</v>
      </c>
      <c r="L30" s="512">
        <f t="shared" si="2"/>
        <v>95877</v>
      </c>
      <c r="M30" s="513">
        <v>22316</v>
      </c>
      <c r="N30" s="48"/>
      <c r="O30" s="48"/>
      <c r="P30" s="48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>
      <c r="A31" s="440">
        <v>9</v>
      </c>
      <c r="B31" s="1639" t="s">
        <v>8</v>
      </c>
      <c r="C31" s="1639"/>
      <c r="D31" s="1639"/>
      <c r="E31" s="467">
        <v>0</v>
      </c>
      <c r="F31" s="469">
        <v>0</v>
      </c>
      <c r="G31" s="470">
        <v>0</v>
      </c>
      <c r="H31" s="467">
        <v>21</v>
      </c>
      <c r="I31" s="469">
        <v>3658</v>
      </c>
      <c r="J31" s="510" t="s">
        <v>68</v>
      </c>
      <c r="K31" s="511">
        <f t="shared" si="2"/>
        <v>21</v>
      </c>
      <c r="L31" s="512">
        <f t="shared" si="2"/>
        <v>3658</v>
      </c>
      <c r="M31" s="513">
        <v>14849</v>
      </c>
      <c r="N31" s="48"/>
      <c r="O31" s="48"/>
      <c r="P31" s="48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15.75" thickBot="1">
      <c r="A32" s="446">
        <v>10</v>
      </c>
      <c r="B32" s="1640" t="s">
        <v>115</v>
      </c>
      <c r="C32" s="1640"/>
      <c r="D32" s="1640"/>
      <c r="E32" s="514">
        <v>3</v>
      </c>
      <c r="F32" s="515">
        <v>798</v>
      </c>
      <c r="G32" s="516">
        <v>21111</v>
      </c>
      <c r="H32" s="514">
        <v>150</v>
      </c>
      <c r="I32" s="515">
        <v>44459</v>
      </c>
      <c r="J32" s="517" t="s">
        <v>68</v>
      </c>
      <c r="K32" s="518">
        <f t="shared" si="2"/>
        <v>153</v>
      </c>
      <c r="L32" s="519">
        <f t="shared" si="2"/>
        <v>45257</v>
      </c>
      <c r="M32" s="520">
        <v>24664</v>
      </c>
      <c r="N32" s="48"/>
      <c r="O32" s="48"/>
      <c r="P32" s="48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15.75" thickBot="1">
      <c r="A33" s="451">
        <v>11</v>
      </c>
      <c r="B33" s="1630" t="s">
        <v>17</v>
      </c>
      <c r="C33" s="1630"/>
      <c r="D33" s="1630"/>
      <c r="E33" s="521">
        <f>E28+E29+E30+E31+E32</f>
        <v>564</v>
      </c>
      <c r="F33" s="522">
        <f t="shared" ref="F33:L33" si="3">F28+F29+F30+F31+F32</f>
        <v>171810</v>
      </c>
      <c r="G33" s="523">
        <v>25402</v>
      </c>
      <c r="H33" s="521">
        <f t="shared" si="3"/>
        <v>251</v>
      </c>
      <c r="I33" s="522">
        <f t="shared" si="3"/>
        <v>122313</v>
      </c>
      <c r="J33" s="524" t="s">
        <v>68</v>
      </c>
      <c r="K33" s="525">
        <f t="shared" si="3"/>
        <v>815</v>
      </c>
      <c r="L33" s="526">
        <f t="shared" si="3"/>
        <v>294123</v>
      </c>
      <c r="M33" s="527">
        <v>30079</v>
      </c>
      <c r="N33" s="48"/>
      <c r="O33" s="48"/>
      <c r="P33" s="48"/>
      <c r="Q33" s="129"/>
      <c r="R33" s="129"/>
      <c r="S33" s="129"/>
      <c r="T33" s="129"/>
      <c r="U33" s="129"/>
      <c r="V33" s="129"/>
      <c r="W33" s="129"/>
      <c r="X33" s="129"/>
      <c r="Y33" s="528"/>
      <c r="Z33" s="528"/>
    </row>
  </sheetData>
  <mergeCells count="36">
    <mergeCell ref="B32:D32"/>
    <mergeCell ref="B33:D33"/>
    <mergeCell ref="B22:B30"/>
    <mergeCell ref="C22:C28"/>
    <mergeCell ref="Q22:V29"/>
    <mergeCell ref="C29:D29"/>
    <mergeCell ref="C30:D30"/>
    <mergeCell ref="B31:D31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3.85546875" customWidth="1"/>
    <col min="2" max="2" width="6.42578125" customWidth="1"/>
    <col min="3" max="3" width="9.28515625" customWidth="1"/>
    <col min="4" max="4" width="16.28515625" customWidth="1"/>
    <col min="5" max="5" width="9.7109375" customWidth="1"/>
    <col min="6" max="6" width="8.5703125" customWidth="1"/>
    <col min="7" max="7" width="14.5703125" bestFit="1" customWidth="1"/>
    <col min="8" max="8" width="9.7109375" customWidth="1"/>
    <col min="9" max="10" width="10.42578125" customWidth="1"/>
    <col min="11" max="11" width="9.5703125" customWidth="1"/>
    <col min="12" max="12" width="8.85546875" customWidth="1"/>
    <col min="13" max="13" width="10" customWidth="1"/>
    <col min="14" max="14" width="8.85546875" customWidth="1"/>
    <col min="15" max="16" width="8.85546875" style="28" customWidth="1"/>
    <col min="17" max="17" width="8.5703125" customWidth="1"/>
    <col min="19" max="19" width="8.42578125" customWidth="1"/>
    <col min="20" max="20" width="9.42578125" customWidth="1"/>
    <col min="21" max="21" width="8.42578125" customWidth="1"/>
  </cols>
  <sheetData>
    <row r="1" spans="1:26" ht="15.75">
      <c r="A1" s="7" t="s">
        <v>61</v>
      </c>
      <c r="B1" s="66"/>
      <c r="C1" s="66"/>
      <c r="D1" s="66"/>
      <c r="E1" s="66"/>
      <c r="F1" s="66"/>
      <c r="G1" s="66"/>
      <c r="H1" s="66"/>
      <c r="I1" s="54"/>
      <c r="J1" s="54"/>
      <c r="K1" s="54"/>
      <c r="L1" s="54"/>
      <c r="M1" s="54"/>
      <c r="N1" s="54"/>
      <c r="O1" s="54"/>
      <c r="P1" s="54"/>
      <c r="Q1" s="374"/>
      <c r="R1" s="374"/>
      <c r="S1" s="374"/>
      <c r="T1" s="374"/>
      <c r="U1" s="374"/>
      <c r="V1" s="374"/>
      <c r="W1" s="4"/>
      <c r="X1" s="4"/>
      <c r="Y1" s="5"/>
      <c r="Z1" s="5"/>
    </row>
    <row r="2" spans="1:26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</row>
    <row r="3" spans="1:26">
      <c r="A3" s="49" t="s">
        <v>57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</row>
    <row r="4" spans="1:26" ht="15.75" thickBot="1">
      <c r="A4" s="529"/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4"/>
      <c r="S4" s="529"/>
      <c r="T4" s="529"/>
      <c r="U4" s="529"/>
      <c r="V4" s="529"/>
      <c r="W4" s="529"/>
      <c r="X4" s="529"/>
      <c r="Y4" s="529"/>
      <c r="Z4" s="530" t="s">
        <v>4</v>
      </c>
    </row>
    <row r="5" spans="1:26" ht="15.75" thickBot="1">
      <c r="A5" s="1443" t="s">
        <v>1</v>
      </c>
      <c r="B5" s="1431" t="s">
        <v>7</v>
      </c>
      <c r="C5" s="1432"/>
      <c r="D5" s="1433"/>
      <c r="E5" s="1586" t="s">
        <v>35</v>
      </c>
      <c r="F5" s="1587"/>
      <c r="G5" s="1587"/>
      <c r="H5" s="1587"/>
      <c r="I5" s="1587"/>
      <c r="J5" s="1587"/>
      <c r="K5" s="1587"/>
      <c r="L5" s="1587"/>
      <c r="M5" s="1587"/>
      <c r="N5" s="1587"/>
      <c r="O5" s="1587"/>
      <c r="P5" s="1587"/>
      <c r="Q5" s="1587"/>
      <c r="R5" s="1587"/>
      <c r="S5" s="1587"/>
      <c r="T5" s="1587"/>
      <c r="U5" s="1587"/>
      <c r="V5" s="1587"/>
      <c r="W5" s="1587"/>
      <c r="X5" s="1587"/>
      <c r="Y5" s="1587"/>
      <c r="Z5" s="1588"/>
    </row>
    <row r="6" spans="1:26">
      <c r="A6" s="1444"/>
      <c r="B6" s="1434"/>
      <c r="C6" s="1435"/>
      <c r="D6" s="1436"/>
      <c r="E6" s="1589" t="s">
        <v>24</v>
      </c>
      <c r="F6" s="1590"/>
      <c r="G6" s="1590"/>
      <c r="H6" s="1591"/>
      <c r="I6" s="1589" t="s">
        <v>28</v>
      </c>
      <c r="J6" s="1590"/>
      <c r="K6" s="1590"/>
      <c r="L6" s="1591"/>
      <c r="M6" s="1589" t="s">
        <v>20</v>
      </c>
      <c r="N6" s="1590"/>
      <c r="O6" s="1590"/>
      <c r="P6" s="1590"/>
      <c r="Q6" s="1590"/>
      <c r="R6" s="1591"/>
      <c r="S6" s="1592" t="s">
        <v>18</v>
      </c>
      <c r="T6" s="1593"/>
      <c r="U6" s="1592" t="s">
        <v>5</v>
      </c>
      <c r="V6" s="1593"/>
      <c r="W6" s="1592" t="s">
        <v>21</v>
      </c>
      <c r="X6" s="1593"/>
      <c r="Y6" s="1596" t="s">
        <v>17</v>
      </c>
      <c r="Z6" s="1597"/>
    </row>
    <row r="7" spans="1:26">
      <c r="A7" s="1444"/>
      <c r="B7" s="1434"/>
      <c r="C7" s="1435"/>
      <c r="D7" s="1436"/>
      <c r="E7" s="1600" t="s">
        <v>19</v>
      </c>
      <c r="F7" s="1601"/>
      <c r="G7" s="1602" t="s">
        <v>27</v>
      </c>
      <c r="H7" s="1603"/>
      <c r="I7" s="1600" t="s">
        <v>73</v>
      </c>
      <c r="J7" s="1601"/>
      <c r="K7" s="1602" t="s">
        <v>29</v>
      </c>
      <c r="L7" s="1603"/>
      <c r="M7" s="1419" t="s">
        <v>59</v>
      </c>
      <c r="N7" s="1420"/>
      <c r="O7" s="1369"/>
      <c r="P7" s="1369"/>
      <c r="Q7" s="1602" t="s">
        <v>31</v>
      </c>
      <c r="R7" s="1603"/>
      <c r="S7" s="1594"/>
      <c r="T7" s="1595"/>
      <c r="U7" s="1594"/>
      <c r="V7" s="1595"/>
      <c r="W7" s="1594"/>
      <c r="X7" s="1595"/>
      <c r="Y7" s="1598"/>
      <c r="Z7" s="1599"/>
    </row>
    <row r="8" spans="1:26" ht="15.75" thickBot="1">
      <c r="A8" s="1444"/>
      <c r="B8" s="1434"/>
      <c r="C8" s="1435"/>
      <c r="D8" s="1436"/>
      <c r="E8" s="378" t="s">
        <v>6</v>
      </c>
      <c r="F8" s="379" t="s">
        <v>38</v>
      </c>
      <c r="G8" s="380" t="s">
        <v>6</v>
      </c>
      <c r="H8" s="381" t="s">
        <v>38</v>
      </c>
      <c r="I8" s="378" t="s">
        <v>6</v>
      </c>
      <c r="J8" s="380" t="s">
        <v>38</v>
      </c>
      <c r="K8" s="380" t="s">
        <v>6</v>
      </c>
      <c r="L8" s="381" t="s">
        <v>38</v>
      </c>
      <c r="M8" s="378" t="s">
        <v>6</v>
      </c>
      <c r="N8" s="380" t="s">
        <v>38</v>
      </c>
      <c r="O8" s="380"/>
      <c r="P8" s="380"/>
      <c r="Q8" s="380" t="s">
        <v>6</v>
      </c>
      <c r="R8" s="381" t="s">
        <v>38</v>
      </c>
      <c r="S8" s="378" t="s">
        <v>6</v>
      </c>
      <c r="T8" s="381" t="s">
        <v>38</v>
      </c>
      <c r="U8" s="378" t="s">
        <v>6</v>
      </c>
      <c r="V8" s="381" t="s">
        <v>38</v>
      </c>
      <c r="W8" s="378" t="s">
        <v>6</v>
      </c>
      <c r="X8" s="381" t="s">
        <v>38</v>
      </c>
      <c r="Y8" s="382" t="s">
        <v>65</v>
      </c>
      <c r="Z8" s="383" t="s">
        <v>38</v>
      </c>
    </row>
    <row r="9" spans="1:26" ht="15.75" thickBot="1">
      <c r="A9" s="1445"/>
      <c r="B9" s="1437"/>
      <c r="C9" s="1438"/>
      <c r="D9" s="1439"/>
      <c r="E9" s="15">
        <v>1</v>
      </c>
      <c r="F9" s="47">
        <v>2</v>
      </c>
      <c r="G9" s="42">
        <v>3</v>
      </c>
      <c r="H9" s="44">
        <v>4</v>
      </c>
      <c r="I9" s="15">
        <v>5</v>
      </c>
      <c r="J9" s="42">
        <v>6</v>
      </c>
      <c r="K9" s="42">
        <v>7</v>
      </c>
      <c r="L9" s="44">
        <v>8</v>
      </c>
      <c r="M9" s="15">
        <v>9</v>
      </c>
      <c r="N9" s="42">
        <v>10</v>
      </c>
      <c r="O9" s="42"/>
      <c r="P9" s="42"/>
      <c r="Q9" s="42">
        <v>11</v>
      </c>
      <c r="R9" s="44">
        <v>12</v>
      </c>
      <c r="S9" s="15">
        <v>13</v>
      </c>
      <c r="T9" s="44">
        <v>14</v>
      </c>
      <c r="U9" s="15">
        <v>15</v>
      </c>
      <c r="V9" s="44">
        <v>16</v>
      </c>
      <c r="W9" s="15">
        <v>17</v>
      </c>
      <c r="X9" s="44">
        <v>18</v>
      </c>
      <c r="Y9" s="62">
        <v>19</v>
      </c>
      <c r="Z9" s="63">
        <v>20</v>
      </c>
    </row>
    <row r="10" spans="1:26">
      <c r="A10" s="384">
        <v>1</v>
      </c>
      <c r="B10" s="1604" t="s">
        <v>30</v>
      </c>
      <c r="C10" s="1651" t="s">
        <v>16</v>
      </c>
      <c r="D10" s="1652"/>
      <c r="E10" s="531">
        <f>176452-F10</f>
        <v>176110</v>
      </c>
      <c r="F10" s="532">
        <v>342</v>
      </c>
      <c r="G10" s="533">
        <v>63694</v>
      </c>
      <c r="H10" s="534">
        <v>0</v>
      </c>
      <c r="I10" s="531">
        <f>5741-K10</f>
        <v>5741</v>
      </c>
      <c r="J10" s="533">
        <v>0</v>
      </c>
      <c r="K10" s="533">
        <v>0</v>
      </c>
      <c r="L10" s="534">
        <v>0</v>
      </c>
      <c r="M10" s="531">
        <v>2355</v>
      </c>
      <c r="N10" s="533">
        <v>0</v>
      </c>
      <c r="O10" s="533"/>
      <c r="P10" s="533"/>
      <c r="Q10" s="533">
        <v>0</v>
      </c>
      <c r="R10" s="534">
        <v>0</v>
      </c>
      <c r="S10" s="531">
        <v>0</v>
      </c>
      <c r="T10" s="534">
        <v>0</v>
      </c>
      <c r="U10" s="531">
        <v>841</v>
      </c>
      <c r="V10" s="534">
        <v>0</v>
      </c>
      <c r="W10" s="535">
        <v>11502</v>
      </c>
      <c r="X10" s="536">
        <v>0</v>
      </c>
      <c r="Y10" s="537">
        <f t="shared" ref="Y10:Z14" si="0">E10+G10+I10+K10+M10+Q10+S10+U10+W10</f>
        <v>260243</v>
      </c>
      <c r="Z10" s="538">
        <f t="shared" si="0"/>
        <v>342</v>
      </c>
    </row>
    <row r="11" spans="1:26">
      <c r="A11" s="384">
        <v>2</v>
      </c>
      <c r="B11" s="1605"/>
      <c r="C11" s="1637" t="s">
        <v>9</v>
      </c>
      <c r="D11" s="1638"/>
      <c r="E11" s="539">
        <v>5923</v>
      </c>
      <c r="F11" s="540">
        <v>0</v>
      </c>
      <c r="G11" s="541">
        <v>4559</v>
      </c>
      <c r="H11" s="542">
        <v>0</v>
      </c>
      <c r="I11" s="539">
        <f>4245-K11</f>
        <v>3367</v>
      </c>
      <c r="J11" s="541">
        <f>24-L11</f>
        <v>0</v>
      </c>
      <c r="K11" s="541">
        <v>878</v>
      </c>
      <c r="L11" s="542">
        <v>24</v>
      </c>
      <c r="M11" s="539">
        <f>733-Q11</f>
        <v>152</v>
      </c>
      <c r="N11" s="541">
        <v>0</v>
      </c>
      <c r="O11" s="541"/>
      <c r="P11" s="541"/>
      <c r="Q11" s="541">
        <v>581</v>
      </c>
      <c r="R11" s="542">
        <v>0</v>
      </c>
      <c r="S11" s="539">
        <v>0</v>
      </c>
      <c r="T11" s="542">
        <v>0</v>
      </c>
      <c r="U11" s="539">
        <v>3</v>
      </c>
      <c r="V11" s="542">
        <v>0</v>
      </c>
      <c r="W11" s="543">
        <v>1011</v>
      </c>
      <c r="X11" s="544">
        <v>0</v>
      </c>
      <c r="Y11" s="537">
        <f t="shared" si="0"/>
        <v>16474</v>
      </c>
      <c r="Z11" s="538">
        <f t="shared" si="0"/>
        <v>24</v>
      </c>
    </row>
    <row r="12" spans="1:26">
      <c r="A12" s="57">
        <v>3</v>
      </c>
      <c r="B12" s="1605"/>
      <c r="C12" s="1653" t="s">
        <v>2</v>
      </c>
      <c r="D12" s="1654"/>
      <c r="E12" s="539">
        <f>98921-52</f>
        <v>98869</v>
      </c>
      <c r="F12" s="540">
        <f>52+14898</f>
        <v>14950</v>
      </c>
      <c r="G12" s="541">
        <f>147+2703</f>
        <v>2850</v>
      </c>
      <c r="H12" s="542">
        <v>641</v>
      </c>
      <c r="I12" s="539">
        <f>822-K12</f>
        <v>808</v>
      </c>
      <c r="J12" s="541">
        <f>1256-L12</f>
        <v>1106</v>
      </c>
      <c r="K12" s="541">
        <v>14</v>
      </c>
      <c r="L12" s="542">
        <v>150</v>
      </c>
      <c r="M12" s="539">
        <f>5157-Q12</f>
        <v>5078</v>
      </c>
      <c r="N12" s="541">
        <f>7144-R12</f>
        <v>7043</v>
      </c>
      <c r="O12" s="541"/>
      <c r="P12" s="541"/>
      <c r="Q12" s="541">
        <v>79</v>
      </c>
      <c r="R12" s="542">
        <v>101</v>
      </c>
      <c r="S12" s="539">
        <v>0</v>
      </c>
      <c r="T12" s="542">
        <v>0</v>
      </c>
      <c r="U12" s="539">
        <v>96</v>
      </c>
      <c r="V12" s="542">
        <v>187</v>
      </c>
      <c r="W12" s="543">
        <v>7737</v>
      </c>
      <c r="X12" s="544">
        <v>3499</v>
      </c>
      <c r="Y12" s="537">
        <f t="shared" si="0"/>
        <v>115531</v>
      </c>
      <c r="Z12" s="538">
        <f t="shared" si="0"/>
        <v>27677</v>
      </c>
    </row>
    <row r="13" spans="1:26">
      <c r="A13" s="377">
        <v>4</v>
      </c>
      <c r="B13" s="1655" t="s">
        <v>8</v>
      </c>
      <c r="C13" s="1656"/>
      <c r="D13" s="1657"/>
      <c r="E13" s="539">
        <v>10</v>
      </c>
      <c r="F13" s="540">
        <v>0</v>
      </c>
      <c r="G13" s="541">
        <v>0</v>
      </c>
      <c r="H13" s="542">
        <v>0</v>
      </c>
      <c r="I13" s="539">
        <v>0</v>
      </c>
      <c r="J13" s="541">
        <v>0</v>
      </c>
      <c r="K13" s="541">
        <v>0</v>
      </c>
      <c r="L13" s="542">
        <v>0</v>
      </c>
      <c r="M13" s="539">
        <v>0</v>
      </c>
      <c r="N13" s="541">
        <v>0</v>
      </c>
      <c r="O13" s="541"/>
      <c r="P13" s="541"/>
      <c r="Q13" s="541">
        <v>0</v>
      </c>
      <c r="R13" s="542">
        <v>0</v>
      </c>
      <c r="S13" s="539">
        <v>0</v>
      </c>
      <c r="T13" s="542">
        <v>0</v>
      </c>
      <c r="U13" s="539">
        <f>71+3107</f>
        <v>3178</v>
      </c>
      <c r="V13" s="542">
        <f>137+168</f>
        <v>305</v>
      </c>
      <c r="W13" s="543">
        <v>0</v>
      </c>
      <c r="X13" s="544">
        <v>0</v>
      </c>
      <c r="Y13" s="537">
        <f t="shared" si="0"/>
        <v>3188</v>
      </c>
      <c r="Z13" s="538">
        <f t="shared" si="0"/>
        <v>305</v>
      </c>
    </row>
    <row r="14" spans="1:26" ht="15.75" thickBot="1">
      <c r="A14" s="545">
        <v>5</v>
      </c>
      <c r="B14" s="1658" t="s">
        <v>25</v>
      </c>
      <c r="C14" s="1659"/>
      <c r="D14" s="1660"/>
      <c r="E14" s="546">
        <v>0</v>
      </c>
      <c r="F14" s="547">
        <v>0</v>
      </c>
      <c r="G14" s="548">
        <v>0</v>
      </c>
      <c r="H14" s="549">
        <v>0</v>
      </c>
      <c r="I14" s="546">
        <v>0</v>
      </c>
      <c r="J14" s="548">
        <v>0</v>
      </c>
      <c r="K14" s="548">
        <v>0</v>
      </c>
      <c r="L14" s="549">
        <v>0</v>
      </c>
      <c r="M14" s="546">
        <v>0</v>
      </c>
      <c r="N14" s="548">
        <v>0</v>
      </c>
      <c r="O14" s="548"/>
      <c r="P14" s="548"/>
      <c r="Q14" s="548">
        <v>0</v>
      </c>
      <c r="R14" s="549">
        <v>0</v>
      </c>
      <c r="S14" s="550">
        <v>0</v>
      </c>
      <c r="T14" s="551">
        <v>0</v>
      </c>
      <c r="U14" s="550">
        <v>0</v>
      </c>
      <c r="V14" s="551">
        <v>0</v>
      </c>
      <c r="W14" s="552">
        <v>0</v>
      </c>
      <c r="X14" s="553">
        <v>0</v>
      </c>
      <c r="Y14" s="537">
        <f t="shared" si="0"/>
        <v>0</v>
      </c>
      <c r="Z14" s="538">
        <f t="shared" si="0"/>
        <v>0</v>
      </c>
    </row>
    <row r="15" spans="1:26" ht="15.75" thickBot="1">
      <c r="A15" s="414">
        <v>6</v>
      </c>
      <c r="B15" s="1618" t="s">
        <v>17</v>
      </c>
      <c r="C15" s="1619"/>
      <c r="D15" s="1620"/>
      <c r="E15" s="554">
        <f t="shared" ref="E15:Z15" si="1">SUM(E10:E14)</f>
        <v>280912</v>
      </c>
      <c r="F15" s="555">
        <f t="shared" si="1"/>
        <v>15292</v>
      </c>
      <c r="G15" s="556">
        <f t="shared" si="1"/>
        <v>71103</v>
      </c>
      <c r="H15" s="557">
        <f t="shared" si="1"/>
        <v>641</v>
      </c>
      <c r="I15" s="554">
        <f t="shared" si="1"/>
        <v>9916</v>
      </c>
      <c r="J15" s="555">
        <f t="shared" si="1"/>
        <v>1106</v>
      </c>
      <c r="K15" s="556">
        <f t="shared" si="1"/>
        <v>892</v>
      </c>
      <c r="L15" s="557">
        <f t="shared" si="1"/>
        <v>174</v>
      </c>
      <c r="M15" s="554">
        <f t="shared" si="1"/>
        <v>7585</v>
      </c>
      <c r="N15" s="555">
        <f t="shared" si="1"/>
        <v>7043</v>
      </c>
      <c r="O15" s="555"/>
      <c r="P15" s="555"/>
      <c r="Q15" s="556">
        <f t="shared" si="1"/>
        <v>660</v>
      </c>
      <c r="R15" s="557">
        <f t="shared" si="1"/>
        <v>101</v>
      </c>
      <c r="S15" s="558">
        <f t="shared" si="1"/>
        <v>0</v>
      </c>
      <c r="T15" s="559">
        <f t="shared" si="1"/>
        <v>0</v>
      </c>
      <c r="U15" s="558">
        <f t="shared" si="1"/>
        <v>4118</v>
      </c>
      <c r="V15" s="559">
        <f t="shared" si="1"/>
        <v>492</v>
      </c>
      <c r="W15" s="560">
        <f t="shared" si="1"/>
        <v>20250</v>
      </c>
      <c r="X15" s="559">
        <f t="shared" si="1"/>
        <v>3499</v>
      </c>
      <c r="Y15" s="554">
        <f t="shared" si="1"/>
        <v>395436</v>
      </c>
      <c r="Z15" s="561">
        <f t="shared" si="1"/>
        <v>28348</v>
      </c>
    </row>
    <row r="16" spans="1:26">
      <c r="A16" s="562"/>
      <c r="B16" s="562"/>
      <c r="C16" s="562"/>
      <c r="D16" s="562"/>
      <c r="E16" s="563"/>
      <c r="F16" s="564"/>
      <c r="G16" s="565"/>
      <c r="H16" s="562"/>
      <c r="I16" s="563"/>
      <c r="J16" s="564"/>
      <c r="K16" s="562"/>
      <c r="L16" s="562"/>
      <c r="M16" s="563"/>
      <c r="N16" s="566"/>
      <c r="O16" s="566"/>
      <c r="P16" s="566"/>
      <c r="Q16" s="562"/>
      <c r="R16" s="562"/>
      <c r="S16" s="562"/>
      <c r="T16" s="562"/>
      <c r="U16" s="562"/>
      <c r="V16" s="562"/>
      <c r="W16" s="562"/>
      <c r="X16" s="562"/>
      <c r="Y16" s="562"/>
      <c r="Z16" s="562"/>
    </row>
    <row r="17" spans="1:26">
      <c r="A17" s="49" t="s">
        <v>121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7"/>
      <c r="R17" s="568"/>
      <c r="S17" s="5"/>
      <c r="T17" s="55"/>
      <c r="U17" s="55"/>
      <c r="V17" s="4"/>
      <c r="W17" s="4"/>
      <c r="X17" s="4"/>
      <c r="Y17" s="5"/>
      <c r="Z17" s="5"/>
    </row>
    <row r="18" spans="1:26" ht="15.75" thickBot="1">
      <c r="A18" s="37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8" t="s">
        <v>4</v>
      </c>
      <c r="N18" s="529"/>
      <c r="O18" s="529"/>
      <c r="P18" s="529"/>
      <c r="Q18" s="569"/>
      <c r="R18" s="569"/>
      <c r="S18" s="570"/>
      <c r="T18" s="571"/>
      <c r="U18" s="529"/>
      <c r="V18" s="529"/>
      <c r="W18" s="4"/>
      <c r="X18" s="4"/>
      <c r="Y18" s="5"/>
      <c r="Z18" s="5"/>
    </row>
    <row r="19" spans="1:26">
      <c r="A19" s="1621" t="s">
        <v>1</v>
      </c>
      <c r="B19" s="1624" t="s">
        <v>7</v>
      </c>
      <c r="C19" s="1624"/>
      <c r="D19" s="1624"/>
      <c r="E19" s="1627" t="s">
        <v>32</v>
      </c>
      <c r="F19" s="1628"/>
      <c r="G19" s="1629"/>
      <c r="H19" s="1589" t="s">
        <v>34</v>
      </c>
      <c r="I19" s="1590"/>
      <c r="J19" s="1591"/>
      <c r="K19" s="1628" t="s">
        <v>17</v>
      </c>
      <c r="L19" s="1628"/>
      <c r="M19" s="1629"/>
      <c r="N19" s="529"/>
      <c r="O19" s="529"/>
      <c r="P19" s="529"/>
      <c r="Q19" s="529"/>
      <c r="R19" s="529"/>
      <c r="S19" s="529"/>
      <c r="T19" s="529"/>
      <c r="U19" s="529"/>
      <c r="V19" s="529"/>
      <c r="W19" s="4"/>
      <c r="X19" s="4"/>
      <c r="Y19" s="5"/>
      <c r="Z19" s="5"/>
    </row>
    <row r="20" spans="1:26" ht="38.25">
      <c r="A20" s="1622"/>
      <c r="B20" s="1625"/>
      <c r="C20" s="1625"/>
      <c r="D20" s="1625"/>
      <c r="E20" s="428" t="s">
        <v>75</v>
      </c>
      <c r="F20" s="429" t="s">
        <v>33</v>
      </c>
      <c r="G20" s="430" t="s">
        <v>23</v>
      </c>
      <c r="H20" s="428" t="s">
        <v>22</v>
      </c>
      <c r="I20" s="429" t="s">
        <v>33</v>
      </c>
      <c r="J20" s="430" t="s">
        <v>23</v>
      </c>
      <c r="K20" s="431" t="s">
        <v>22</v>
      </c>
      <c r="L20" s="432" t="s">
        <v>33</v>
      </c>
      <c r="M20" s="430" t="s">
        <v>23</v>
      </c>
      <c r="N20" s="529"/>
      <c r="O20" s="529"/>
      <c r="P20" s="529"/>
      <c r="Q20" s="5"/>
      <c r="R20" s="5"/>
      <c r="S20" s="5"/>
      <c r="T20" s="529"/>
      <c r="U20" s="529"/>
      <c r="V20" s="529"/>
      <c r="W20" s="529"/>
      <c r="X20" s="529"/>
      <c r="Y20" s="529"/>
      <c r="Z20" s="529"/>
    </row>
    <row r="21" spans="1:26" ht="26.25" thickBot="1">
      <c r="A21" s="1623"/>
      <c r="B21" s="1626"/>
      <c r="C21" s="1626"/>
      <c r="D21" s="1626"/>
      <c r="E21" s="378">
        <v>1</v>
      </c>
      <c r="F21" s="380">
        <v>2</v>
      </c>
      <c r="G21" s="381" t="s">
        <v>47</v>
      </c>
      <c r="H21" s="378">
        <v>4</v>
      </c>
      <c r="I21" s="380">
        <v>5</v>
      </c>
      <c r="J21" s="381" t="s">
        <v>48</v>
      </c>
      <c r="K21" s="379">
        <v>7</v>
      </c>
      <c r="L21" s="433">
        <v>8</v>
      </c>
      <c r="M21" s="381" t="s">
        <v>49</v>
      </c>
      <c r="N21" s="572"/>
      <c r="O21" s="572"/>
      <c r="P21" s="572"/>
      <c r="Q21" s="6"/>
      <c r="R21" s="6"/>
      <c r="S21" s="6"/>
      <c r="T21" s="529"/>
      <c r="U21" s="572"/>
      <c r="V21" s="572"/>
      <c r="W21" s="572"/>
      <c r="X21" s="572"/>
      <c r="Y21" s="572"/>
      <c r="Z21" s="572"/>
    </row>
    <row r="22" spans="1:26">
      <c r="A22" s="434">
        <v>1</v>
      </c>
      <c r="B22" s="1631" t="s">
        <v>26</v>
      </c>
      <c r="C22" s="1633" t="s">
        <v>76</v>
      </c>
      <c r="D22" s="435" t="s">
        <v>11</v>
      </c>
      <c r="E22" s="573">
        <v>35.19</v>
      </c>
      <c r="F22" s="574">
        <v>28177</v>
      </c>
      <c r="G22" s="534">
        <f>F22/12/E22</f>
        <v>66.725869091598</v>
      </c>
      <c r="H22" s="573">
        <f>37.11-E22</f>
        <v>1.9200000000000017</v>
      </c>
      <c r="I22" s="533">
        <f>30134-F22</f>
        <v>1957</v>
      </c>
      <c r="J22" s="542">
        <f t="shared" ref="J22:J33" si="2">I22/12/H22</f>
        <v>84.939236111111043</v>
      </c>
      <c r="K22" s="575">
        <f>E22+H22</f>
        <v>37.11</v>
      </c>
      <c r="L22" s="533">
        <f>F22+I22</f>
        <v>30134</v>
      </c>
      <c r="M22" s="534">
        <f>L22/12/K22</f>
        <v>67.668193658492768</v>
      </c>
      <c r="N22" s="529"/>
      <c r="O22" s="529"/>
      <c r="P22" s="529"/>
      <c r="Q22" s="576"/>
      <c r="R22" s="576"/>
      <c r="S22" s="577"/>
      <c r="T22" s="529"/>
      <c r="U22" s="529"/>
      <c r="V22" s="529"/>
      <c r="W22" s="529"/>
      <c r="X22" s="529"/>
      <c r="Y22" s="529"/>
      <c r="Z22" s="529"/>
    </row>
    <row r="23" spans="1:26">
      <c r="A23" s="440">
        <v>2</v>
      </c>
      <c r="B23" s="1632"/>
      <c r="C23" s="1633"/>
      <c r="D23" s="441" t="s">
        <v>12</v>
      </c>
      <c r="E23" s="578">
        <v>108.7</v>
      </c>
      <c r="F23" s="579">
        <v>72578</v>
      </c>
      <c r="G23" s="542">
        <f>F23/12/E23</f>
        <v>55.640907697025455</v>
      </c>
      <c r="H23" s="578">
        <f>115.75-E23</f>
        <v>7.0499999999999972</v>
      </c>
      <c r="I23" s="541">
        <f>78799-F23</f>
        <v>6221</v>
      </c>
      <c r="J23" s="542">
        <f t="shared" si="2"/>
        <v>73.534278959810905</v>
      </c>
      <c r="K23" s="580">
        <f t="shared" ref="K23:L32" si="3">E23+H23</f>
        <v>115.75</v>
      </c>
      <c r="L23" s="541">
        <f t="shared" si="3"/>
        <v>78799</v>
      </c>
      <c r="M23" s="542">
        <f>L23/12/K23</f>
        <v>56.730741540676746</v>
      </c>
      <c r="N23" s="529"/>
      <c r="O23" s="529"/>
      <c r="P23" s="529"/>
      <c r="Q23" s="576"/>
      <c r="R23" s="576"/>
      <c r="S23" s="577"/>
      <c r="T23" s="529"/>
      <c r="U23" s="529"/>
      <c r="V23" s="529"/>
      <c r="W23" s="529"/>
      <c r="X23" s="529"/>
      <c r="Y23" s="529"/>
      <c r="Z23" s="529"/>
    </row>
    <row r="24" spans="1:26">
      <c r="A24" s="440">
        <v>3</v>
      </c>
      <c r="B24" s="1632"/>
      <c r="C24" s="1633"/>
      <c r="D24" s="441" t="s">
        <v>13</v>
      </c>
      <c r="E24" s="578">
        <v>293.24</v>
      </c>
      <c r="F24" s="579">
        <v>124215</v>
      </c>
      <c r="G24" s="542">
        <f t="shared" ref="G24:G31" si="4">F24/12/E24</f>
        <v>35.29958395853226</v>
      </c>
      <c r="H24" s="578">
        <f>306.01-E24</f>
        <v>12.769999999999982</v>
      </c>
      <c r="I24" s="541">
        <f>135247-F24</f>
        <v>11032</v>
      </c>
      <c r="J24" s="542">
        <f t="shared" si="2"/>
        <v>71.991647089532862</v>
      </c>
      <c r="K24" s="580">
        <f t="shared" si="3"/>
        <v>306.01</v>
      </c>
      <c r="L24" s="541">
        <f t="shared" si="3"/>
        <v>135247</v>
      </c>
      <c r="M24" s="542">
        <f t="shared" ref="M24:M31" si="5">L24/12/K24</f>
        <v>36.830768057688751</v>
      </c>
      <c r="N24" s="529"/>
      <c r="O24" s="529"/>
      <c r="P24" s="529"/>
      <c r="Q24" s="576"/>
      <c r="R24" s="576"/>
      <c r="S24" s="577"/>
      <c r="T24" s="529"/>
      <c r="U24" s="529"/>
      <c r="V24" s="529"/>
      <c r="W24" s="529"/>
      <c r="X24" s="529"/>
      <c r="Y24" s="529"/>
      <c r="Z24" s="529"/>
    </row>
    <row r="25" spans="1:26">
      <c r="A25" s="440">
        <v>4</v>
      </c>
      <c r="B25" s="1632"/>
      <c r="C25" s="1633"/>
      <c r="D25" s="441" t="s">
        <v>14</v>
      </c>
      <c r="E25" s="578">
        <v>0.08</v>
      </c>
      <c r="F25" s="579">
        <v>23</v>
      </c>
      <c r="G25" s="542">
        <f t="shared" si="4"/>
        <v>23.958333333333332</v>
      </c>
      <c r="H25" s="578">
        <f>0.07900000000001-E25</f>
        <v>-9.99999999989995E-4</v>
      </c>
      <c r="I25" s="541">
        <f>23-F25</f>
        <v>0</v>
      </c>
      <c r="J25" s="542">
        <f t="shared" si="2"/>
        <v>0</v>
      </c>
      <c r="K25" s="580">
        <f t="shared" si="3"/>
        <v>7.9000000000010007E-2</v>
      </c>
      <c r="L25" s="541">
        <f t="shared" si="3"/>
        <v>23</v>
      </c>
      <c r="M25" s="542">
        <f t="shared" si="5"/>
        <v>24.261603375524356</v>
      </c>
      <c r="N25" s="529"/>
      <c r="O25" s="529"/>
      <c r="P25" s="529"/>
      <c r="Q25" s="576"/>
      <c r="R25" s="576"/>
      <c r="S25" s="570"/>
      <c r="T25" s="529"/>
      <c r="U25" s="529"/>
      <c r="V25" s="529"/>
      <c r="W25" s="529"/>
      <c r="X25" s="529"/>
      <c r="Y25" s="529"/>
      <c r="Z25" s="529"/>
    </row>
    <row r="26" spans="1:26">
      <c r="A26" s="440">
        <v>5</v>
      </c>
      <c r="B26" s="1632"/>
      <c r="C26" s="1633"/>
      <c r="D26" s="441" t="s">
        <v>15</v>
      </c>
      <c r="E26" s="578">
        <v>1.84</v>
      </c>
      <c r="F26" s="579">
        <v>393</v>
      </c>
      <c r="G26" s="542">
        <f t="shared" si="4"/>
        <v>17.798913043478262</v>
      </c>
      <c r="H26" s="578">
        <f>1.84-E26</f>
        <v>0</v>
      </c>
      <c r="I26" s="541">
        <f>396-F26</f>
        <v>3</v>
      </c>
      <c r="J26" s="542">
        <v>0</v>
      </c>
      <c r="K26" s="580">
        <f t="shared" si="3"/>
        <v>1.84</v>
      </c>
      <c r="L26" s="541">
        <f t="shared" si="3"/>
        <v>396</v>
      </c>
      <c r="M26" s="542">
        <f t="shared" si="5"/>
        <v>17.934782608695652</v>
      </c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</row>
    <row r="27" spans="1:26">
      <c r="A27" s="440">
        <v>6</v>
      </c>
      <c r="B27" s="1632"/>
      <c r="C27" s="1633"/>
      <c r="D27" s="441" t="s">
        <v>122</v>
      </c>
      <c r="E27" s="578">
        <v>21.5</v>
      </c>
      <c r="F27" s="579">
        <v>14418</v>
      </c>
      <c r="G27" s="542">
        <f t="shared" si="4"/>
        <v>55.883720930232556</v>
      </c>
      <c r="H27" s="578">
        <f>23.15-E27</f>
        <v>1.6499999999999986</v>
      </c>
      <c r="I27" s="541">
        <f>15644-F27</f>
        <v>1226</v>
      </c>
      <c r="J27" s="542">
        <v>0</v>
      </c>
      <c r="K27" s="580">
        <f t="shared" si="3"/>
        <v>23.15</v>
      </c>
      <c r="L27" s="541">
        <f t="shared" si="3"/>
        <v>15644</v>
      </c>
      <c r="M27" s="542">
        <f t="shared" si="5"/>
        <v>56.313894888408932</v>
      </c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</row>
    <row r="28" spans="1:26">
      <c r="A28" s="440">
        <v>7</v>
      </c>
      <c r="B28" s="1632"/>
      <c r="C28" s="1634"/>
      <c r="D28" s="441" t="s">
        <v>17</v>
      </c>
      <c r="E28" s="578">
        <f>SUM(E22:E27)</f>
        <v>460.54999999999995</v>
      </c>
      <c r="F28" s="579">
        <f>SUM(F22:F27)</f>
        <v>239804</v>
      </c>
      <c r="G28" s="542">
        <f t="shared" si="4"/>
        <v>43.390873231281446</v>
      </c>
      <c r="H28" s="578">
        <f>SUM(H22:H27)</f>
        <v>23.388999999999989</v>
      </c>
      <c r="I28" s="579">
        <f>SUM(I22:I27)</f>
        <v>20439</v>
      </c>
      <c r="J28" s="542">
        <f t="shared" si="2"/>
        <v>72.822694429005125</v>
      </c>
      <c r="K28" s="580">
        <f t="shared" si="3"/>
        <v>483.93899999999996</v>
      </c>
      <c r="L28" s="541">
        <f t="shared" si="3"/>
        <v>260243</v>
      </c>
      <c r="M28" s="542">
        <f t="shared" si="5"/>
        <v>44.813327023998212</v>
      </c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</row>
    <row r="29" spans="1:26">
      <c r="A29" s="440">
        <v>8</v>
      </c>
      <c r="B29" s="1632"/>
      <c r="C29" s="1635" t="s">
        <v>77</v>
      </c>
      <c r="D29" s="1636"/>
      <c r="E29" s="578">
        <v>29.59</v>
      </c>
      <c r="F29" s="579">
        <v>10482</v>
      </c>
      <c r="G29" s="542">
        <f t="shared" si="4"/>
        <v>29.520108144643462</v>
      </c>
      <c r="H29" s="578">
        <f>44.45-E29</f>
        <v>14.860000000000003</v>
      </c>
      <c r="I29" s="541">
        <f>16474-F29</f>
        <v>5992</v>
      </c>
      <c r="J29" s="542">
        <f t="shared" si="2"/>
        <v>33.60251233737101</v>
      </c>
      <c r="K29" s="580">
        <f t="shared" si="3"/>
        <v>44.45</v>
      </c>
      <c r="L29" s="541">
        <f t="shared" si="3"/>
        <v>16474</v>
      </c>
      <c r="M29" s="542">
        <f t="shared" si="5"/>
        <v>30.884889388826394</v>
      </c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</row>
    <row r="30" spans="1:26">
      <c r="A30" s="440">
        <v>9</v>
      </c>
      <c r="B30" s="1604"/>
      <c r="C30" s="1637" t="s">
        <v>78</v>
      </c>
      <c r="D30" s="1638"/>
      <c r="E30" s="578">
        <f>309.9-E31</f>
        <v>309.89999999999998</v>
      </c>
      <c r="F30" s="579">
        <f>101729-F31</f>
        <v>101719</v>
      </c>
      <c r="G30" s="542">
        <f t="shared" si="4"/>
        <v>27.352640636764551</v>
      </c>
      <c r="H30" s="578">
        <f>343.21-E30-E31-H31</f>
        <v>22.71</v>
      </c>
      <c r="I30" s="541">
        <f>118719-F30-F31-I31</f>
        <v>13812</v>
      </c>
      <c r="J30" s="542">
        <f t="shared" si="2"/>
        <v>50.682518714222809</v>
      </c>
      <c r="K30" s="580">
        <f t="shared" si="3"/>
        <v>332.60999999999996</v>
      </c>
      <c r="L30" s="541">
        <f t="shared" si="3"/>
        <v>115531</v>
      </c>
      <c r="M30" s="542">
        <f t="shared" si="5"/>
        <v>28.945561869256291</v>
      </c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</row>
    <row r="31" spans="1:26">
      <c r="A31" s="440">
        <v>10</v>
      </c>
      <c r="B31" s="1639" t="s">
        <v>8</v>
      </c>
      <c r="C31" s="1639"/>
      <c r="D31" s="1639"/>
      <c r="E31" s="578">
        <v>0</v>
      </c>
      <c r="F31" s="579">
        <v>10</v>
      </c>
      <c r="G31" s="542" t="e">
        <f t="shared" si="4"/>
        <v>#DIV/0!</v>
      </c>
      <c r="H31" s="578">
        <f>10.6</f>
        <v>10.6</v>
      </c>
      <c r="I31" s="541">
        <f>10+3107+71-F31</f>
        <v>3178</v>
      </c>
      <c r="J31" s="542">
        <f t="shared" si="2"/>
        <v>24.984276729559749</v>
      </c>
      <c r="K31" s="580">
        <f t="shared" si="3"/>
        <v>10.6</v>
      </c>
      <c r="L31" s="541">
        <f t="shared" si="3"/>
        <v>3188</v>
      </c>
      <c r="M31" s="542">
        <f t="shared" si="5"/>
        <v>25.062893081761008</v>
      </c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</row>
    <row r="32" spans="1:26" ht="15.75" thickBot="1">
      <c r="A32" s="446">
        <v>11</v>
      </c>
      <c r="B32" s="1640" t="s">
        <v>25</v>
      </c>
      <c r="C32" s="1640"/>
      <c r="D32" s="1640"/>
      <c r="E32" s="581">
        <v>0</v>
      </c>
      <c r="F32" s="582">
        <v>1E-8</v>
      </c>
      <c r="G32" s="583">
        <f>E32/12/F32</f>
        <v>0</v>
      </c>
      <c r="H32" s="581">
        <v>9.9999999999999995E-7</v>
      </c>
      <c r="I32" s="584">
        <v>0</v>
      </c>
      <c r="J32" s="549">
        <f t="shared" si="2"/>
        <v>0</v>
      </c>
      <c r="K32" s="585">
        <f t="shared" si="3"/>
        <v>9.9999999999999995E-7</v>
      </c>
      <c r="L32" s="584">
        <f t="shared" si="3"/>
        <v>1E-8</v>
      </c>
      <c r="M32" s="583">
        <f>L32/12/K32</f>
        <v>8.3333333333333339E-4</v>
      </c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</row>
    <row r="33" spans="1:26" ht="15.75" thickBot="1">
      <c r="A33" s="451">
        <v>12</v>
      </c>
      <c r="B33" s="1630" t="s">
        <v>17</v>
      </c>
      <c r="C33" s="1630"/>
      <c r="D33" s="1630"/>
      <c r="E33" s="586">
        <f>E28+E29+E30+E31+E32</f>
        <v>800.04</v>
      </c>
      <c r="F33" s="587">
        <f t="shared" ref="F33:L33" si="6">F28+F29+F30+F31+F32</f>
        <v>352015.00000001001</v>
      </c>
      <c r="G33" s="588">
        <f>F33/12/E33</f>
        <v>36.666395846875368</v>
      </c>
      <c r="H33" s="586">
        <f t="shared" si="6"/>
        <v>71.559000999999995</v>
      </c>
      <c r="I33" s="587">
        <f t="shared" si="6"/>
        <v>43421</v>
      </c>
      <c r="J33" s="589">
        <f t="shared" si="2"/>
        <v>50.565500022375474</v>
      </c>
      <c r="K33" s="590">
        <f t="shared" si="6"/>
        <v>871.59900100000004</v>
      </c>
      <c r="L33" s="587">
        <f t="shared" si="6"/>
        <v>395436.00000001001</v>
      </c>
      <c r="M33" s="588">
        <f>L33/12/K33</f>
        <v>37.807523829413881</v>
      </c>
      <c r="N33" s="529"/>
      <c r="O33" s="529"/>
      <c r="P33" s="529"/>
      <c r="Q33" s="1364"/>
      <c r="R33" s="1364"/>
      <c r="S33" s="1364"/>
      <c r="T33" s="1364"/>
      <c r="U33" s="1364"/>
      <c r="V33" s="1364"/>
      <c r="W33" s="1365"/>
      <c r="X33" s="1365"/>
      <c r="Y33" s="1365"/>
      <c r="Z33" s="591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="85" zoomScaleNormal="85" workbookViewId="0"/>
  </sheetViews>
  <sheetFormatPr defaultRowHeight="15"/>
  <cols>
    <col min="1" max="1" width="6.42578125" customWidth="1"/>
    <col min="2" max="2" width="9.5703125" customWidth="1"/>
    <col min="3" max="3" width="12" customWidth="1"/>
    <col min="4" max="4" width="19" customWidth="1"/>
    <col min="5" max="5" width="12.7109375" customWidth="1"/>
    <col min="6" max="6" width="10.5703125" customWidth="1"/>
    <col min="7" max="7" width="12.140625" customWidth="1"/>
    <col min="8" max="8" width="13" customWidth="1"/>
    <col min="9" max="9" width="10.42578125" customWidth="1"/>
    <col min="10" max="10" width="12.140625" customWidth="1"/>
    <col min="11" max="11" width="12.5703125" customWidth="1"/>
    <col min="12" max="12" width="11.140625" customWidth="1"/>
    <col min="13" max="13" width="11.7109375" customWidth="1"/>
    <col min="14" max="14" width="8.85546875" customWidth="1"/>
    <col min="15" max="16" width="8.85546875" style="28" customWidth="1"/>
    <col min="17" max="17" width="8.5703125" customWidth="1"/>
    <col min="18" max="18" width="9.140625" customWidth="1"/>
    <col min="19" max="19" width="8.42578125" customWidth="1"/>
    <col min="20" max="20" width="9.42578125" customWidth="1"/>
    <col min="21" max="21" width="10" customWidth="1"/>
    <col min="22" max="24" width="9.28515625" bestFit="1" customWidth="1"/>
    <col min="25" max="25" width="10.7109375" bestFit="1" customWidth="1"/>
    <col min="26" max="26" width="9.28515625" bestFit="1" customWidth="1"/>
  </cols>
  <sheetData>
    <row r="1" spans="1:26" ht="15.75">
      <c r="A1" s="592" t="s">
        <v>123</v>
      </c>
      <c r="B1" s="593"/>
      <c r="C1" s="593"/>
      <c r="D1" s="593"/>
      <c r="E1" s="593"/>
      <c r="F1" s="593"/>
      <c r="G1" s="593"/>
      <c r="H1" s="593"/>
      <c r="I1" s="594"/>
      <c r="J1" s="594"/>
      <c r="K1" s="594"/>
      <c r="L1" s="594"/>
      <c r="M1" s="594"/>
      <c r="N1" s="594"/>
      <c r="O1" s="594"/>
      <c r="P1" s="594"/>
      <c r="Q1" s="595"/>
      <c r="R1" s="595"/>
      <c r="S1" s="595"/>
      <c r="T1" s="595"/>
      <c r="U1" s="595"/>
      <c r="V1" s="595"/>
      <c r="W1" s="596"/>
      <c r="X1" s="596"/>
      <c r="Y1" s="597"/>
      <c r="Z1" s="597"/>
    </row>
    <row r="2" spans="1:26">
      <c r="A2" s="598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</row>
    <row r="3" spans="1:26" ht="15.75">
      <c r="A3" s="599" t="s">
        <v>124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</row>
    <row r="4" spans="1:26" ht="15.75" thickBot="1">
      <c r="A4" s="598"/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598"/>
      <c r="Q4" s="598"/>
      <c r="R4" s="594"/>
      <c r="S4" s="598"/>
      <c r="T4" s="598"/>
      <c r="U4" s="598"/>
      <c r="V4" s="598"/>
      <c r="W4" s="598"/>
      <c r="X4" s="598"/>
      <c r="Y4" s="598"/>
      <c r="Z4" s="600" t="s">
        <v>4</v>
      </c>
    </row>
    <row r="5" spans="1:26" ht="16.5" thickBot="1">
      <c r="A5" s="1661" t="s">
        <v>1</v>
      </c>
      <c r="B5" s="1664" t="s">
        <v>7</v>
      </c>
      <c r="C5" s="1665"/>
      <c r="D5" s="1666"/>
      <c r="E5" s="1673" t="s">
        <v>35</v>
      </c>
      <c r="F5" s="1674"/>
      <c r="G5" s="1674"/>
      <c r="H5" s="1674"/>
      <c r="I5" s="1674"/>
      <c r="J5" s="1674"/>
      <c r="K5" s="1674"/>
      <c r="L5" s="1674"/>
      <c r="M5" s="1674"/>
      <c r="N5" s="1674"/>
      <c r="O5" s="1674"/>
      <c r="P5" s="1674"/>
      <c r="Q5" s="1674"/>
      <c r="R5" s="1674"/>
      <c r="S5" s="1674"/>
      <c r="T5" s="1674"/>
      <c r="U5" s="1674"/>
      <c r="V5" s="1674"/>
      <c r="W5" s="1674"/>
      <c r="X5" s="1674"/>
      <c r="Y5" s="1674"/>
      <c r="Z5" s="1675"/>
    </row>
    <row r="6" spans="1:26">
      <c r="A6" s="1662"/>
      <c r="B6" s="1667"/>
      <c r="C6" s="1668"/>
      <c r="D6" s="1669"/>
      <c r="E6" s="1676" t="s">
        <v>24</v>
      </c>
      <c r="F6" s="1677"/>
      <c r="G6" s="1677"/>
      <c r="H6" s="1678"/>
      <c r="I6" s="1676" t="s">
        <v>28</v>
      </c>
      <c r="J6" s="1677"/>
      <c r="K6" s="1677"/>
      <c r="L6" s="1678"/>
      <c r="M6" s="1676" t="s">
        <v>20</v>
      </c>
      <c r="N6" s="1677"/>
      <c r="O6" s="1677"/>
      <c r="P6" s="1677"/>
      <c r="Q6" s="1677"/>
      <c r="R6" s="1678"/>
      <c r="S6" s="1679" t="s">
        <v>18</v>
      </c>
      <c r="T6" s="1680"/>
      <c r="U6" s="1679" t="s">
        <v>5</v>
      </c>
      <c r="V6" s="1680"/>
      <c r="W6" s="1679" t="s">
        <v>21</v>
      </c>
      <c r="X6" s="1680"/>
      <c r="Y6" s="1683" t="s">
        <v>17</v>
      </c>
      <c r="Z6" s="1684"/>
    </row>
    <row r="7" spans="1:26">
      <c r="A7" s="1662"/>
      <c r="B7" s="1667"/>
      <c r="C7" s="1668"/>
      <c r="D7" s="1669"/>
      <c r="E7" s="1687" t="s">
        <v>19</v>
      </c>
      <c r="F7" s="1688"/>
      <c r="G7" s="1689" t="s">
        <v>27</v>
      </c>
      <c r="H7" s="1690"/>
      <c r="I7" s="1687" t="s">
        <v>125</v>
      </c>
      <c r="J7" s="1688"/>
      <c r="K7" s="1689" t="s">
        <v>29</v>
      </c>
      <c r="L7" s="1690"/>
      <c r="M7" s="1687" t="s">
        <v>59</v>
      </c>
      <c r="N7" s="1688"/>
      <c r="O7" s="1371"/>
      <c r="P7" s="1371"/>
      <c r="Q7" s="1689" t="s">
        <v>31</v>
      </c>
      <c r="R7" s="1690"/>
      <c r="S7" s="1681"/>
      <c r="T7" s="1682"/>
      <c r="U7" s="1681"/>
      <c r="V7" s="1682"/>
      <c r="W7" s="1681"/>
      <c r="X7" s="1682"/>
      <c r="Y7" s="1685"/>
      <c r="Z7" s="1686"/>
    </row>
    <row r="8" spans="1:26" ht="15.75" thickBot="1">
      <c r="A8" s="1662"/>
      <c r="B8" s="1667"/>
      <c r="C8" s="1668"/>
      <c r="D8" s="1669"/>
      <c r="E8" s="601" t="s">
        <v>6</v>
      </c>
      <c r="F8" s="602" t="s">
        <v>38</v>
      </c>
      <c r="G8" s="603" t="s">
        <v>6</v>
      </c>
      <c r="H8" s="604" t="s">
        <v>38</v>
      </c>
      <c r="I8" s="601" t="s">
        <v>6</v>
      </c>
      <c r="J8" s="603" t="s">
        <v>38</v>
      </c>
      <c r="K8" s="603" t="s">
        <v>6</v>
      </c>
      <c r="L8" s="604" t="s">
        <v>38</v>
      </c>
      <c r="M8" s="601" t="s">
        <v>6</v>
      </c>
      <c r="N8" s="603" t="s">
        <v>38</v>
      </c>
      <c r="O8" s="603"/>
      <c r="P8" s="603"/>
      <c r="Q8" s="603" t="s">
        <v>6</v>
      </c>
      <c r="R8" s="604" t="s">
        <v>38</v>
      </c>
      <c r="S8" s="601" t="s">
        <v>6</v>
      </c>
      <c r="T8" s="604" t="s">
        <v>38</v>
      </c>
      <c r="U8" s="601" t="s">
        <v>6</v>
      </c>
      <c r="V8" s="604" t="s">
        <v>38</v>
      </c>
      <c r="W8" s="601" t="s">
        <v>6</v>
      </c>
      <c r="X8" s="604" t="s">
        <v>38</v>
      </c>
      <c r="Y8" s="605" t="s">
        <v>126</v>
      </c>
      <c r="Z8" s="606" t="s">
        <v>38</v>
      </c>
    </row>
    <row r="9" spans="1:26" ht="15.75" thickBot="1">
      <c r="A9" s="1663"/>
      <c r="B9" s="1670"/>
      <c r="C9" s="1671"/>
      <c r="D9" s="1672"/>
      <c r="E9" s="601">
        <v>1</v>
      </c>
      <c r="F9" s="602">
        <v>2</v>
      </c>
      <c r="G9" s="603">
        <v>3</v>
      </c>
      <c r="H9" s="604">
        <v>4</v>
      </c>
      <c r="I9" s="601">
        <v>5</v>
      </c>
      <c r="J9" s="603">
        <v>6</v>
      </c>
      <c r="K9" s="603">
        <v>7</v>
      </c>
      <c r="L9" s="604">
        <v>8</v>
      </c>
      <c r="M9" s="601">
        <v>9</v>
      </c>
      <c r="N9" s="603">
        <v>10</v>
      </c>
      <c r="O9" s="603"/>
      <c r="P9" s="603"/>
      <c r="Q9" s="603">
        <v>11</v>
      </c>
      <c r="R9" s="604">
        <v>12</v>
      </c>
      <c r="S9" s="601">
        <v>13</v>
      </c>
      <c r="T9" s="604">
        <v>14</v>
      </c>
      <c r="U9" s="601">
        <v>15</v>
      </c>
      <c r="V9" s="604">
        <v>16</v>
      </c>
      <c r="W9" s="601">
        <v>17</v>
      </c>
      <c r="X9" s="604">
        <v>18</v>
      </c>
      <c r="Y9" s="605">
        <v>19</v>
      </c>
      <c r="Z9" s="606">
        <v>20</v>
      </c>
    </row>
    <row r="10" spans="1:26">
      <c r="A10" s="607">
        <v>1</v>
      </c>
      <c r="B10" s="1691" t="s">
        <v>30</v>
      </c>
      <c r="C10" s="1693" t="s">
        <v>16</v>
      </c>
      <c r="D10" s="1694"/>
      <c r="E10" s="608">
        <v>107803.40300000001</v>
      </c>
      <c r="F10" s="609">
        <v>31</v>
      </c>
      <c r="G10" s="610">
        <v>29222.654999999999</v>
      </c>
      <c r="H10" s="611">
        <v>0</v>
      </c>
      <c r="I10" s="608">
        <v>2512.7829999999999</v>
      </c>
      <c r="J10" s="610">
        <v>0</v>
      </c>
      <c r="K10" s="610"/>
      <c r="L10" s="611"/>
      <c r="M10" s="608">
        <v>1675.106</v>
      </c>
      <c r="N10" s="610">
        <v>75.694999999999993</v>
      </c>
      <c r="O10" s="610"/>
      <c r="P10" s="610"/>
      <c r="Q10" s="610"/>
      <c r="R10" s="611"/>
      <c r="S10" s="608">
        <v>75</v>
      </c>
      <c r="T10" s="611">
        <v>0</v>
      </c>
      <c r="U10" s="608">
        <v>3606.4279999999999</v>
      </c>
      <c r="V10" s="611">
        <v>0</v>
      </c>
      <c r="W10" s="612">
        <v>8498.2749999999996</v>
      </c>
      <c r="X10" s="613">
        <v>0</v>
      </c>
      <c r="Y10" s="614">
        <f>E10+G10+I10+K10+M10+Q10+S10+U10+W10</f>
        <v>153393.65</v>
      </c>
      <c r="Z10" s="615">
        <f>X10+V10+T10+R10+N10+L10+J10+H10+F10</f>
        <v>106.69499999999999</v>
      </c>
    </row>
    <row r="11" spans="1:26">
      <c r="A11" s="607">
        <v>2</v>
      </c>
      <c r="B11" s="1692"/>
      <c r="C11" s="1695" t="s">
        <v>9</v>
      </c>
      <c r="D11" s="1696"/>
      <c r="E11" s="616">
        <v>389.19600000000003</v>
      </c>
      <c r="F11" s="617">
        <v>0</v>
      </c>
      <c r="G11" s="618">
        <v>1114.6420000000001</v>
      </c>
      <c r="H11" s="619">
        <v>0</v>
      </c>
      <c r="I11" s="616">
        <v>2406.3130000000001</v>
      </c>
      <c r="J11" s="618">
        <v>29.25</v>
      </c>
      <c r="K11" s="618"/>
      <c r="L11" s="619"/>
      <c r="M11" s="616"/>
      <c r="N11" s="618"/>
      <c r="O11" s="618"/>
      <c r="P11" s="618"/>
      <c r="Q11" s="618"/>
      <c r="R11" s="619"/>
      <c r="S11" s="616"/>
      <c r="T11" s="619"/>
      <c r="U11" s="616"/>
      <c r="V11" s="619"/>
      <c r="W11" s="620">
        <v>411.95</v>
      </c>
      <c r="X11" s="621">
        <v>0</v>
      </c>
      <c r="Y11" s="614">
        <f>E11+G11+I11+K11+M11+Q11+S11+U11+W11</f>
        <v>4322.1010000000006</v>
      </c>
      <c r="Z11" s="615">
        <f>X11+V11+T11+R11+N11+L11+J11+H11+F11</f>
        <v>29.25</v>
      </c>
    </row>
    <row r="12" spans="1:26">
      <c r="A12" s="622">
        <v>3</v>
      </c>
      <c r="B12" s="1692"/>
      <c r="C12" s="1697" t="s">
        <v>2</v>
      </c>
      <c r="D12" s="1698"/>
      <c r="E12" s="616">
        <v>56427.6</v>
      </c>
      <c r="F12" s="617">
        <f>1407.086+7744.986</f>
        <v>9152.0720000000001</v>
      </c>
      <c r="G12" s="618">
        <v>2476.7669999999998</v>
      </c>
      <c r="H12" s="619">
        <v>1412.749</v>
      </c>
      <c r="I12" s="616">
        <v>2821.5410000000002</v>
      </c>
      <c r="J12" s="618">
        <f>31.125+1353.385</f>
        <v>1384.51</v>
      </c>
      <c r="K12" s="618"/>
      <c r="L12" s="619"/>
      <c r="M12" s="616">
        <v>6053.6090000000004</v>
      </c>
      <c r="N12" s="618">
        <f>7.8+1687.376</f>
        <v>1695.1759999999999</v>
      </c>
      <c r="O12" s="618"/>
      <c r="P12" s="618"/>
      <c r="Q12" s="618"/>
      <c r="R12" s="619"/>
      <c r="S12" s="616">
        <v>209</v>
      </c>
      <c r="T12" s="619">
        <v>0</v>
      </c>
      <c r="U12" s="616">
        <f>6850.323</f>
        <v>6850.3230000000003</v>
      </c>
      <c r="V12" s="619">
        <f>173.717+3653.915</f>
        <v>3827.6320000000001</v>
      </c>
      <c r="W12" s="623">
        <v>3765.8090000000002</v>
      </c>
      <c r="X12" s="624">
        <f>37.595+1626.69</f>
        <v>1664.2850000000001</v>
      </c>
      <c r="Y12" s="614">
        <f>E12+G12+I12+K12+M12+Q12+S12+U12+W12</f>
        <v>78604.64899999999</v>
      </c>
      <c r="Z12" s="615">
        <f>X12+V12+T12+R12+N12+L12+J12+H12+F12</f>
        <v>19136.423999999999</v>
      </c>
    </row>
    <row r="13" spans="1:26">
      <c r="A13" s="622">
        <v>4</v>
      </c>
      <c r="B13" s="1699" t="s">
        <v>8</v>
      </c>
      <c r="C13" s="1700"/>
      <c r="D13" s="1701"/>
      <c r="E13" s="616"/>
      <c r="F13" s="617"/>
      <c r="G13" s="618"/>
      <c r="H13" s="619"/>
      <c r="I13" s="616"/>
      <c r="J13" s="618"/>
      <c r="K13" s="618"/>
      <c r="L13" s="619"/>
      <c r="M13" s="616"/>
      <c r="N13" s="618"/>
      <c r="O13" s="618"/>
      <c r="P13" s="618"/>
      <c r="Q13" s="618"/>
      <c r="R13" s="619"/>
      <c r="S13" s="616"/>
      <c r="T13" s="619"/>
      <c r="U13" s="616"/>
      <c r="V13" s="619"/>
      <c r="W13" s="623">
        <v>2966.748</v>
      </c>
      <c r="X13" s="624">
        <v>24.9</v>
      </c>
      <c r="Y13" s="614">
        <f>E13+G13+I13+K13+M13+Q13+S13+U13+W13</f>
        <v>2966.748</v>
      </c>
      <c r="Z13" s="615">
        <f>X13+V13+T13+R13+N13+L13+J13+H13+F13</f>
        <v>24.9</v>
      </c>
    </row>
    <row r="14" spans="1:26" ht="15.75" thickBot="1">
      <c r="A14" s="625">
        <v>5</v>
      </c>
      <c r="B14" s="1702" t="s">
        <v>25</v>
      </c>
      <c r="C14" s="1703"/>
      <c r="D14" s="1704"/>
      <c r="E14" s="626"/>
      <c r="F14" s="627"/>
      <c r="G14" s="628"/>
      <c r="H14" s="629"/>
      <c r="I14" s="626"/>
      <c r="J14" s="628"/>
      <c r="K14" s="628"/>
      <c r="L14" s="629"/>
      <c r="M14" s="626"/>
      <c r="N14" s="628"/>
      <c r="O14" s="628"/>
      <c r="P14" s="628"/>
      <c r="Q14" s="628"/>
      <c r="R14" s="629"/>
      <c r="S14" s="630"/>
      <c r="T14" s="631"/>
      <c r="U14" s="630"/>
      <c r="V14" s="631"/>
      <c r="W14" s="632"/>
      <c r="X14" s="631"/>
      <c r="Y14" s="614"/>
      <c r="Z14" s="615"/>
    </row>
    <row r="15" spans="1:26" ht="16.5" thickBot="1">
      <c r="A15" s="633">
        <v>6</v>
      </c>
      <c r="B15" s="1705" t="s">
        <v>17</v>
      </c>
      <c r="C15" s="1706"/>
      <c r="D15" s="1707"/>
      <c r="E15" s="634">
        <f>SUM(E10:E14)</f>
        <v>164620.19899999999</v>
      </c>
      <c r="F15" s="635">
        <f t="shared" ref="F15:X15" si="0">SUM(F10:F14)</f>
        <v>9183.0720000000001</v>
      </c>
      <c r="G15" s="636">
        <f t="shared" si="0"/>
        <v>32814.063999999998</v>
      </c>
      <c r="H15" s="637">
        <f t="shared" si="0"/>
        <v>1412.749</v>
      </c>
      <c r="I15" s="634">
        <f t="shared" si="0"/>
        <v>7740.6369999999997</v>
      </c>
      <c r="J15" s="636">
        <f t="shared" si="0"/>
        <v>1413.76</v>
      </c>
      <c r="K15" s="636">
        <f t="shared" si="0"/>
        <v>0</v>
      </c>
      <c r="L15" s="637">
        <f t="shared" si="0"/>
        <v>0</v>
      </c>
      <c r="M15" s="634">
        <f t="shared" si="0"/>
        <v>7728.7150000000001</v>
      </c>
      <c r="N15" s="636">
        <f t="shared" si="0"/>
        <v>1770.8709999999999</v>
      </c>
      <c r="O15" s="636"/>
      <c r="P15" s="636"/>
      <c r="Q15" s="636">
        <f t="shared" si="0"/>
        <v>0</v>
      </c>
      <c r="R15" s="637">
        <f t="shared" si="0"/>
        <v>0</v>
      </c>
      <c r="S15" s="638">
        <f t="shared" si="0"/>
        <v>284</v>
      </c>
      <c r="T15" s="639">
        <f t="shared" si="0"/>
        <v>0</v>
      </c>
      <c r="U15" s="640">
        <f t="shared" si="0"/>
        <v>10456.751</v>
      </c>
      <c r="V15" s="641">
        <f t="shared" si="0"/>
        <v>3827.6320000000001</v>
      </c>
      <c r="W15" s="642">
        <f t="shared" si="0"/>
        <v>15642.781999999999</v>
      </c>
      <c r="X15" s="639">
        <f t="shared" si="0"/>
        <v>1689.1850000000002</v>
      </c>
      <c r="Y15" s="643">
        <f>SUM(Y10:Y14)</f>
        <v>239287.14799999996</v>
      </c>
      <c r="Z15" s="644">
        <f>SUM(Z10:Z14)</f>
        <v>19297.269</v>
      </c>
    </row>
    <row r="16" spans="1:26">
      <c r="A16" s="598"/>
      <c r="B16" s="598"/>
      <c r="C16" s="598"/>
      <c r="D16" s="598"/>
      <c r="E16" s="598"/>
      <c r="F16" s="598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  <c r="U16" s="598"/>
      <c r="V16" s="598"/>
      <c r="W16" s="598"/>
      <c r="X16" s="598"/>
      <c r="Y16" s="598"/>
      <c r="Z16" s="598"/>
    </row>
    <row r="17" spans="1:26" ht="15.75">
      <c r="A17" s="599" t="s">
        <v>127</v>
      </c>
      <c r="B17" s="645"/>
      <c r="C17" s="645"/>
      <c r="D17" s="645"/>
      <c r="E17" s="645"/>
      <c r="F17" s="645"/>
      <c r="G17" s="645"/>
      <c r="H17" s="645"/>
      <c r="I17" s="645"/>
      <c r="J17" s="645"/>
      <c r="K17" s="645"/>
      <c r="L17" s="645"/>
      <c r="M17" s="645"/>
      <c r="N17" s="645"/>
      <c r="O17" s="645"/>
      <c r="P17" s="645"/>
      <c r="Q17" s="645"/>
      <c r="R17" s="645"/>
      <c r="S17" s="645"/>
      <c r="T17" s="645"/>
      <c r="U17" s="645"/>
      <c r="V17" s="596"/>
      <c r="W17" s="596"/>
      <c r="X17" s="596"/>
      <c r="Y17" s="597"/>
      <c r="Z17" s="597"/>
    </row>
    <row r="18" spans="1:26" ht="16.5" thickBot="1">
      <c r="A18" s="599"/>
      <c r="B18" s="645"/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6" t="s">
        <v>4</v>
      </c>
      <c r="N18" s="598"/>
      <c r="O18" s="598"/>
      <c r="P18" s="598"/>
      <c r="Q18" s="598"/>
      <c r="R18" s="598"/>
      <c r="S18" s="598"/>
      <c r="T18" s="598"/>
      <c r="U18" s="598"/>
      <c r="V18" s="598"/>
      <c r="W18" s="596"/>
      <c r="X18" s="596"/>
      <c r="Y18" s="597"/>
      <c r="Z18" s="597"/>
    </row>
    <row r="19" spans="1:26">
      <c r="A19" s="1708" t="s">
        <v>1</v>
      </c>
      <c r="B19" s="1711" t="s">
        <v>7</v>
      </c>
      <c r="C19" s="1711"/>
      <c r="D19" s="1711"/>
      <c r="E19" s="1714" t="s">
        <v>32</v>
      </c>
      <c r="F19" s="1715"/>
      <c r="G19" s="1716"/>
      <c r="H19" s="1676" t="s">
        <v>34</v>
      </c>
      <c r="I19" s="1677"/>
      <c r="J19" s="1678"/>
      <c r="K19" s="1715" t="s">
        <v>17</v>
      </c>
      <c r="L19" s="1715"/>
      <c r="M19" s="1716"/>
      <c r="N19" s="598"/>
      <c r="O19" s="598"/>
      <c r="P19" s="598"/>
      <c r="Q19" s="598"/>
      <c r="R19" s="598"/>
      <c r="S19" s="598"/>
      <c r="T19" s="598"/>
      <c r="U19" s="598"/>
      <c r="V19" s="598"/>
      <c r="W19" s="596"/>
      <c r="X19" s="596"/>
      <c r="Y19" s="597"/>
      <c r="Z19" s="597"/>
    </row>
    <row r="20" spans="1:26" ht="45">
      <c r="A20" s="1709"/>
      <c r="B20" s="1712"/>
      <c r="C20" s="1712"/>
      <c r="D20" s="1712"/>
      <c r="E20" s="647" t="s">
        <v>128</v>
      </c>
      <c r="F20" s="648" t="s">
        <v>33</v>
      </c>
      <c r="G20" s="649" t="s">
        <v>23</v>
      </c>
      <c r="H20" s="647" t="s">
        <v>22</v>
      </c>
      <c r="I20" s="648" t="s">
        <v>33</v>
      </c>
      <c r="J20" s="649" t="s">
        <v>23</v>
      </c>
      <c r="K20" s="650" t="s">
        <v>22</v>
      </c>
      <c r="L20" s="651" t="s">
        <v>33</v>
      </c>
      <c r="M20" s="649" t="s">
        <v>23</v>
      </c>
      <c r="N20" s="598"/>
      <c r="O20" s="598"/>
      <c r="P20" s="598"/>
      <c r="Q20" s="598"/>
      <c r="R20" s="598"/>
      <c r="S20" s="598"/>
      <c r="T20" s="598"/>
      <c r="U20" s="598"/>
      <c r="V20" s="598"/>
      <c r="W20" s="598"/>
      <c r="X20" s="598"/>
      <c r="Y20" s="598"/>
      <c r="Z20" s="598"/>
    </row>
    <row r="21" spans="1:26" ht="45.75" thickBot="1">
      <c r="A21" s="1710"/>
      <c r="B21" s="1713"/>
      <c r="C21" s="1713"/>
      <c r="D21" s="1713"/>
      <c r="E21" s="601">
        <v>1</v>
      </c>
      <c r="F21" s="603">
        <v>2</v>
      </c>
      <c r="G21" s="604" t="s">
        <v>47</v>
      </c>
      <c r="H21" s="601">
        <v>4</v>
      </c>
      <c r="I21" s="603">
        <v>5</v>
      </c>
      <c r="J21" s="604" t="s">
        <v>48</v>
      </c>
      <c r="K21" s="602">
        <v>7</v>
      </c>
      <c r="L21" s="652">
        <v>8</v>
      </c>
      <c r="M21" s="604" t="s">
        <v>49</v>
      </c>
      <c r="N21" s="653"/>
      <c r="O21" s="653"/>
      <c r="P21" s="653"/>
      <c r="Q21" s="598"/>
      <c r="R21" s="598"/>
      <c r="S21" s="598"/>
      <c r="T21" s="598"/>
      <c r="U21" s="653"/>
      <c r="V21" s="653"/>
      <c r="W21" s="653"/>
      <c r="X21" s="653"/>
      <c r="Y21" s="653"/>
      <c r="Z21" s="653"/>
    </row>
    <row r="22" spans="1:26">
      <c r="A22" s="654">
        <v>1</v>
      </c>
      <c r="B22" s="1718" t="s">
        <v>26</v>
      </c>
      <c r="C22" s="1720" t="s">
        <v>129</v>
      </c>
      <c r="D22" s="655" t="s">
        <v>11</v>
      </c>
      <c r="E22" s="656">
        <v>30.641999999999999</v>
      </c>
      <c r="F22" s="610">
        <v>17784</v>
      </c>
      <c r="G22" s="611">
        <f>F22/12/E22</f>
        <v>48.364989230467984</v>
      </c>
      <c r="H22" s="656">
        <v>0.99800000000000111</v>
      </c>
      <c r="I22" s="610">
        <v>1193.1349999999984</v>
      </c>
      <c r="J22" s="611">
        <f>I22/12/H22</f>
        <v>99.627171008683789</v>
      </c>
      <c r="K22" s="657">
        <f>E22+H22</f>
        <v>31.64</v>
      </c>
      <c r="L22" s="610">
        <f>F22+I22</f>
        <v>18977.134999999998</v>
      </c>
      <c r="M22" s="611">
        <f>L22/12/K22</f>
        <v>49.981918984407919</v>
      </c>
      <c r="N22" s="598"/>
      <c r="O22" s="598"/>
      <c r="P22" s="598"/>
      <c r="Q22" s="598"/>
      <c r="R22" s="598"/>
      <c r="S22" s="598"/>
      <c r="T22" s="598"/>
      <c r="U22" s="598"/>
      <c r="V22" s="598"/>
      <c r="W22" s="598"/>
      <c r="X22" s="598"/>
      <c r="Y22" s="598"/>
      <c r="Z22" s="598"/>
    </row>
    <row r="23" spans="1:26">
      <c r="A23" s="658">
        <v>2</v>
      </c>
      <c r="B23" s="1719"/>
      <c r="C23" s="1720"/>
      <c r="D23" s="659" t="s">
        <v>12</v>
      </c>
      <c r="E23" s="660">
        <v>65.358999999999995</v>
      </c>
      <c r="F23" s="618">
        <v>35648</v>
      </c>
      <c r="G23" s="611">
        <f t="shared" ref="G23:G30" si="1">F23/12/E23</f>
        <v>45.451531796182117</v>
      </c>
      <c r="H23" s="660">
        <v>2.5670000000000073</v>
      </c>
      <c r="I23" s="618">
        <v>3803.5570000000007</v>
      </c>
      <c r="J23" s="611">
        <f t="shared" ref="J23:J31" si="2">I23/12/H23</f>
        <v>123.47607453577425</v>
      </c>
      <c r="K23" s="661">
        <f t="shared" ref="K23:L30" si="3">E23+H23</f>
        <v>67.926000000000002</v>
      </c>
      <c r="L23" s="618">
        <f t="shared" si="3"/>
        <v>39451.557000000001</v>
      </c>
      <c r="M23" s="611">
        <f t="shared" ref="M23:M31" si="4">L23/12/K23</f>
        <v>48.400167093601858</v>
      </c>
      <c r="N23" s="598"/>
      <c r="O23" s="598"/>
      <c r="P23" s="598"/>
      <c r="Q23" s="598"/>
      <c r="R23" s="598"/>
      <c r="S23" s="598"/>
      <c r="T23" s="598"/>
      <c r="U23" s="598"/>
      <c r="V23" s="598"/>
      <c r="W23" s="598"/>
      <c r="X23" s="598"/>
      <c r="Y23" s="598"/>
      <c r="Z23" s="598"/>
    </row>
    <row r="24" spans="1:26">
      <c r="A24" s="658">
        <v>3</v>
      </c>
      <c r="B24" s="1719"/>
      <c r="C24" s="1720"/>
      <c r="D24" s="659" t="s">
        <v>13</v>
      </c>
      <c r="E24" s="660">
        <v>199.89699999999999</v>
      </c>
      <c r="F24" s="618">
        <v>74730</v>
      </c>
      <c r="G24" s="611">
        <f t="shared" si="1"/>
        <v>31.153544075198727</v>
      </c>
      <c r="H24" s="660">
        <v>12.675000000000011</v>
      </c>
      <c r="I24" s="618">
        <v>10414.297000000006</v>
      </c>
      <c r="J24" s="611">
        <f t="shared" si="2"/>
        <v>68.470065746219575</v>
      </c>
      <c r="K24" s="661">
        <f t="shared" si="3"/>
        <v>212.572</v>
      </c>
      <c r="L24" s="618">
        <f t="shared" si="3"/>
        <v>85144.297000000006</v>
      </c>
      <c r="M24" s="611">
        <f t="shared" si="4"/>
        <v>33.378610933393546</v>
      </c>
      <c r="N24" s="598"/>
      <c r="O24" s="598"/>
      <c r="P24" s="598"/>
      <c r="Q24" s="598"/>
      <c r="R24" s="598"/>
      <c r="S24" s="598"/>
      <c r="T24" s="598"/>
      <c r="U24" s="598"/>
      <c r="V24" s="598"/>
      <c r="W24" s="598"/>
      <c r="X24" s="598"/>
      <c r="Y24" s="598"/>
      <c r="Z24" s="598"/>
    </row>
    <row r="25" spans="1:26">
      <c r="A25" s="658">
        <v>4</v>
      </c>
      <c r="B25" s="1719"/>
      <c r="C25" s="1720"/>
      <c r="D25" s="659" t="s">
        <v>14</v>
      </c>
      <c r="E25" s="660">
        <v>4.617</v>
      </c>
      <c r="F25" s="618">
        <v>1082</v>
      </c>
      <c r="G25" s="611">
        <f t="shared" si="1"/>
        <v>19.529275864558517</v>
      </c>
      <c r="H25" s="660">
        <v>0</v>
      </c>
      <c r="I25" s="618">
        <v>82.913999999999987</v>
      </c>
      <c r="J25" s="611"/>
      <c r="K25" s="661">
        <f t="shared" si="3"/>
        <v>4.617</v>
      </c>
      <c r="L25" s="618">
        <f t="shared" si="3"/>
        <v>1164.914</v>
      </c>
      <c r="M25" s="611">
        <f t="shared" si="4"/>
        <v>21.025810410800663</v>
      </c>
      <c r="N25" s="598"/>
      <c r="O25" s="598"/>
      <c r="P25" s="598"/>
      <c r="Q25" s="598"/>
      <c r="R25" s="598"/>
      <c r="S25" s="598"/>
      <c r="T25" s="598"/>
      <c r="U25" s="598"/>
      <c r="V25" s="598"/>
      <c r="W25" s="598"/>
      <c r="X25" s="598"/>
      <c r="Y25" s="598"/>
      <c r="Z25" s="598"/>
    </row>
    <row r="26" spans="1:26">
      <c r="A26" s="658">
        <v>5</v>
      </c>
      <c r="B26" s="1719"/>
      <c r="C26" s="1720"/>
      <c r="D26" s="659" t="s">
        <v>15</v>
      </c>
      <c r="E26" s="660">
        <v>25.047999999999998</v>
      </c>
      <c r="F26" s="618">
        <v>7782</v>
      </c>
      <c r="G26" s="611">
        <f t="shared" si="1"/>
        <v>25.890290641967425</v>
      </c>
      <c r="H26" s="660">
        <v>1.1750000000000007</v>
      </c>
      <c r="I26" s="618">
        <v>873.68900000000031</v>
      </c>
      <c r="J26" s="611">
        <f t="shared" si="2"/>
        <v>61.963758865248217</v>
      </c>
      <c r="K26" s="661">
        <f t="shared" si="3"/>
        <v>26.222999999999999</v>
      </c>
      <c r="L26" s="618">
        <f t="shared" si="3"/>
        <v>8655.6890000000003</v>
      </c>
      <c r="M26" s="611">
        <f>L26/12/K26</f>
        <v>27.506670352998004</v>
      </c>
      <c r="N26" s="598"/>
      <c r="O26" s="598"/>
      <c r="P26" s="598"/>
      <c r="Q26" s="598"/>
      <c r="R26" s="598"/>
      <c r="S26" s="598"/>
      <c r="T26" s="598"/>
      <c r="U26" s="598"/>
      <c r="V26" s="598"/>
      <c r="W26" s="598"/>
      <c r="X26" s="598"/>
      <c r="Y26" s="598"/>
      <c r="Z26" s="598"/>
    </row>
    <row r="27" spans="1:26" s="28" customFormat="1">
      <c r="A27" s="658"/>
      <c r="B27" s="1719"/>
      <c r="C27" s="1720"/>
      <c r="D27" s="659"/>
      <c r="E27" s="660"/>
      <c r="F27" s="618"/>
      <c r="G27" s="611"/>
      <c r="H27" s="660"/>
      <c r="I27" s="618"/>
      <c r="J27" s="611"/>
      <c r="K27" s="661"/>
      <c r="L27" s="618"/>
      <c r="M27" s="611"/>
      <c r="N27" s="598"/>
      <c r="O27" s="598"/>
      <c r="P27" s="598"/>
      <c r="Q27" s="598"/>
      <c r="R27" s="598"/>
      <c r="S27" s="598"/>
      <c r="T27" s="598"/>
      <c r="U27" s="598"/>
      <c r="V27" s="598"/>
      <c r="W27" s="598"/>
      <c r="X27" s="598"/>
      <c r="Y27" s="598"/>
      <c r="Z27" s="598"/>
    </row>
    <row r="28" spans="1:26">
      <c r="A28" s="658">
        <v>6</v>
      </c>
      <c r="B28" s="1719"/>
      <c r="C28" s="1721"/>
      <c r="D28" s="659" t="s">
        <v>17</v>
      </c>
      <c r="E28" s="660">
        <f>SUM(E22:E26)</f>
        <v>325.56299999999999</v>
      </c>
      <c r="F28" s="618">
        <f>SUM(F22:F26)</f>
        <v>137026</v>
      </c>
      <c r="G28" s="611">
        <f t="shared" si="1"/>
        <v>35.074112639745103</v>
      </c>
      <c r="H28" s="660">
        <f>SUM(H22:H26)</f>
        <v>17.41500000000002</v>
      </c>
      <c r="I28" s="618">
        <f>SUM(I22:I27)</f>
        <v>16367.592000000006</v>
      </c>
      <c r="J28" s="611">
        <f t="shared" si="2"/>
        <v>78.321332184898012</v>
      </c>
      <c r="K28" s="661">
        <f t="shared" si="3"/>
        <v>342.97800000000001</v>
      </c>
      <c r="L28" s="618">
        <f t="shared" si="3"/>
        <v>153393.592</v>
      </c>
      <c r="M28" s="611">
        <f t="shared" si="4"/>
        <v>37.270027037691435</v>
      </c>
      <c r="N28" s="598"/>
      <c r="O28" s="598"/>
      <c r="P28" s="598"/>
      <c r="Q28" s="598"/>
      <c r="R28" s="598"/>
      <c r="S28" s="598"/>
      <c r="T28" s="598"/>
      <c r="U28" s="598"/>
      <c r="V28" s="598"/>
      <c r="W28" s="598"/>
      <c r="X28" s="598"/>
      <c r="Y28" s="598"/>
      <c r="Z28" s="598"/>
    </row>
    <row r="29" spans="1:26">
      <c r="A29" s="658">
        <v>7</v>
      </c>
      <c r="B29" s="1719"/>
      <c r="C29" s="1722" t="s">
        <v>130</v>
      </c>
      <c r="D29" s="1723"/>
      <c r="E29" s="660">
        <v>4.6890000000000001</v>
      </c>
      <c r="F29" s="618">
        <v>1504</v>
      </c>
      <c r="G29" s="611">
        <f t="shared" si="1"/>
        <v>26.729224425961469</v>
      </c>
      <c r="H29" s="656">
        <v>4.91</v>
      </c>
      <c r="I29" s="610">
        <v>2818.2629999999999</v>
      </c>
      <c r="J29" s="611">
        <f t="shared" si="2"/>
        <v>47.832026476578406</v>
      </c>
      <c r="K29" s="661">
        <f t="shared" si="3"/>
        <v>9.5990000000000002</v>
      </c>
      <c r="L29" s="618">
        <f t="shared" si="3"/>
        <v>4322.2629999999999</v>
      </c>
      <c r="M29" s="611">
        <f t="shared" si="4"/>
        <v>37.523552800638953</v>
      </c>
      <c r="N29" s="598"/>
      <c r="O29" s="598"/>
      <c r="P29" s="598"/>
      <c r="Q29" s="598"/>
      <c r="R29" s="598"/>
      <c r="S29" s="598"/>
      <c r="T29" s="598"/>
      <c r="U29" s="598"/>
      <c r="V29" s="598"/>
      <c r="W29" s="598"/>
      <c r="X29" s="598"/>
      <c r="Y29" s="598"/>
      <c r="Z29" s="598"/>
    </row>
    <row r="30" spans="1:26">
      <c r="A30" s="658">
        <v>8</v>
      </c>
      <c r="B30" s="1691"/>
      <c r="C30" s="1724" t="s">
        <v>2</v>
      </c>
      <c r="D30" s="1725"/>
      <c r="E30" s="660">
        <v>197.49799999999999</v>
      </c>
      <c r="F30" s="618">
        <v>58904</v>
      </c>
      <c r="G30" s="611">
        <f t="shared" si="1"/>
        <v>24.854260127528722</v>
      </c>
      <c r="H30" s="656">
        <v>42.63</v>
      </c>
      <c r="I30" s="610">
        <v>19700.281999999999</v>
      </c>
      <c r="J30" s="611">
        <f t="shared" si="2"/>
        <v>38.510207991242467</v>
      </c>
      <c r="K30" s="661">
        <f t="shared" si="3"/>
        <v>240.12799999999999</v>
      </c>
      <c r="L30" s="618">
        <f t="shared" si="3"/>
        <v>78604.282000000007</v>
      </c>
      <c r="M30" s="611">
        <f t="shared" si="4"/>
        <v>27.278604882951321</v>
      </c>
      <c r="N30" s="598"/>
      <c r="O30" s="598"/>
      <c r="P30" s="598"/>
      <c r="Q30" s="598"/>
      <c r="R30" s="598"/>
      <c r="S30" s="598"/>
      <c r="T30" s="598"/>
      <c r="U30" s="598"/>
      <c r="V30" s="598"/>
      <c r="W30" s="598"/>
      <c r="X30" s="598"/>
      <c r="Y30" s="598"/>
      <c r="Z30" s="598"/>
    </row>
    <row r="31" spans="1:26">
      <c r="A31" s="658">
        <v>9</v>
      </c>
      <c r="B31" s="1726" t="s">
        <v>8</v>
      </c>
      <c r="C31" s="1726"/>
      <c r="D31" s="1726"/>
      <c r="E31" s="662"/>
      <c r="F31" s="618"/>
      <c r="G31" s="611"/>
      <c r="H31" s="660">
        <v>10.074999999999999</v>
      </c>
      <c r="I31" s="618">
        <v>2967</v>
      </c>
      <c r="J31" s="611">
        <f t="shared" si="2"/>
        <v>24.540942928039705</v>
      </c>
      <c r="K31" s="661">
        <f>SUM(E31+H31)</f>
        <v>10.074999999999999</v>
      </c>
      <c r="L31" s="618">
        <f>SUM(F31+I31)</f>
        <v>2967</v>
      </c>
      <c r="M31" s="611">
        <f t="shared" si="4"/>
        <v>24.540942928039705</v>
      </c>
      <c r="N31" s="598"/>
      <c r="O31" s="598"/>
      <c r="P31" s="598"/>
      <c r="Q31" s="598"/>
      <c r="R31" s="598"/>
      <c r="S31" s="598"/>
      <c r="T31" s="598"/>
      <c r="U31" s="598"/>
      <c r="V31" s="598"/>
      <c r="W31" s="598"/>
      <c r="X31" s="598"/>
      <c r="Y31" s="598"/>
      <c r="Z31" s="598"/>
    </row>
    <row r="32" spans="1:26" ht="15.75" thickBot="1">
      <c r="A32" s="663">
        <v>10</v>
      </c>
      <c r="B32" s="1727" t="s">
        <v>25</v>
      </c>
      <c r="C32" s="1727"/>
      <c r="D32" s="1727"/>
      <c r="E32" s="664"/>
      <c r="F32" s="665"/>
      <c r="G32" s="666"/>
      <c r="H32" s="667"/>
      <c r="I32" s="665"/>
      <c r="J32" s="666"/>
      <c r="K32" s="668"/>
      <c r="L32" s="665"/>
      <c r="M32" s="666"/>
      <c r="N32" s="598"/>
      <c r="O32" s="598"/>
      <c r="P32" s="598"/>
      <c r="Q32" s="598"/>
      <c r="R32" s="598"/>
      <c r="S32" s="598"/>
      <c r="T32" s="598"/>
      <c r="U32" s="598"/>
      <c r="V32" s="598"/>
      <c r="W32" s="598"/>
      <c r="X32" s="598"/>
      <c r="Y32" s="598"/>
      <c r="Z32" s="598"/>
    </row>
    <row r="33" spans="1:26" ht="16.5" thickBot="1">
      <c r="A33" s="669">
        <v>11</v>
      </c>
      <c r="B33" s="1717" t="s">
        <v>17</v>
      </c>
      <c r="C33" s="1717"/>
      <c r="D33" s="1717"/>
      <c r="E33" s="670">
        <f>E28+E29+E30+E31+E32</f>
        <v>527.75</v>
      </c>
      <c r="F33" s="671">
        <f t="shared" ref="F33:M33" si="5">F28+F29+F30+F31+F32</f>
        <v>197434</v>
      </c>
      <c r="G33" s="672">
        <f t="shared" si="5"/>
        <v>86.65759719323529</v>
      </c>
      <c r="H33" s="673">
        <f t="shared" si="5"/>
        <v>75.03000000000003</v>
      </c>
      <c r="I33" s="671">
        <f t="shared" si="5"/>
        <v>41853.137000000002</v>
      </c>
      <c r="J33" s="672">
        <f t="shared" si="5"/>
        <v>189.20450958075858</v>
      </c>
      <c r="K33" s="674">
        <f>SUM(K22:K26,K29:K31)</f>
        <v>602.78000000000009</v>
      </c>
      <c r="L33" s="671">
        <f>SUM(L22:L26,L30,L31,L29)</f>
        <v>239287.13700000002</v>
      </c>
      <c r="M33" s="672">
        <f t="shared" si="5"/>
        <v>126.6131276493214</v>
      </c>
      <c r="N33" s="598"/>
      <c r="O33" s="598"/>
      <c r="P33" s="598"/>
      <c r="Q33" s="598"/>
      <c r="R33" s="598"/>
      <c r="S33" s="598"/>
      <c r="T33" s="598"/>
      <c r="U33" s="1366"/>
      <c r="V33" s="598"/>
      <c r="W33" s="675"/>
      <c r="X33" s="675"/>
      <c r="Y33" s="675"/>
      <c r="Z33" s="675"/>
    </row>
  </sheetData>
  <mergeCells count="35">
    <mergeCell ref="B33:D33"/>
    <mergeCell ref="B22:B30"/>
    <mergeCell ref="C22:C28"/>
    <mergeCell ref="C29:D29"/>
    <mergeCell ref="C30:D30"/>
    <mergeCell ref="B31:D31"/>
    <mergeCell ref="B32:D32"/>
    <mergeCell ref="B15:D15"/>
    <mergeCell ref="A19:A21"/>
    <mergeCell ref="B19:D21"/>
    <mergeCell ref="E19:G19"/>
    <mergeCell ref="H19:J19"/>
    <mergeCell ref="K19:M19"/>
    <mergeCell ref="B10:B12"/>
    <mergeCell ref="C10:D10"/>
    <mergeCell ref="C11:D11"/>
    <mergeCell ref="C12:D12"/>
    <mergeCell ref="B13:D13"/>
    <mergeCell ref="B14:D14"/>
    <mergeCell ref="E7:F7"/>
    <mergeCell ref="G7:H7"/>
    <mergeCell ref="I7:J7"/>
    <mergeCell ref="K7:L7"/>
    <mergeCell ref="M7:N7"/>
    <mergeCell ref="Q7:R7"/>
    <mergeCell ref="A5:A9"/>
    <mergeCell ref="B5:D9"/>
    <mergeCell ref="E5:Z5"/>
    <mergeCell ref="E6:H6"/>
    <mergeCell ref="I6:L6"/>
    <mergeCell ref="M6:R6"/>
    <mergeCell ref="S6:T7"/>
    <mergeCell ref="U6:V7"/>
    <mergeCell ref="W6:X7"/>
    <mergeCell ref="Y6:Z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</vt:i4>
      </vt:variant>
    </vt:vector>
  </HeadingPairs>
  <TitlesOfParts>
    <vt:vector size="28" baseType="lpstr">
      <vt:lpstr>Součet</vt:lpstr>
      <vt:lpstr>UK</vt:lpstr>
      <vt:lpstr>JU</vt:lpstr>
      <vt:lpstr>UJEP</vt:lpstr>
      <vt:lpstr>MU</vt:lpstr>
      <vt:lpstr>UPOL</vt:lpstr>
      <vt:lpstr>VFU</vt:lpstr>
      <vt:lpstr>OU</vt:lpstr>
      <vt:lpstr>UHK</vt:lpstr>
      <vt:lpstr>SU</vt:lpstr>
      <vt:lpstr>ČVUT</vt:lpstr>
      <vt:lpstr>VŠCHT</vt:lpstr>
      <vt:lpstr>ZČU</vt:lpstr>
      <vt:lpstr>TUL</vt:lpstr>
      <vt:lpstr>UPa</vt:lpstr>
      <vt:lpstr>VUT</vt:lpstr>
      <vt:lpstr>VŠB-TUO</vt:lpstr>
      <vt:lpstr>UTB</vt:lpstr>
      <vt:lpstr>VŠE</vt:lpstr>
      <vt:lpstr>ČZU</vt:lpstr>
      <vt:lpstr>MENDELU</vt:lpstr>
      <vt:lpstr>AMU</vt:lpstr>
      <vt:lpstr>AVU</vt:lpstr>
      <vt:lpstr>VŠUP</vt:lpstr>
      <vt:lpstr>JAMU</vt:lpstr>
      <vt:lpstr>VŠPJ</vt:lpstr>
      <vt:lpstr>VŠTE</vt:lpstr>
      <vt:lpstr>Součet!Oblast_tisku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Valášek Petr</cp:lastModifiedBy>
  <cp:lastPrinted>2018-07-30T07:03:36Z</cp:lastPrinted>
  <dcterms:created xsi:type="dcterms:W3CDTF">2010-10-08T09:48:15Z</dcterms:created>
  <dcterms:modified xsi:type="dcterms:W3CDTF">2019-01-25T08:48:21Z</dcterms:modified>
</cp:coreProperties>
</file>