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Sekce_I\10_odbor\100_oddělení\Jurková\2020\Materiály odboru\PV\23176_Kniha 2020\tabulky kniha 2020\"/>
    </mc:Choice>
  </mc:AlternateContent>
  <xr:revisionPtr revIDLastSave="0" documentId="13_ncr:1_{C77C22CB-AF55-4035-9846-5F5A720623DD}" xr6:coauthVersionLast="36" xr6:coauthVersionMax="36" xr10:uidLastSave="{00000000-0000-0000-0000-000000000000}"/>
  <bookViews>
    <workbookView xWindow="0" yWindow="0" windowWidth="25200" windowHeight="11685" activeTab="10" xr2:uid="{00000000-000D-0000-FFFF-FFFF00000000}"/>
  </bookViews>
  <sheets>
    <sheet name="A1" sheetId="26" r:id="rId1"/>
    <sheet name="A2" sheetId="25" r:id="rId2"/>
    <sheet name="A3a" sheetId="24" r:id="rId3"/>
    <sheet name="A3b" sheetId="23" r:id="rId4"/>
    <sheet name="A3c" sheetId="27" r:id="rId5"/>
    <sheet name="A4" sheetId="22" r:id="rId6"/>
    <sheet name="A5" sheetId="20" r:id="rId7"/>
    <sheet name="A6" sheetId="28" r:id="rId8"/>
    <sheet name="A7" sheetId="18" r:id="rId9"/>
    <sheet name="Graf1" sheetId="14" r:id="rId10"/>
    <sheet name="Graf2" sheetId="16" r:id="rId11"/>
    <sheet name="data ke G" sheetId="17" state="hidden" r:id="rId12"/>
  </sheets>
  <externalReferences>
    <externalReference r:id="rId13"/>
    <externalReference r:id="rId14"/>
  </externalReferences>
  <definedNames>
    <definedName name="AV" localSheetId="11">'[1]301-KPR'!#REF!</definedName>
    <definedName name="AV">'[1]301-KPR'!#REF!</definedName>
    <definedName name="CBU" localSheetId="11">'[1]301-KPR'!#REF!</definedName>
    <definedName name="CBU">'[1]301-KPR'!#REF!</definedName>
    <definedName name="CSU" localSheetId="11">'[1]301-KPR'!#REF!</definedName>
    <definedName name="CSU">'[1]301-KPR'!#REF!</definedName>
    <definedName name="CUZ">'[1]301-KPR'!#REF!</definedName>
    <definedName name="CUZK" localSheetId="11">'[1]301-KPR'!#REF!</definedName>
    <definedName name="CUZK">'[1]301-KPR'!#REF!</definedName>
    <definedName name="GA" localSheetId="11">'[1]301-KPR'!#REF!</definedName>
    <definedName name="GA">'[1]301-KPR'!#REF!</definedName>
    <definedName name="KPR" localSheetId="11">'[1]301-KPR'!#REF!</definedName>
    <definedName name="KPR">'[1]301-KPR'!#REF!</definedName>
    <definedName name="MDS" localSheetId="11">'[1]301-KPR'!#REF!</definedName>
    <definedName name="MDS">'[1]301-KPR'!#REF!</definedName>
    <definedName name="MK" localSheetId="11">'[1]301-KPR'!#REF!</definedName>
    <definedName name="MK">'[1]301-KPR'!#REF!</definedName>
    <definedName name="MPO" localSheetId="11">'[1]301-KPR'!#REF!</definedName>
    <definedName name="MPO">'[1]301-KPR'!#REF!</definedName>
    <definedName name="MS" localSheetId="11">'[1]301-KPR'!#REF!</definedName>
    <definedName name="MS">'[1]301-KPR'!#REF!</definedName>
    <definedName name="MSMT" localSheetId="11">'[1]301-KPR'!#REF!</definedName>
    <definedName name="MSMT">'[1]301-KPR'!#REF!</definedName>
    <definedName name="MZdr" localSheetId="11">'[1]301-KPR'!#REF!</definedName>
    <definedName name="MZdr">'[1]301-KPR'!#REF!</definedName>
    <definedName name="MZe" localSheetId="11">'[1]301-KPR'!#REF!</definedName>
    <definedName name="MZe">'[1]301-KPR'!#REF!</definedName>
    <definedName name="_xlnm.Print_Titles" localSheetId="3">A3b!$A:$A,A3b!$5:$8</definedName>
    <definedName name="_xlnm.Print_Titles" localSheetId="4">A3c!$5:$5</definedName>
    <definedName name="_xlnm.Print_Titles" localSheetId="5">'A4'!$A:$A</definedName>
    <definedName name="_xlnm.Print_Titles" localSheetId="6">'A5'!$1:$6</definedName>
    <definedName name="NKU" localSheetId="11">'[1]301-KPR'!#REF!</definedName>
    <definedName name="NKU">'[1]301-KPR'!#REF!</definedName>
    <definedName name="obdobi">'[2]609'!$A$48</definedName>
    <definedName name="_xlnm.Print_Area" localSheetId="7">'A6'!$A$1:$V$44</definedName>
    <definedName name="RRTV" localSheetId="11">'[1]301-KPR'!#REF!</definedName>
    <definedName name="RRTV">'[1]301-KPR'!#REF!</definedName>
    <definedName name="SSHR" localSheetId="11">'[1]301-KPR'!#REF!</definedName>
    <definedName name="SSHR">'[1]301-KPR'!#REF!</definedName>
    <definedName name="SUJB" localSheetId="11">'[1]301-KPR'!#REF!</definedName>
    <definedName name="SUJB">'[1]301-KPR'!#REF!</definedName>
    <definedName name="UOHS" localSheetId="11">'[1]301-KPR'!#REF!</definedName>
    <definedName name="UOHS">'[1]301-KPR'!#REF!</definedName>
    <definedName name="UPV" localSheetId="11">'[1]301-KPR'!#REF!</definedName>
    <definedName name="UPV">'[1]301-KPR'!#REF!</definedName>
    <definedName name="US" localSheetId="11">'[1]301-KPR'!#REF!</definedName>
    <definedName name="US">'[1]301-KPR'!#REF!</definedName>
    <definedName name="USIS" localSheetId="11">'[1]301-KPR'!#REF!</definedName>
    <definedName name="USIS">'[1]301-KPR'!#REF!</definedName>
  </definedNames>
  <calcPr calcId="191029"/>
</workbook>
</file>

<file path=xl/calcChain.xml><?xml version="1.0" encoding="utf-8"?>
<calcChain xmlns="http://schemas.openxmlformats.org/spreadsheetml/2006/main">
  <c r="J11" i="18" l="1"/>
  <c r="I24" i="17" l="1"/>
  <c r="R15" i="17"/>
  <c r="P11" i="17"/>
  <c r="O11" i="17"/>
  <c r="N11" i="17"/>
  <c r="M11" i="17"/>
  <c r="Q10" i="17"/>
  <c r="G10" i="17"/>
  <c r="F10" i="17"/>
  <c r="E10" i="17"/>
  <c r="Q9" i="17"/>
  <c r="G9" i="17"/>
  <c r="F9" i="17"/>
  <c r="Q8" i="17"/>
  <c r="I8" i="17"/>
  <c r="Q7" i="17"/>
  <c r="L7" i="17"/>
  <c r="L8" i="17" s="1"/>
  <c r="K7" i="17"/>
  <c r="K8" i="17" s="1"/>
  <c r="J7" i="17"/>
  <c r="J8" i="17" s="1"/>
  <c r="H7" i="17"/>
  <c r="G7" i="17"/>
  <c r="F7" i="17"/>
  <c r="F8" i="17" s="1"/>
  <c r="E7" i="17"/>
  <c r="D7" i="17"/>
  <c r="D6" i="17"/>
  <c r="H5" i="17"/>
  <c r="E5" i="17"/>
  <c r="E8" i="17" s="1"/>
  <c r="D5" i="17"/>
  <c r="C5" i="17"/>
  <c r="C8" i="17" s="1"/>
  <c r="B5" i="17"/>
  <c r="B8" i="17" s="1"/>
  <c r="I19" i="18"/>
  <c r="D19" i="18"/>
  <c r="F19" i="18" s="1"/>
  <c r="I18" i="18"/>
  <c r="D18" i="18"/>
  <c r="F18" i="18" s="1"/>
  <c r="J18" i="18" s="1"/>
  <c r="I17" i="18"/>
  <c r="D17" i="18"/>
  <c r="F17" i="18" s="1"/>
  <c r="I16" i="18"/>
  <c r="D16" i="18"/>
  <c r="F16" i="18" s="1"/>
  <c r="J16" i="18" s="1"/>
  <c r="I15" i="18"/>
  <c r="D15" i="18"/>
  <c r="F15" i="18" s="1"/>
  <c r="J15" i="18" s="1"/>
  <c r="I14" i="18"/>
  <c r="D14" i="18"/>
  <c r="F14" i="18" s="1"/>
  <c r="J14" i="18" s="1"/>
  <c r="I13" i="18"/>
  <c r="D13" i="18"/>
  <c r="F13" i="18" s="1"/>
  <c r="J13" i="18" s="1"/>
  <c r="D12" i="18"/>
  <c r="F12" i="18" s="1"/>
  <c r="J12" i="18" s="1"/>
  <c r="I10" i="18"/>
  <c r="D10" i="18"/>
  <c r="F10" i="18" s="1"/>
  <c r="J41" i="28"/>
  <c r="V40" i="28"/>
  <c r="G40" i="28"/>
  <c r="D40" i="28"/>
  <c r="B40" i="28"/>
  <c r="V38" i="28"/>
  <c r="G38" i="28"/>
  <c r="J38" i="28" s="1"/>
  <c r="D38" i="28"/>
  <c r="B38" i="28" s="1"/>
  <c r="V36" i="28"/>
  <c r="G36" i="28"/>
  <c r="D36" i="28"/>
  <c r="B36" i="28" s="1"/>
  <c r="V35" i="28"/>
  <c r="G35" i="28"/>
  <c r="D35" i="28"/>
  <c r="B35" i="28" s="1"/>
  <c r="V34" i="28"/>
  <c r="G34" i="28"/>
  <c r="D34" i="28"/>
  <c r="B34" i="28"/>
  <c r="V33" i="28"/>
  <c r="G33" i="28"/>
  <c r="J33" i="28" s="1"/>
  <c r="D33" i="28"/>
  <c r="B33" i="28" s="1"/>
  <c r="V32" i="28"/>
  <c r="G32" i="28"/>
  <c r="D32" i="28"/>
  <c r="D30" i="28" s="1"/>
  <c r="I30" i="28"/>
  <c r="I29" i="28" s="1"/>
  <c r="F30" i="28"/>
  <c r="F29" i="28" s="1"/>
  <c r="C30" i="28"/>
  <c r="C29" i="28" s="1"/>
  <c r="V27" i="28"/>
  <c r="G27" i="28"/>
  <c r="D27" i="28"/>
  <c r="B27" i="28" s="1"/>
  <c r="V22" i="28"/>
  <c r="U22" i="28"/>
  <c r="G22" i="28"/>
  <c r="D22" i="28"/>
  <c r="B22" i="28"/>
  <c r="V21" i="28"/>
  <c r="G21" i="28"/>
  <c r="D21" i="28"/>
  <c r="B21" i="28" s="1"/>
  <c r="U20" i="28"/>
  <c r="G20" i="28"/>
  <c r="D20" i="28"/>
  <c r="B20" i="28" s="1"/>
  <c r="V19" i="28"/>
  <c r="U19" i="28"/>
  <c r="G19" i="28"/>
  <c r="J19" i="28" s="1"/>
  <c r="D19" i="28"/>
  <c r="B19" i="28"/>
  <c r="I17" i="28"/>
  <c r="G17" i="28" s="1"/>
  <c r="H17" i="28"/>
  <c r="F17" i="28"/>
  <c r="F24" i="28" s="1"/>
  <c r="F9" i="28" s="1"/>
  <c r="E17" i="28"/>
  <c r="U17" i="28" s="1"/>
  <c r="C17" i="28"/>
  <c r="G15" i="28"/>
  <c r="D15" i="28"/>
  <c r="B15" i="28"/>
  <c r="V14" i="28"/>
  <c r="U14" i="28"/>
  <c r="G14" i="28"/>
  <c r="D14" i="28"/>
  <c r="B14" i="28" s="1"/>
  <c r="V13" i="28"/>
  <c r="U13" i="28"/>
  <c r="G13" i="28"/>
  <c r="D13" i="28"/>
  <c r="B13" i="28"/>
  <c r="V12" i="28"/>
  <c r="U12" i="28"/>
  <c r="G12" i="28"/>
  <c r="D12" i="28"/>
  <c r="B12" i="28" s="1"/>
  <c r="I10" i="28"/>
  <c r="V10" i="28" s="1"/>
  <c r="H10" i="28"/>
  <c r="F10" i="28"/>
  <c r="E10" i="28"/>
  <c r="C10" i="28"/>
  <c r="I65" i="20"/>
  <c r="H65" i="20"/>
  <c r="G65" i="20"/>
  <c r="F65" i="20"/>
  <c r="L64" i="20"/>
  <c r="K64" i="20"/>
  <c r="J64" i="20"/>
  <c r="L63" i="20"/>
  <c r="K63" i="20"/>
  <c r="J63" i="20"/>
  <c r="L62" i="20"/>
  <c r="K62" i="20"/>
  <c r="J62" i="20"/>
  <c r="L61" i="20"/>
  <c r="K61" i="20"/>
  <c r="J61" i="20"/>
  <c r="L60" i="20"/>
  <c r="K60" i="20"/>
  <c r="J60" i="20"/>
  <c r="L59" i="20"/>
  <c r="K59" i="20"/>
  <c r="J59" i="20"/>
  <c r="L58" i="20"/>
  <c r="K58" i="20"/>
  <c r="J58" i="20"/>
  <c r="L57" i="20"/>
  <c r="K57" i="20"/>
  <c r="J57" i="20"/>
  <c r="L56" i="20"/>
  <c r="K56" i="20"/>
  <c r="J56" i="20"/>
  <c r="L55" i="20"/>
  <c r="K55" i="20"/>
  <c r="K65" i="20" s="1"/>
  <c r="J55" i="20"/>
  <c r="L51" i="20"/>
  <c r="K51" i="20"/>
  <c r="J51" i="20"/>
  <c r="I51" i="20"/>
  <c r="H51" i="20"/>
  <c r="G51" i="20"/>
  <c r="F51" i="20"/>
  <c r="L50" i="20"/>
  <c r="K50" i="20"/>
  <c r="J50" i="20"/>
  <c r="L49" i="20"/>
  <c r="K49" i="20"/>
  <c r="J49" i="20"/>
  <c r="L48" i="20"/>
  <c r="K48" i="20"/>
  <c r="J48" i="20"/>
  <c r="L47" i="20"/>
  <c r="K47" i="20"/>
  <c r="J47" i="20"/>
  <c r="I46" i="20"/>
  <c r="H46" i="20"/>
  <c r="G46" i="20"/>
  <c r="F46" i="20"/>
  <c r="L45" i="20"/>
  <c r="K45" i="20"/>
  <c r="J45" i="20"/>
  <c r="L44" i="20"/>
  <c r="K44" i="20"/>
  <c r="J44" i="20"/>
  <c r="L43" i="20"/>
  <c r="K43" i="20"/>
  <c r="J43" i="20"/>
  <c r="L42" i="20"/>
  <c r="K42" i="20"/>
  <c r="J42" i="20"/>
  <c r="L41" i="20"/>
  <c r="K41" i="20"/>
  <c r="J41" i="20"/>
  <c r="L40" i="20"/>
  <c r="K40" i="20"/>
  <c r="J40" i="20"/>
  <c r="L39" i="20"/>
  <c r="K39" i="20"/>
  <c r="J39" i="20"/>
  <c r="I38" i="20"/>
  <c r="H38" i="20"/>
  <c r="G38" i="20"/>
  <c r="F38" i="20"/>
  <c r="L37" i="20"/>
  <c r="K37" i="20"/>
  <c r="J37" i="20"/>
  <c r="L36" i="20"/>
  <c r="K36" i="20"/>
  <c r="J36" i="20"/>
  <c r="L35" i="20"/>
  <c r="K35" i="20"/>
  <c r="J35" i="20"/>
  <c r="L34" i="20"/>
  <c r="K34" i="20"/>
  <c r="J34" i="20"/>
  <c r="L33" i="20"/>
  <c r="K33" i="20"/>
  <c r="J33" i="20"/>
  <c r="L32" i="20"/>
  <c r="K32" i="20"/>
  <c r="J32" i="20"/>
  <c r="L31" i="20"/>
  <c r="K31" i="20"/>
  <c r="J31" i="20"/>
  <c r="I30" i="20"/>
  <c r="H30" i="20"/>
  <c r="G30" i="20"/>
  <c r="F30" i="20"/>
  <c r="L29" i="20"/>
  <c r="K29" i="20"/>
  <c r="J29" i="20"/>
  <c r="L28" i="20"/>
  <c r="K28" i="20"/>
  <c r="J28" i="20"/>
  <c r="I27" i="20"/>
  <c r="H27" i="20"/>
  <c r="G27" i="20"/>
  <c r="K27" i="20" s="1"/>
  <c r="F27" i="20"/>
  <c r="L26" i="20"/>
  <c r="K26" i="20"/>
  <c r="J26" i="20"/>
  <c r="L25" i="20"/>
  <c r="K25" i="20"/>
  <c r="J25" i="20"/>
  <c r="L24" i="20"/>
  <c r="K24" i="20"/>
  <c r="J24" i="20"/>
  <c r="L23" i="20"/>
  <c r="K23" i="20"/>
  <c r="J23" i="20"/>
  <c r="L22" i="20"/>
  <c r="K22" i="20"/>
  <c r="J22" i="20"/>
  <c r="L21" i="20"/>
  <c r="K21" i="20"/>
  <c r="J21" i="20"/>
  <c r="L20" i="20"/>
  <c r="K20" i="20"/>
  <c r="J20" i="20"/>
  <c r="L19" i="20"/>
  <c r="K19" i="20"/>
  <c r="J19" i="20"/>
  <c r="L18" i="20"/>
  <c r="K18" i="20"/>
  <c r="J18" i="20"/>
  <c r="L17" i="20"/>
  <c r="K17" i="20"/>
  <c r="J17" i="20"/>
  <c r="I16" i="20"/>
  <c r="H16" i="20"/>
  <c r="G16" i="20"/>
  <c r="F16" i="20"/>
  <c r="L15" i="20"/>
  <c r="K15" i="20"/>
  <c r="J15" i="20"/>
  <c r="L14" i="20"/>
  <c r="K14" i="20"/>
  <c r="J14" i="20"/>
  <c r="L13" i="20"/>
  <c r="K13" i="20"/>
  <c r="J13" i="20"/>
  <c r="L12" i="20"/>
  <c r="K12" i="20"/>
  <c r="J12" i="20"/>
  <c r="L11" i="20"/>
  <c r="K11" i="20"/>
  <c r="J11" i="20"/>
  <c r="L10" i="20"/>
  <c r="K10" i="20"/>
  <c r="J10" i="20"/>
  <c r="L9" i="20"/>
  <c r="K9" i="20"/>
  <c r="J9" i="20"/>
  <c r="L8" i="20"/>
  <c r="K8" i="20"/>
  <c r="J8" i="20"/>
  <c r="I7" i="20"/>
  <c r="H7" i="20"/>
  <c r="G7" i="20"/>
  <c r="F7" i="20"/>
  <c r="P40" i="22"/>
  <c r="V39" i="22"/>
  <c r="P39" i="22"/>
  <c r="P38" i="22"/>
  <c r="V37" i="22"/>
  <c r="Q37" i="22"/>
  <c r="Q36" i="22" s="1"/>
  <c r="P37" i="22"/>
  <c r="U36" i="22"/>
  <c r="V36" i="22" s="1"/>
  <c r="P36" i="22"/>
  <c r="V35" i="22"/>
  <c r="P35" i="22"/>
  <c r="V34" i="22"/>
  <c r="O34" i="22"/>
  <c r="P34" i="22" s="1"/>
  <c r="V33" i="22"/>
  <c r="P33" i="22"/>
  <c r="V32" i="22"/>
  <c r="O32" i="22"/>
  <c r="P32" i="22" s="1"/>
  <c r="N32" i="22"/>
  <c r="P31" i="22"/>
  <c r="V30" i="22"/>
  <c r="Q30" i="22"/>
  <c r="P30" i="22"/>
  <c r="U29" i="22"/>
  <c r="V29" i="22" s="1"/>
  <c r="S29" i="22"/>
  <c r="Q29" i="22"/>
  <c r="P29" i="22"/>
  <c r="V25" i="22"/>
  <c r="P25" i="22"/>
  <c r="U23" i="22"/>
  <c r="V21" i="22"/>
  <c r="P21" i="22"/>
  <c r="V20" i="22"/>
  <c r="P20" i="22"/>
  <c r="V19" i="22"/>
  <c r="O19" i="22"/>
  <c r="P19" i="22" s="1"/>
  <c r="M19" i="22"/>
  <c r="N19" i="22" s="1"/>
  <c r="U18" i="22"/>
  <c r="V18" i="22" s="1"/>
  <c r="T18" i="22"/>
  <c r="S18" i="22"/>
  <c r="Q18" i="22"/>
  <c r="O18" i="22"/>
  <c r="P18" i="22" s="1"/>
  <c r="M18" i="22"/>
  <c r="N18" i="22" s="1"/>
  <c r="U17" i="22"/>
  <c r="V17" i="22" s="1"/>
  <c r="Q17" i="22"/>
  <c r="O17" i="22"/>
  <c r="P17" i="22" s="1"/>
  <c r="M17" i="22"/>
  <c r="N17" i="22" s="1"/>
  <c r="V16" i="22"/>
  <c r="V15" i="22"/>
  <c r="Q15" i="22"/>
  <c r="R15" i="22" s="1"/>
  <c r="O15" i="22"/>
  <c r="P15" i="22" s="1"/>
  <c r="M15" i="22"/>
  <c r="N15" i="22" s="1"/>
  <c r="V14" i="22"/>
  <c r="O14" i="22"/>
  <c r="P14" i="22" s="1"/>
  <c r="N14" i="22"/>
  <c r="M14" i="22"/>
  <c r="V12" i="22"/>
  <c r="P12" i="22"/>
  <c r="N12" i="22"/>
  <c r="V11" i="22"/>
  <c r="O11" i="22"/>
  <c r="P11" i="22" s="1"/>
  <c r="M11" i="22"/>
  <c r="N11" i="22" s="1"/>
  <c r="V10" i="22"/>
  <c r="U9" i="22"/>
  <c r="T9" i="22"/>
  <c r="S9" i="22"/>
  <c r="H58" i="27"/>
  <c r="H59" i="27" s="1"/>
  <c r="G58" i="27"/>
  <c r="G59" i="27" s="1"/>
  <c r="E58" i="27"/>
  <c r="E59" i="27" s="1"/>
  <c r="D58" i="27"/>
  <c r="D59" i="27" s="1"/>
  <c r="B58" i="27"/>
  <c r="B59" i="27" s="1"/>
  <c r="C57" i="27"/>
  <c r="C56" i="27"/>
  <c r="J55" i="27"/>
  <c r="C55" i="27" s="1"/>
  <c r="C54" i="27"/>
  <c r="C53" i="27"/>
  <c r="C52" i="27"/>
  <c r="C51" i="27"/>
  <c r="C50" i="27"/>
  <c r="C49" i="27"/>
  <c r="C48" i="27"/>
  <c r="C47" i="27"/>
  <c r="C46" i="27"/>
  <c r="C45" i="27"/>
  <c r="C44" i="27"/>
  <c r="C43" i="27"/>
  <c r="I41" i="27"/>
  <c r="I58" i="27" s="1"/>
  <c r="C40" i="27"/>
  <c r="C39" i="27"/>
  <c r="C38" i="27"/>
  <c r="C37" i="27"/>
  <c r="C36" i="27"/>
  <c r="C35" i="27"/>
  <c r="C34" i="27"/>
  <c r="J33" i="27"/>
  <c r="C33" i="27" s="1"/>
  <c r="C32" i="27"/>
  <c r="F31" i="27"/>
  <c r="C31" i="27" s="1"/>
  <c r="F30" i="27"/>
  <c r="C30" i="27" s="1"/>
  <c r="C29" i="27"/>
  <c r="C28" i="27"/>
  <c r="C27" i="27"/>
  <c r="C26" i="27"/>
  <c r="C25" i="27"/>
  <c r="C22" i="27"/>
  <c r="C21" i="27"/>
  <c r="C20" i="27"/>
  <c r="C19" i="27"/>
  <c r="C18" i="27"/>
  <c r="C17" i="27"/>
  <c r="C16" i="27"/>
  <c r="C15" i="27"/>
  <c r="C14" i="27"/>
  <c r="C13" i="27"/>
  <c r="C12" i="27"/>
  <c r="C11" i="27"/>
  <c r="C10" i="27"/>
  <c r="J9" i="27"/>
  <c r="J23" i="27" s="1"/>
  <c r="I9" i="27"/>
  <c r="I23" i="27" s="1"/>
  <c r="I60" i="27" s="1"/>
  <c r="H9" i="27"/>
  <c r="H23" i="27" s="1"/>
  <c r="G9" i="27"/>
  <c r="G23" i="27" s="1"/>
  <c r="F9" i="27"/>
  <c r="F23" i="27" s="1"/>
  <c r="E9" i="27"/>
  <c r="E23" i="27" s="1"/>
  <c r="D9" i="27"/>
  <c r="D23" i="27" s="1"/>
  <c r="B9" i="27"/>
  <c r="B23" i="27" s="1"/>
  <c r="C8" i="27"/>
  <c r="C7" i="27"/>
  <c r="C6" i="27"/>
  <c r="BA10" i="23"/>
  <c r="C27" i="24"/>
  <c r="E27" i="24" s="1"/>
  <c r="F27" i="24" s="1"/>
  <c r="E26" i="24"/>
  <c r="F26" i="24" s="1"/>
  <c r="D26" i="24"/>
  <c r="E25" i="24"/>
  <c r="F25" i="24" s="1"/>
  <c r="F24" i="24"/>
  <c r="E24" i="24"/>
  <c r="C23" i="24"/>
  <c r="D22" i="24"/>
  <c r="E22" i="24" s="1"/>
  <c r="F22" i="24" s="1"/>
  <c r="E21" i="24"/>
  <c r="F21" i="24" s="1"/>
  <c r="B20" i="24"/>
  <c r="C15" i="24"/>
  <c r="E15" i="24" s="1"/>
  <c r="F15" i="24" s="1"/>
  <c r="E14" i="24"/>
  <c r="F14" i="24" s="1"/>
  <c r="E13" i="24"/>
  <c r="F13" i="24" s="1"/>
  <c r="E12" i="24"/>
  <c r="F12" i="24" s="1"/>
  <c r="C11" i="24"/>
  <c r="E11" i="24" s="1"/>
  <c r="F11" i="24" s="1"/>
  <c r="E10" i="24"/>
  <c r="F10" i="24" s="1"/>
  <c r="C9" i="24"/>
  <c r="E9" i="24" s="1"/>
  <c r="F9" i="24" s="1"/>
  <c r="D8" i="24"/>
  <c r="B8" i="24"/>
  <c r="J40" i="25"/>
  <c r="C40" i="25"/>
  <c r="B40" i="25" s="1"/>
  <c r="C39" i="25"/>
  <c r="B39" i="25" s="1"/>
  <c r="C38" i="25"/>
  <c r="B38" i="25" s="1"/>
  <c r="C37" i="25"/>
  <c r="B37" i="25" s="1"/>
  <c r="C36" i="25"/>
  <c r="B36" i="25" s="1"/>
  <c r="C35" i="25"/>
  <c r="B35" i="25"/>
  <c r="C34" i="25"/>
  <c r="B34" i="25" s="1"/>
  <c r="C33" i="25"/>
  <c r="B33" i="25" s="1"/>
  <c r="S32" i="25"/>
  <c r="K32" i="25"/>
  <c r="J32" i="25" s="1"/>
  <c r="E32" i="25"/>
  <c r="D32" i="25"/>
  <c r="C32" i="25" s="1"/>
  <c r="S31" i="25"/>
  <c r="S30" i="25" s="1"/>
  <c r="J31" i="25"/>
  <c r="H31" i="25"/>
  <c r="C31" i="25" s="1"/>
  <c r="R30" i="25"/>
  <c r="Q30" i="25"/>
  <c r="P30" i="25"/>
  <c r="P8" i="25" s="1"/>
  <c r="O30" i="25"/>
  <c r="N30" i="25"/>
  <c r="M30" i="25"/>
  <c r="L30" i="25"/>
  <c r="L8" i="25" s="1"/>
  <c r="G30" i="25"/>
  <c r="F30" i="25"/>
  <c r="E30" i="25"/>
  <c r="J29" i="25"/>
  <c r="B29" i="25" s="1"/>
  <c r="S28" i="25"/>
  <c r="K28" i="25"/>
  <c r="J28" i="25" s="1"/>
  <c r="H28" i="25"/>
  <c r="C28" i="25" s="1"/>
  <c r="C27" i="25"/>
  <c r="B27" i="25" s="1"/>
  <c r="E26" i="25"/>
  <c r="D26" i="25"/>
  <c r="D24" i="25" s="1"/>
  <c r="S25" i="25"/>
  <c r="K25" i="25"/>
  <c r="J25" i="25" s="1"/>
  <c r="C25" i="25"/>
  <c r="R24" i="25"/>
  <c r="Q24" i="25"/>
  <c r="P24" i="25"/>
  <c r="O24" i="25"/>
  <c r="N24" i="25"/>
  <c r="M24" i="25"/>
  <c r="L24" i="25"/>
  <c r="I24" i="25"/>
  <c r="H24" i="25"/>
  <c r="G24" i="25"/>
  <c r="F24" i="25"/>
  <c r="E24" i="25"/>
  <c r="J23" i="25"/>
  <c r="B23" i="25" s="1"/>
  <c r="C23" i="25"/>
  <c r="J22" i="25"/>
  <c r="H22" i="25"/>
  <c r="C22" i="25" s="1"/>
  <c r="S21" i="25"/>
  <c r="R21" i="25"/>
  <c r="Q21" i="25"/>
  <c r="J21" i="25"/>
  <c r="G21" i="25"/>
  <c r="F21" i="25"/>
  <c r="E21" i="25"/>
  <c r="D21" i="25"/>
  <c r="J20" i="25"/>
  <c r="H20" i="25"/>
  <c r="E20" i="25"/>
  <c r="C20" i="25" s="1"/>
  <c r="J19" i="25"/>
  <c r="C19" i="25"/>
  <c r="B19" i="25" s="1"/>
  <c r="C18" i="25"/>
  <c r="B18" i="25" s="1"/>
  <c r="C17" i="25"/>
  <c r="B17" i="25" s="1"/>
  <c r="Q16" i="25"/>
  <c r="K16" i="25"/>
  <c r="J16" i="25" s="1"/>
  <c r="H16" i="25"/>
  <c r="H15" i="25" s="1"/>
  <c r="G16" i="25"/>
  <c r="C16" i="25" s="1"/>
  <c r="S15" i="25"/>
  <c r="Q15" i="25"/>
  <c r="P15" i="25"/>
  <c r="O15" i="25"/>
  <c r="N15" i="25"/>
  <c r="M15" i="25"/>
  <c r="L15" i="25"/>
  <c r="F15" i="25"/>
  <c r="E15" i="25"/>
  <c r="D15" i="25"/>
  <c r="C14" i="25"/>
  <c r="B14" i="25"/>
  <c r="C13" i="25"/>
  <c r="B13" i="25" s="1"/>
  <c r="H12" i="25"/>
  <c r="H10" i="25" s="1"/>
  <c r="E12" i="25"/>
  <c r="D12" i="25"/>
  <c r="C11" i="25"/>
  <c r="B11" i="25" s="1"/>
  <c r="S10" i="25"/>
  <c r="R10" i="25"/>
  <c r="I10" i="25"/>
  <c r="G10" i="25"/>
  <c r="F10" i="25"/>
  <c r="E10" i="25"/>
  <c r="D10" i="25"/>
  <c r="K9" i="25"/>
  <c r="J9" i="25" s="1"/>
  <c r="C9" i="25"/>
  <c r="K38" i="20" l="1"/>
  <c r="K15" i="25"/>
  <c r="J15" i="25" s="1"/>
  <c r="O8" i="25"/>
  <c r="B20" i="25"/>
  <c r="J24" i="25"/>
  <c r="N8" i="25"/>
  <c r="R8" i="25"/>
  <c r="B32" i="25"/>
  <c r="D61" i="27"/>
  <c r="L46" i="20"/>
  <c r="U10" i="28"/>
  <c r="J34" i="28"/>
  <c r="J40" i="28"/>
  <c r="H8" i="17"/>
  <c r="L7" i="20"/>
  <c r="F43" i="28"/>
  <c r="S24" i="25"/>
  <c r="S8" i="25" s="1"/>
  <c r="K30" i="25"/>
  <c r="B31" i="25"/>
  <c r="E60" i="27"/>
  <c r="K7" i="20"/>
  <c r="D10" i="28"/>
  <c r="H24" i="28"/>
  <c r="U24" i="28" s="1"/>
  <c r="J21" i="28"/>
  <c r="B32" i="28"/>
  <c r="D8" i="17"/>
  <c r="D20" i="24"/>
  <c r="F53" i="20"/>
  <c r="F66" i="20" s="1"/>
  <c r="H53" i="20"/>
  <c r="H66" i="20" s="1"/>
  <c r="L65" i="20"/>
  <c r="J12" i="28"/>
  <c r="V17" i="28"/>
  <c r="J20" i="28"/>
  <c r="C10" i="25"/>
  <c r="C12" i="25"/>
  <c r="B12" i="25" s="1"/>
  <c r="Q8" i="25"/>
  <c r="K24" i="25"/>
  <c r="K8" i="25" s="1"/>
  <c r="C20" i="24"/>
  <c r="V9" i="22"/>
  <c r="L27" i="20"/>
  <c r="J30" i="20"/>
  <c r="I53" i="20"/>
  <c r="B10" i="28"/>
  <c r="G10" i="28"/>
  <c r="J10" i="28" s="1"/>
  <c r="J13" i="28"/>
  <c r="D17" i="28"/>
  <c r="D24" i="28" s="1"/>
  <c r="D9" i="28" s="1"/>
  <c r="J22" i="28"/>
  <c r="G8" i="17"/>
  <c r="G53" i="20"/>
  <c r="I8" i="25"/>
  <c r="M8" i="25"/>
  <c r="H21" i="25"/>
  <c r="B28" i="25"/>
  <c r="F8" i="25"/>
  <c r="J30" i="25"/>
  <c r="J8" i="25" s="1"/>
  <c r="J58" i="27"/>
  <c r="J59" i="27" s="1"/>
  <c r="L16" i="20"/>
  <c r="K30" i="20"/>
  <c r="J38" i="20"/>
  <c r="J46" i="20"/>
  <c r="K46" i="20"/>
  <c r="J65" i="20"/>
  <c r="J14" i="28"/>
  <c r="E24" i="28"/>
  <c r="E9" i="28" s="1"/>
  <c r="E43" i="28" s="1"/>
  <c r="I24" i="28"/>
  <c r="V24" i="28" s="1"/>
  <c r="J27" i="28"/>
  <c r="G30" i="28"/>
  <c r="G29" i="28" s="1"/>
  <c r="J29" i="28" s="1"/>
  <c r="V29" i="28" s="1"/>
  <c r="J32" i="28"/>
  <c r="J35" i="28"/>
  <c r="J36" i="28"/>
  <c r="J10" i="18"/>
  <c r="J17" i="18"/>
  <c r="J19" i="18"/>
  <c r="Q11" i="17"/>
  <c r="H9" i="28"/>
  <c r="D29" i="28"/>
  <c r="B30" i="28"/>
  <c r="I9" i="28"/>
  <c r="V9" i="28" s="1"/>
  <c r="C24" i="28"/>
  <c r="G24" i="28"/>
  <c r="L53" i="20"/>
  <c r="I66" i="20"/>
  <c r="G66" i="20"/>
  <c r="J53" i="20"/>
  <c r="J66" i="20" s="1"/>
  <c r="L30" i="20"/>
  <c r="L38" i="20"/>
  <c r="J16" i="20"/>
  <c r="J7" i="20"/>
  <c r="K16" i="20"/>
  <c r="J27" i="20"/>
  <c r="Q14" i="22"/>
  <c r="R14" i="22" s="1"/>
  <c r="H61" i="27"/>
  <c r="C9" i="27"/>
  <c r="C23" i="27" s="1"/>
  <c r="C24" i="27" s="1"/>
  <c r="G62" i="27"/>
  <c r="G63" i="27" s="1"/>
  <c r="G61" i="27"/>
  <c r="G24" i="27"/>
  <c r="G60" i="27"/>
  <c r="F24" i="27"/>
  <c r="J62" i="27"/>
  <c r="J63" i="27" s="1"/>
  <c r="J61" i="27"/>
  <c r="J60" i="27"/>
  <c r="J24" i="27"/>
  <c r="B62" i="27"/>
  <c r="B63" i="27" s="1"/>
  <c r="B61" i="27"/>
  <c r="B60" i="27"/>
  <c r="B24" i="27"/>
  <c r="I62" i="27"/>
  <c r="I63" i="27" s="1"/>
  <c r="I59" i="27"/>
  <c r="I61" i="27" s="1"/>
  <c r="E62" i="27"/>
  <c r="E63" i="27" s="1"/>
  <c r="H24" i="27"/>
  <c r="F58" i="27"/>
  <c r="F59" i="27" s="1"/>
  <c r="F61" i="27" s="1"/>
  <c r="C41" i="27"/>
  <c r="C58" i="27" s="1"/>
  <c r="E61" i="27"/>
  <c r="D62" i="27"/>
  <c r="D63" i="27" s="1"/>
  <c r="H62" i="27"/>
  <c r="H63" i="27" s="1"/>
  <c r="D24" i="27"/>
  <c r="D60" i="27"/>
  <c r="H60" i="27"/>
  <c r="E24" i="27"/>
  <c r="I24" i="27"/>
  <c r="C8" i="24"/>
  <c r="E23" i="24"/>
  <c r="F23" i="24" s="1"/>
  <c r="E8" i="24"/>
  <c r="B9" i="25"/>
  <c r="B25" i="25"/>
  <c r="B10" i="25"/>
  <c r="C15" i="25"/>
  <c r="B15" i="25" s="1"/>
  <c r="B16" i="25"/>
  <c r="C21" i="25"/>
  <c r="B21" i="25" s="1"/>
  <c r="B22" i="25"/>
  <c r="E8" i="25"/>
  <c r="D30" i="25"/>
  <c r="D8" i="25" s="1"/>
  <c r="H30" i="25"/>
  <c r="H8" i="25" s="1"/>
  <c r="G15" i="25"/>
  <c r="G8" i="25" s="1"/>
  <c r="C26" i="25"/>
  <c r="I43" i="28" l="1"/>
  <c r="V43" i="28" s="1"/>
  <c r="C30" i="25"/>
  <c r="B30" i="25" s="1"/>
  <c r="L66" i="20"/>
  <c r="F60" i="27"/>
  <c r="K53" i="20"/>
  <c r="K66" i="20" s="1"/>
  <c r="B17" i="28"/>
  <c r="J30" i="28"/>
  <c r="V30" i="28" s="1"/>
  <c r="J17" i="28"/>
  <c r="F8" i="24"/>
  <c r="G9" i="28"/>
  <c r="J24" i="28"/>
  <c r="C9" i="28"/>
  <c r="B24" i="28"/>
  <c r="D43" i="28"/>
  <c r="B29" i="28"/>
  <c r="H43" i="28"/>
  <c r="U43" i="28" s="1"/>
  <c r="U9" i="28"/>
  <c r="C59" i="27"/>
  <c r="C61" i="27" s="1"/>
  <c r="C62" i="27"/>
  <c r="C63" i="27" s="1"/>
  <c r="C60" i="27"/>
  <c r="F62" i="27"/>
  <c r="F63" i="27" s="1"/>
  <c r="E20" i="24"/>
  <c r="F20" i="24" s="1"/>
  <c r="B26" i="25"/>
  <c r="C24" i="25"/>
  <c r="B24" i="25" s="1"/>
  <c r="B8" i="25" s="1"/>
  <c r="B9" i="28" l="1"/>
  <c r="C43" i="28"/>
  <c r="B43" i="28" s="1"/>
  <c r="J9" i="28"/>
  <c r="G43" i="28"/>
  <c r="J43" i="28" s="1"/>
  <c r="C8" i="25"/>
</calcChain>
</file>

<file path=xl/sharedStrings.xml><?xml version="1.0" encoding="utf-8"?>
<sst xmlns="http://schemas.openxmlformats.org/spreadsheetml/2006/main" count="840" uniqueCount="578">
  <si>
    <t>Vysoké školy</t>
  </si>
  <si>
    <t xml:space="preserve">Číselné údaje ke grafům </t>
  </si>
  <si>
    <t>Ke grafu 1</t>
  </si>
  <si>
    <t>v mld.Kč</t>
  </si>
  <si>
    <t>r. 2005</t>
  </si>
  <si>
    <t>r. 2006</t>
  </si>
  <si>
    <t>r. 2007</t>
  </si>
  <si>
    <t>r. 2008</t>
  </si>
  <si>
    <t>r. 2009</t>
  </si>
  <si>
    <t>r. 2010</t>
  </si>
  <si>
    <t>r. 2011</t>
  </si>
  <si>
    <t>r. 2012</t>
  </si>
  <si>
    <t>r. 2013</t>
  </si>
  <si>
    <t>r. 2014</t>
  </si>
  <si>
    <t>r. 2015</t>
  </si>
  <si>
    <t xml:space="preserve">Regionální školství </t>
  </si>
  <si>
    <t>Výzkum a vývoj (bez spolufinancovaných programů)</t>
  </si>
  <si>
    <t>Ostatní výdaje (vč. oblasti mládeže a sportu)</t>
  </si>
  <si>
    <t>Výdaje státního rozpočtu            na spolufin. programy (vč. VaV)</t>
  </si>
  <si>
    <r>
      <t>Výdaje z rozpočtu EU a FM             na spolufin. programy</t>
    </r>
    <r>
      <rPr>
        <b/>
        <sz val="8"/>
        <rFont val="Arial CE"/>
        <charset val="238"/>
      </rPr>
      <t xml:space="preserve"> vč. VaV </t>
    </r>
    <r>
      <rPr>
        <sz val="9"/>
        <rFont val="Arial CE"/>
        <charset val="238"/>
      </rPr>
      <t>(v rozpočtu není plný podíl prostředků z EU s výjimkou roku 2013)</t>
    </r>
  </si>
  <si>
    <t>Výdaje kapitoly MŠMT celkem</t>
  </si>
  <si>
    <t>Ke grafu 2</t>
  </si>
  <si>
    <t>Výdaje regionálního školství a PŘO</t>
  </si>
  <si>
    <t xml:space="preserve">Vysoké školy </t>
  </si>
  <si>
    <t>Výzkum a vývoj                        (bez spolufinancovaných programů z EU a FM)</t>
  </si>
  <si>
    <t>Mládež a sport</t>
  </si>
  <si>
    <t>Výdaje z rozpočtu EU a FM na spolufinancované programy (vč. VaV)</t>
  </si>
  <si>
    <t>Výdaje státního rozpočtu na spolufinancované programy (vč. VaV)</t>
  </si>
  <si>
    <t>Ostatní výdaje</t>
  </si>
  <si>
    <t>Celkem</t>
  </si>
  <si>
    <t>r. 2016</t>
  </si>
  <si>
    <t>(údaje v Kč)</t>
  </si>
  <si>
    <t>Souhrnné ukazatele</t>
  </si>
  <si>
    <t>Příjmy celkem</t>
  </si>
  <si>
    <t>Výdaje celkem</t>
  </si>
  <si>
    <t>Specifické ukazatele - příjmy</t>
  </si>
  <si>
    <t>Nedaňové příjmy, kapitálové příjmy a přijaté transfery celkem</t>
  </si>
  <si>
    <t>v tom:</t>
  </si>
  <si>
    <t>příjmy z rozpočtu Evropské unie bez společné zemědělské politiky celkem</t>
  </si>
  <si>
    <t>příjmy z prostředků finančních mechanismů</t>
  </si>
  <si>
    <t>ostatní nedaňové příjmy, kapitálové příjmy a přijaté transfery celkem</t>
  </si>
  <si>
    <t>Specifické ukazatele - výdaje</t>
  </si>
  <si>
    <t>Věda a vysoké školy</t>
  </si>
  <si>
    <t>vysoké školy</t>
  </si>
  <si>
    <t>výzkum, experimentální vývoj a inovace</t>
  </si>
  <si>
    <t>Výdaje regionálního školství a přímo řízených organizací</t>
  </si>
  <si>
    <t>Podpora činnosti v oblasti mládeže</t>
  </si>
  <si>
    <t>Podpora činnosti v oblasti sportu</t>
  </si>
  <si>
    <t>sportovní reprezentace</t>
  </si>
  <si>
    <t>všeobecná sportovní činnost</t>
  </si>
  <si>
    <t>Výdaje na programy spolufinancované z rozpočtu Evropské unie a z prostředků finančních mechanismů mimo výzkum, vývoj a inovace</t>
  </si>
  <si>
    <t>Ostatní výdaje na zabezpečení úkolů resortu</t>
  </si>
  <si>
    <t>Průřezové ukazatele</t>
  </si>
  <si>
    <t>Platy zaměstnanců a ostatní platby za provedenou práci</t>
  </si>
  <si>
    <t>Převod fondu kulturních a sociálních potřeb</t>
  </si>
  <si>
    <t>ze státního rozpočtu celkem</t>
  </si>
  <si>
    <t>Zahraniční rozvojová spolupráce</t>
  </si>
  <si>
    <t>Program sociální prevence a prevence kriminality</t>
  </si>
  <si>
    <t>Program protidrogové politiky</t>
  </si>
  <si>
    <t>Podpora projektů integrace příslušníků romské komunity</t>
  </si>
  <si>
    <t>Zajištění přípravy na krizové situace podle zákona č. 240/2000 Sb.</t>
  </si>
  <si>
    <t>Výdaje spolufinancované zcela nebo částečně z rozpočtu Evropské unie bez společné zemědělské politiky celkem</t>
  </si>
  <si>
    <t>ze státního rozpočtu</t>
  </si>
  <si>
    <t>podíl rozpočtu Evropské unie</t>
  </si>
  <si>
    <t>Výdaje na společné projekty, které jsou zcela nebo částečně financovány z prostředků finančních mechanismů celkem</t>
  </si>
  <si>
    <t>podíl prostředků finančních mechanismů</t>
  </si>
  <si>
    <t>Výdaje vedené v informačním systému programového financování EDS/SMVS celkem</t>
  </si>
  <si>
    <t>1) bez příjmů z povinného pojistného na sociální zabezpečení a příspěvku na státní politiku zaměstnanosti</t>
  </si>
  <si>
    <t>2) povinné pojistné na sociální zabezpečení a příspěvek na státní politiku zaměstnanosti a pojistné na veřejné zdravotní pojištění</t>
  </si>
  <si>
    <t>3) z rozpočtu EU a z prostředků finančních mechanismů</t>
  </si>
  <si>
    <t>4) výdaje na výzkum, vývoj a inovace podle § 6 odst. 1 zákona č. 130/2002 Sb., ve znění zákona č. 110/2009 Sb.</t>
  </si>
  <si>
    <t>5) výdaje na výzkum, vývoj a inovace podle § 6 odst. 2 zákona č. 130/2002 Sb., ve znění zákona č. 110/2009 Sb.</t>
  </si>
  <si>
    <t>(členění dle specifických ukazatelů a výdajových druhů)</t>
  </si>
  <si>
    <t>(údaje v Kč mimo počtu zaměstnanců)</t>
  </si>
  <si>
    <t>Výdaje mimo EDS/SMVS</t>
  </si>
  <si>
    <t>Výdaje EDS/SMVS</t>
  </si>
  <si>
    <t>Počet zaměstnanců (stanovených limitem regulace zaměstnanosti)</t>
  </si>
  <si>
    <t>celkem výdaje mimo EDS/SMVS</t>
  </si>
  <si>
    <t>EDS/SMVS  celkem</t>
  </si>
  <si>
    <t>Kapitola 333 - MŠMT</t>
  </si>
  <si>
    <t>1. EDS/SMVS běžné výdaje</t>
  </si>
  <si>
    <t>2. EDS/SMVS kapitálové výdaje</t>
  </si>
  <si>
    <t>Celkem MŠMT</t>
  </si>
  <si>
    <t>Výzkum, vývoj a inovace  celkem</t>
  </si>
  <si>
    <t>Výdaje RgŠ a PŘO celkem</t>
  </si>
  <si>
    <t xml:space="preserve">       v tom: 1. výdaje regionálního školství ÚSC</t>
  </si>
  <si>
    <t xml:space="preserve">                   2. soukromé školy</t>
  </si>
  <si>
    <t xml:space="preserve">                   3. církevní školy</t>
  </si>
  <si>
    <t xml:space="preserve">                   4. výdaje PŘO</t>
  </si>
  <si>
    <t xml:space="preserve">      v tom:  1. sportovní reprezentace </t>
  </si>
  <si>
    <t xml:space="preserve">                   2. všeobecná sportovní činnost</t>
  </si>
  <si>
    <t xml:space="preserve">        v tom: 1. OP VVV</t>
  </si>
  <si>
    <t xml:space="preserve">                  2. státní správa</t>
  </si>
  <si>
    <t xml:space="preserve">                 3. program sociální prevence a prevence kriminality</t>
  </si>
  <si>
    <t xml:space="preserve">                 4. program protidrogové politiky</t>
  </si>
  <si>
    <t xml:space="preserve">                 5. podpora projektů integrace příslušníků romské komunity</t>
  </si>
  <si>
    <t>Výdaje celkem bez podílu EU/FM</t>
  </si>
  <si>
    <t>1. vysoké školy</t>
  </si>
  <si>
    <t>3. výdaje regionálního školství a přímo řízených organizací</t>
  </si>
  <si>
    <t>4. podpora činnosti v oblasti mládeže</t>
  </si>
  <si>
    <t>5. podpora činnosti v oblasti sportu</t>
  </si>
  <si>
    <t>6. výdaje na programy spolufinancované z rozpočtu EU a FM mimo výzkum vývoj a inovace</t>
  </si>
  <si>
    <t>7. ostatní výdaje na zabezpečení úkolů resortu včetně EDS/SMVS</t>
  </si>
  <si>
    <t>Schv. rozpočet</t>
  </si>
  <si>
    <t>Srovnatelná</t>
  </si>
  <si>
    <t>základna</t>
  </si>
  <si>
    <t>základnu</t>
  </si>
  <si>
    <t>S O U H R N N É    U K A Z A T E L E</t>
  </si>
  <si>
    <t xml:space="preserve">  Výdaje celkem</t>
  </si>
  <si>
    <t>SPECIFICKÉ UKAZATELE -  VÝDAJE CELKEM</t>
  </si>
  <si>
    <t>věda a vysoké školy</t>
  </si>
  <si>
    <t xml:space="preserve">                 výzkum, vývoj a inovace</t>
  </si>
  <si>
    <t>výdaje regionálního školství a přímo řízených organizací</t>
  </si>
  <si>
    <t>podpora činnosti v oblasti mládeže</t>
  </si>
  <si>
    <t>podpora činnosti v oblasti sportu</t>
  </si>
  <si>
    <t>PRŮŘEZOVÉ UKAZATELE</t>
  </si>
  <si>
    <t>(údaje jsou v tis. Kč vzhledem k návaznosti na předchozí roky, kdy se takto sledovaly)</t>
  </si>
  <si>
    <t>ROK 2011</t>
  </si>
  <si>
    <t>ROK 2012</t>
  </si>
  <si>
    <t>ROK 2013</t>
  </si>
  <si>
    <t>ROK 2014</t>
  </si>
  <si>
    <t>ROK 2015  **)</t>
  </si>
  <si>
    <t>ROK 2016</t>
  </si>
  <si>
    <t>Schv.rozpočet                     bez podílu  EU/FM</t>
  </si>
  <si>
    <t>Schv.rozpočet                     vč. podílu  EU/FM</t>
  </si>
  <si>
    <t>z toho vázání výdajů</t>
  </si>
  <si>
    <t>Rozpočet                     bez podílu  EU/FM</t>
  </si>
  <si>
    <t>Rozpočet                     vč. podílu  EU/FM</t>
  </si>
  <si>
    <t>Rozpočet                  bez podílu  EU/FM **)</t>
  </si>
  <si>
    <t>Rozpočet                   vč. podílu  EU/FM **)</t>
  </si>
  <si>
    <t>v tom: výdaje mimo EDS/SMVS</t>
  </si>
  <si>
    <t xml:space="preserve">            výdaje na EDS/SMVS</t>
  </si>
  <si>
    <t>v tom:   mzdové výdaje včetně příslušenství   - pedagogové *)</t>
  </si>
  <si>
    <t xml:space="preserve">              mzdové výdaje včetně příslušenství   - nepedagogové *)</t>
  </si>
  <si>
    <t xml:space="preserve">              ONIV- učební pomůcky aj. ONIV mimo soukr. a círk. školy</t>
  </si>
  <si>
    <t xml:space="preserve">              ONIV - soukromé a církevní školy</t>
  </si>
  <si>
    <t xml:space="preserve">              výdaje na EDS/SMVS</t>
  </si>
  <si>
    <t>6. výdaje na programy spolufinancované z rozpočtu EU a FM mimo VVI</t>
  </si>
  <si>
    <t>ad 3) ve výdajích RgŠ a přímo řízených organizací:</t>
  </si>
  <si>
    <t>3.1. výdaje regionálního školství  ÚSC</t>
  </si>
  <si>
    <t xml:space="preserve">             ONIV - soukromé školy</t>
  </si>
  <si>
    <t>3. 2. výdaje přímo řízených organizací</t>
  </si>
  <si>
    <t xml:space="preserve">             ONIV- provozní výdaje PŘO</t>
  </si>
  <si>
    <t>*) Mzdové výdaje vč.příslušenství zvlášť na pedagogy a nepedadagogy se sledovaly  a vykazovaly v závazném ukazateli pouze v letech 2012 a 2013.</t>
  </si>
  <si>
    <t>**) v r. 2015 je schválený rozpočet RgŠ upraven o dodatečně poskytnuté prostředky na soukromé školy ve výši 140 mil. Kč.</t>
  </si>
  <si>
    <t>Zdroj</t>
  </si>
  <si>
    <t>Kap. 333 MŠMT</t>
  </si>
  <si>
    <t>Prostředky na platy a ostatní platby v Kč</t>
  </si>
  <si>
    <t>Počet zaměstnanců</t>
  </si>
  <si>
    <t>Průměrný plat v Kč</t>
  </si>
  <si>
    <t>Ostatní platby za provedenou práci v Kč</t>
  </si>
  <si>
    <t>Prostředky na platy v Kč</t>
  </si>
  <si>
    <t>Organizační složky státu celkem:</t>
  </si>
  <si>
    <t>I.Ústřední orgán:</t>
  </si>
  <si>
    <t xml:space="preserve">v tom: </t>
  </si>
  <si>
    <t>ústřední orgán - kmen</t>
  </si>
  <si>
    <t xml:space="preserve"> -</t>
  </si>
  <si>
    <t>OP VVV</t>
  </si>
  <si>
    <t>II.Česká školní inspekce:</t>
  </si>
  <si>
    <t>Česká školní inspekce - kmen</t>
  </si>
  <si>
    <t>Státní správa celkem</t>
  </si>
  <si>
    <t>III. Ost.organizační složky státu:</t>
  </si>
  <si>
    <t>VSC</t>
  </si>
  <si>
    <t xml:space="preserve"> </t>
  </si>
  <si>
    <t>Příspěvkové organizace celkem:</t>
  </si>
  <si>
    <t>1. OPŘO - celkem</t>
  </si>
  <si>
    <t xml:space="preserve">    </t>
  </si>
  <si>
    <t>3. RGŠ - PŘO</t>
  </si>
  <si>
    <t xml:space="preserve"> Organizační složky státu a příspěvkové organizace celkem</t>
  </si>
  <si>
    <t>(členění dle specifických ukazatelů a příjmových druhů)</t>
  </si>
  <si>
    <t xml:space="preserve">  Příjmy celkem</t>
  </si>
  <si>
    <t>SPECIFICKÉ UKAZATELE -  PŘÍJMY CELKEM</t>
  </si>
  <si>
    <t xml:space="preserve">  Daňové příjmy</t>
  </si>
  <si>
    <t xml:space="preserve">  Nedaňové příjmy, kapitálové příjmy a přijaté transfery celkem</t>
  </si>
  <si>
    <t xml:space="preserve">                  Příjmy z prostředků finančních mechanismů</t>
  </si>
  <si>
    <t xml:space="preserve">                  ostatní nedaňové příjmy, kapitálové příjmy a přijaté transfery celkem</t>
  </si>
  <si>
    <t xml:space="preserve">                    2. EHP/Norsko</t>
  </si>
  <si>
    <t xml:space="preserve">                 6. zahraniční rozvojová spolupráce</t>
  </si>
  <si>
    <t xml:space="preserve">                 7. program podpory vzdělávání národnostních menšin a multikulturní výchova</t>
  </si>
  <si>
    <t>(ve struktuře návrhu zákona o státním rozpočtu)</t>
  </si>
  <si>
    <r>
      <t xml:space="preserve">Daňové příjmy </t>
    </r>
    <r>
      <rPr>
        <vertAlign val="superscript"/>
        <sz val="11"/>
        <rFont val="Calibri"/>
        <family val="2"/>
        <charset val="238"/>
      </rPr>
      <t>5)</t>
    </r>
  </si>
  <si>
    <r>
      <t xml:space="preserve">Povinné pojistné placené zaměstnavatelem </t>
    </r>
    <r>
      <rPr>
        <vertAlign val="superscript"/>
        <sz val="11"/>
        <rFont val="Calibri"/>
        <family val="2"/>
        <charset val="238"/>
      </rPr>
      <t>1)</t>
    </r>
  </si>
  <si>
    <r>
      <t xml:space="preserve">Výdaje na výzkum, vývoj a inovace celkem včetně programů spolufinancovaných z prostředků zahraničních programů </t>
    </r>
    <r>
      <rPr>
        <vertAlign val="superscript"/>
        <sz val="11"/>
        <rFont val="Calibri"/>
        <family val="2"/>
        <charset val="238"/>
      </rPr>
      <t>2)</t>
    </r>
  </si>
  <si>
    <r>
      <t xml:space="preserve">institucionální podpora celkem </t>
    </r>
    <r>
      <rPr>
        <vertAlign val="superscript"/>
        <sz val="11"/>
        <rFont val="Calibri"/>
        <family val="2"/>
        <charset val="238"/>
      </rPr>
      <t>3)</t>
    </r>
  </si>
  <si>
    <r>
      <t xml:space="preserve">účelová podpora celkem </t>
    </r>
    <r>
      <rPr>
        <vertAlign val="superscript"/>
        <sz val="11"/>
        <rFont val="Calibri"/>
        <family val="2"/>
        <charset val="238"/>
      </rPr>
      <t>3)</t>
    </r>
  </si>
  <si>
    <r>
      <t xml:space="preserve">podíl prostředků zahraničních programů </t>
    </r>
    <r>
      <rPr>
        <vertAlign val="superscript"/>
        <sz val="11"/>
        <rFont val="Calibri"/>
        <family val="2"/>
        <charset val="238"/>
      </rPr>
      <t>2)</t>
    </r>
  </si>
  <si>
    <r>
      <t xml:space="preserve">Účelová podpora na programy aplikovaného výzkumu, vývoje a inovací </t>
    </r>
    <r>
      <rPr>
        <vertAlign val="superscript"/>
        <sz val="11"/>
        <rFont val="Calibri"/>
        <family val="2"/>
        <charset val="238"/>
      </rPr>
      <t>4)</t>
    </r>
  </si>
  <si>
    <r>
      <t xml:space="preserve">Účelová podpora na specifický vysokoškolský výzkum </t>
    </r>
    <r>
      <rPr>
        <vertAlign val="superscript"/>
        <sz val="11"/>
        <rFont val="Calibri"/>
        <family val="2"/>
        <charset val="238"/>
      </rPr>
      <t>4)</t>
    </r>
  </si>
  <si>
    <r>
      <t xml:space="preserve">Institucionální podpora výzkumných organizací podle zhodnocení jimi dosažených výsledků </t>
    </r>
    <r>
      <rPr>
        <vertAlign val="superscript"/>
        <sz val="11"/>
        <rFont val="Calibri"/>
        <family val="2"/>
        <charset val="238"/>
      </rPr>
      <t>4)</t>
    </r>
  </si>
  <si>
    <r>
      <t xml:space="preserve">Institucionální podpora na mezinárodní spolupráci ČR ve výzkumu a vývoji </t>
    </r>
    <r>
      <rPr>
        <vertAlign val="superscript"/>
        <sz val="11"/>
        <rFont val="Calibri"/>
        <family val="2"/>
        <charset val="238"/>
      </rPr>
      <t>4)</t>
    </r>
  </si>
  <si>
    <t xml:space="preserve">                    3. KP Impuls (Erasmus+)</t>
  </si>
  <si>
    <t xml:space="preserve">7. ostatní výdaje na zabezpečení úkolů resortu </t>
  </si>
  <si>
    <t xml:space="preserve">Výdaje celkem vč. podílu EU/FM </t>
  </si>
  <si>
    <t>ROK 2017</t>
  </si>
  <si>
    <t>Rozpočet                  bez podílu  EU/FM</t>
  </si>
  <si>
    <t xml:space="preserve">Rozpočet                   vč. podílu  EU/FM </t>
  </si>
  <si>
    <t xml:space="preserve">             ONIV - církevní školy (bez dotačních titulů)</t>
  </si>
  <si>
    <t>Meziroční změna</t>
  </si>
  <si>
    <t>PVS</t>
  </si>
  <si>
    <t>5010010011</t>
  </si>
  <si>
    <t>1100000</t>
  </si>
  <si>
    <t>SR - základní</t>
  </si>
  <si>
    <t>5010010012</t>
  </si>
  <si>
    <t>Vysoké školy - příspěvek</t>
  </si>
  <si>
    <t>5010020011</t>
  </si>
  <si>
    <t>Výzkum, experimentální vývoj a inovace</t>
  </si>
  <si>
    <t>1104710</t>
  </si>
  <si>
    <t>SR - KP Eurostar</t>
  </si>
  <si>
    <t>1106004</t>
  </si>
  <si>
    <t>SR - EHP/Norsko 3</t>
  </si>
  <si>
    <t>1110300</t>
  </si>
  <si>
    <t>5020010011</t>
  </si>
  <si>
    <t>Výdaje regionálního školství - rozvojové programy</t>
  </si>
  <si>
    <t>5020010012</t>
  </si>
  <si>
    <t>Výdaje regionálního školství - výkonové financování</t>
  </si>
  <si>
    <t>5020010013</t>
  </si>
  <si>
    <t>133310</t>
  </si>
  <si>
    <t>5020010022</t>
  </si>
  <si>
    <t>Přímo řízené organizace - příspěvek</t>
  </si>
  <si>
    <t>5020010023</t>
  </si>
  <si>
    <t>133110</t>
  </si>
  <si>
    <t>5030010011</t>
  </si>
  <si>
    <t>133710</t>
  </si>
  <si>
    <t>5040010011</t>
  </si>
  <si>
    <t>5040010012</t>
  </si>
  <si>
    <t>5040020011</t>
  </si>
  <si>
    <t>5050010011</t>
  </si>
  <si>
    <t>1112108</t>
  </si>
  <si>
    <t>SR - KP Erasmus +</t>
  </si>
  <si>
    <t>5060010011</t>
  </si>
  <si>
    <t>Ostatní výdaje na zabezpečení úkolů resortu (vč. EDS/SMVS)</t>
  </si>
  <si>
    <t>133010</t>
  </si>
  <si>
    <t>*)</t>
  </si>
  <si>
    <t>1504710</t>
  </si>
  <si>
    <t>EU - KP Eurostar</t>
  </si>
  <si>
    <t>1510300</t>
  </si>
  <si>
    <t>k pol. 5013</t>
  </si>
  <si>
    <t>zam. k pol . 5011/zam. v prac.poměru</t>
  </si>
  <si>
    <t>platy pol. 5013</t>
  </si>
  <si>
    <t>platy pol. 5011/platy zam. v prac. poměru</t>
  </si>
  <si>
    <t>KP Erasmus+</t>
  </si>
  <si>
    <t>1.2  OP VVV - mimo VVI</t>
  </si>
  <si>
    <t>1.3  OP VVV -VVI</t>
  </si>
  <si>
    <t>1.</t>
  </si>
  <si>
    <t>2.</t>
  </si>
  <si>
    <t>3.</t>
  </si>
  <si>
    <t>r. 2017</t>
  </si>
  <si>
    <t>EU bez VVI</t>
  </si>
  <si>
    <t>EU s VVI</t>
  </si>
  <si>
    <t>VŠ</t>
  </si>
  <si>
    <t>RgŠ</t>
  </si>
  <si>
    <t>PŘO</t>
  </si>
  <si>
    <t>Mládež</t>
  </si>
  <si>
    <t>Sport</t>
  </si>
  <si>
    <t>OPŘO</t>
  </si>
  <si>
    <t>SS</t>
  </si>
  <si>
    <t>Ostatní</t>
  </si>
  <si>
    <t>4.</t>
  </si>
  <si>
    <t>5.</t>
  </si>
  <si>
    <t>6.</t>
  </si>
  <si>
    <t>25.</t>
  </si>
  <si>
    <t>7.</t>
  </si>
  <si>
    <t>8.</t>
  </si>
  <si>
    <t>9.</t>
  </si>
  <si>
    <t>10.</t>
  </si>
  <si>
    <t>31.</t>
  </si>
  <si>
    <t>21.</t>
  </si>
  <si>
    <t>11.</t>
  </si>
  <si>
    <t>12.</t>
  </si>
  <si>
    <t>13.</t>
  </si>
  <si>
    <t>16.</t>
  </si>
  <si>
    <t>17.</t>
  </si>
  <si>
    <t>18.</t>
  </si>
  <si>
    <t>19.</t>
  </si>
  <si>
    <t>20.</t>
  </si>
  <si>
    <t>22.</t>
  </si>
  <si>
    <t>23.</t>
  </si>
  <si>
    <t>24.</t>
  </si>
  <si>
    <t>26.</t>
  </si>
  <si>
    <t>27.</t>
  </si>
  <si>
    <t>28.</t>
  </si>
  <si>
    <t>29.</t>
  </si>
  <si>
    <t>30.</t>
  </si>
  <si>
    <t>32.</t>
  </si>
  <si>
    <t>33.</t>
  </si>
  <si>
    <t>34.</t>
  </si>
  <si>
    <t>výdaje regionálního školství</t>
  </si>
  <si>
    <t xml:space="preserve">                    4. OP Zaměstnanost</t>
  </si>
  <si>
    <t>Schválený rozpočet</t>
  </si>
  <si>
    <t>Absolutní změna</t>
  </si>
  <si>
    <t>Relativní změna</t>
  </si>
  <si>
    <t xml:space="preserve">6. výdaje na programy spolufinancované z rozpočtu EU a FM mimo výzkum vývoj a inovace </t>
  </si>
  <si>
    <t>odečet podílu EU/FM v příjmech a výdajích</t>
  </si>
  <si>
    <t xml:space="preserve">      v tom: vysoké školy</t>
  </si>
  <si>
    <t xml:space="preserve">                           - vysoké školy příspěvek</t>
  </si>
  <si>
    <t xml:space="preserve">                  výdaje RgŠ - rozvojové programy</t>
  </si>
  <si>
    <t xml:space="preserve">                  výdaje RgŠ - výkonové financování</t>
  </si>
  <si>
    <t xml:space="preserve">         v tom: sportovní reprezentace</t>
  </si>
  <si>
    <t xml:space="preserve">                    všeobecná sportovní činnost</t>
  </si>
  <si>
    <t>ostatní výdaje na zabezpečení úkolů resortu (vč. EDS/SMVS):</t>
  </si>
  <si>
    <t>přesuny v EDS/SMVS</t>
  </si>
  <si>
    <t>ROK 2018</t>
  </si>
  <si>
    <t>2019</t>
  </si>
  <si>
    <t>2020</t>
  </si>
  <si>
    <t>2020-2019</t>
  </si>
  <si>
    <t>Program</t>
  </si>
  <si>
    <t>501</t>
  </si>
  <si>
    <t>Vysoké školy - dotace (vč. EDS)</t>
  </si>
  <si>
    <t>502</t>
  </si>
  <si>
    <t>Výdaje RgŠ a PŘO</t>
  </si>
  <si>
    <t>Výdaje regionálního školství - ost.dot.tituly (vč. EDS)</t>
  </si>
  <si>
    <t>133320</t>
  </si>
  <si>
    <t>133330</t>
  </si>
  <si>
    <t>Přímo řízené organizace - ost.dotační tituly (vč. SMVS)</t>
  </si>
  <si>
    <t>503</t>
  </si>
  <si>
    <t>Podpora činnosti v oblasti mládeže - dotace (vč, EDS)</t>
  </si>
  <si>
    <t>504</t>
  </si>
  <si>
    <t>Sportovní reprezentace - dotace (vč. EDS)</t>
  </si>
  <si>
    <t>133520</t>
  </si>
  <si>
    <t>Všeobecná sportovní činnost - dotace (vč. EDS)</t>
  </si>
  <si>
    <t>133530</t>
  </si>
  <si>
    <t>505</t>
  </si>
  <si>
    <t>Výdaje na programy spolufin.z rozpočtu EU a FM mimo VVaI</t>
  </si>
  <si>
    <t>Programy spolufin. z rozpočtu EU/FM mimo VVaI (vč.EDS/SMVS)</t>
  </si>
  <si>
    <t>133810</t>
  </si>
  <si>
    <t>1110400</t>
  </si>
  <si>
    <t>506</t>
  </si>
  <si>
    <t>CELKEM kapitola bez EU a FM</t>
  </si>
  <si>
    <t>1506004</t>
  </si>
  <si>
    <t>FM - EHP/Norsko 3</t>
  </si>
  <si>
    <t>1510400</t>
  </si>
  <si>
    <t xml:space="preserve">                             OP VVV</t>
  </si>
  <si>
    <t xml:space="preserve">                             ostatní programy</t>
  </si>
  <si>
    <t>r. 2018</t>
  </si>
  <si>
    <t xml:space="preserve">2. RGŠ územních celků </t>
  </si>
  <si>
    <t>Výhled</t>
  </si>
  <si>
    <t>1. platy</t>
  </si>
  <si>
    <t>2. OON</t>
  </si>
  <si>
    <t>3. pojistné</t>
  </si>
  <si>
    <t>4. FKSP</t>
  </si>
  <si>
    <t>5. ostatní běžné výdaje  vč. mzdových prostředků a příslušenství VŠ, soukromých a církevních škol</t>
  </si>
  <si>
    <t>6. kapitálové výdaje mimo EDS/SMVS</t>
  </si>
  <si>
    <t xml:space="preserve">5. ostatní běžné výdaje  </t>
  </si>
  <si>
    <t xml:space="preserve">                   2. výzkum, vývoj a inovace - OP VVV</t>
  </si>
  <si>
    <t xml:space="preserve">                   3. Horizont 2020</t>
  </si>
  <si>
    <t xml:space="preserve">                   4. Eurostars 2</t>
  </si>
  <si>
    <t xml:space="preserve">                    5. Integrovaný regionální operační program</t>
  </si>
  <si>
    <t xml:space="preserve"> na rok 2018                                         bez podílu EU/FM</t>
  </si>
  <si>
    <t>rok 2019 bez podílu EU/FM</t>
  </si>
  <si>
    <t xml:space="preserve"> na rok 2018                                         vč. podílu EU/FM</t>
  </si>
  <si>
    <t>rok 2019 vč. podílu EU/FM</t>
  </si>
  <si>
    <t xml:space="preserve">5. podpora činnosti v oblasti sportu </t>
  </si>
  <si>
    <t>krácení užších provozních výdajů podle MF</t>
  </si>
  <si>
    <t>Vlivy pro</t>
  </si>
  <si>
    <t>vlivy  do výše</t>
  </si>
  <si>
    <t xml:space="preserve">střednědobý výhled </t>
  </si>
  <si>
    <t>vlivy nad střednědobý</t>
  </si>
  <si>
    <t xml:space="preserve">střednědobého 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</si>
  <si>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</si>
  <si>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</si>
  <si>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</si>
  <si>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</si>
  <si>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</si>
  <si>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</si>
  <si>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</si>
  <si>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</si>
  <si>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</si>
  <si>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</si>
  <si>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</si>
  <si>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 xml:space="preserve">                  - všeobecná sportovní činnost - školní sport</t>
  </si>
  <si>
    <t>změna výzkumu, vývoje a inovací</t>
  </si>
  <si>
    <t>růst výkonů RgŠ</t>
  </si>
  <si>
    <t>překryv učitelů mateřských škol v RgŠ</t>
  </si>
  <si>
    <t>příjmy a výdaje od EU/FM</t>
  </si>
  <si>
    <t>navýšení platu ústavního činitele</t>
  </si>
  <si>
    <t>(rekapitulace vlivů vč. východiska ze střednědobého výhledu)</t>
  </si>
  <si>
    <t>ROK 2019</t>
  </si>
  <si>
    <t>Rozpočet                   vč. podílu  EU/FM</t>
  </si>
  <si>
    <t xml:space="preserve">             ONIV- učební pomůcky, náhrady, vč. dotačních titulů**)</t>
  </si>
  <si>
    <t>2021</t>
  </si>
  <si>
    <t>2021-2020</t>
  </si>
  <si>
    <t>133220</t>
  </si>
  <si>
    <t>SR - OP Výzkum,vývoj a vzdělávání 2014+</t>
  </si>
  <si>
    <t>1112104</t>
  </si>
  <si>
    <t>SR - KP Horizont 2020</t>
  </si>
  <si>
    <t>133120</t>
  </si>
  <si>
    <t>133620</t>
  </si>
  <si>
    <t>5040020012</t>
  </si>
  <si>
    <t>Všeobecná sportovní činnost - školní sport</t>
  </si>
  <si>
    <t>SR - OP Zaměstnanost 2014+</t>
  </si>
  <si>
    <t>1110700</t>
  </si>
  <si>
    <t>SR - Integrovaný regionální operační program 2014+</t>
  </si>
  <si>
    <t>EU - OP Výzkum,vývoj a vzdělávání 2014+</t>
  </si>
  <si>
    <t>1512104</t>
  </si>
  <si>
    <t>EU - KP Horizont 2020</t>
  </si>
  <si>
    <t>EU - OP Zaměstnanost 2014+</t>
  </si>
  <si>
    <t>1510700</t>
  </si>
  <si>
    <t>EU - Integrovaný regionální operační program 2014+</t>
  </si>
  <si>
    <t>CELKEM EU a FM</t>
  </si>
  <si>
    <t>CELKEM kapitola vč. EU a FM</t>
  </si>
  <si>
    <t>rozpočet</t>
  </si>
  <si>
    <t xml:space="preserve">                  v tom: EHP/Norsko</t>
  </si>
  <si>
    <t>r. 2019</t>
  </si>
  <si>
    <t>Ukazatele  kapitoly 333 MŠMT na rok 2020</t>
  </si>
  <si>
    <t>Výdaje spojené s výkonem předsednictví ČR v Radě Evropské unie</t>
  </si>
  <si>
    <t>Platy zaměstnanců v pracovním poměru</t>
  </si>
  <si>
    <t>Platy státních úředníků</t>
  </si>
  <si>
    <t>Ukazatele kapitoly 333 MŠMT na rok 2020</t>
  </si>
  <si>
    <t xml:space="preserve">      v tom: 1. OPŘO, účelově vymezené prostředky, vklady a příspěvky do zahraničí aj.</t>
  </si>
  <si>
    <t xml:space="preserve">                 8. české kulturní dědictví</t>
  </si>
  <si>
    <t xml:space="preserve">                 9. integrace cizinců</t>
  </si>
  <si>
    <t xml:space="preserve">                10. krizové řízení</t>
  </si>
  <si>
    <t>*) z  toho je zařazeno v EDS/SMVS  33 zaměstnanců (30 v OP VVV a 3 v OP Z)</t>
  </si>
  <si>
    <t>Ukazatele rozpočtu kapitoly 333 MŠMT na rok 2020</t>
  </si>
  <si>
    <t>(změny proti rozpočtu roku 2019)</t>
  </si>
  <si>
    <t>Rozpočet</t>
  </si>
  <si>
    <t>rok 2020 bez podílu EU/FM</t>
  </si>
  <si>
    <t xml:space="preserve">vůči základně rozpočtu k r. 2019            </t>
  </si>
  <si>
    <t xml:space="preserve">vůči rozpočtu r. 2019 v %              </t>
  </si>
  <si>
    <t>rok 2020 vč. podílu EU/FM</t>
  </si>
  <si>
    <t xml:space="preserve">vůči  rozpočtu r. 2019                              </t>
  </si>
  <si>
    <t xml:space="preserve">vůči rozpočtu r. 2019 v %                               </t>
  </si>
  <si>
    <t>(změny proti rozpočtu roku 2019 podrobně)</t>
  </si>
  <si>
    <t>programy paměťových institucí</t>
  </si>
  <si>
    <t>odečet podílu EU</t>
  </si>
  <si>
    <t>dorovnání na SDV (EDS/SMVS)</t>
  </si>
  <si>
    <t>dorovnání VŠ z OP VVV</t>
  </si>
  <si>
    <t>nárůst výdajů na VŠ</t>
  </si>
  <si>
    <t>změna ve VaV podle SDV</t>
  </si>
  <si>
    <t>reforma nepedag.</t>
  </si>
  <si>
    <t>překryv učitelů MŠ</t>
  </si>
  <si>
    <t>dorovnání platového nárůstu soukromých škol</t>
  </si>
  <si>
    <t>nárůst platu ústavních činitelů</t>
  </si>
  <si>
    <t>reforma PHmax pedagogové (dělení hodin)</t>
  </si>
  <si>
    <t>dorovnání platu cirkevních škol</t>
  </si>
  <si>
    <t xml:space="preserve"> nárůst příjmů úřadu</t>
  </si>
  <si>
    <t>podíl EU/FM</t>
  </si>
  <si>
    <t>změna VaV podle UV 352/2019</t>
  </si>
  <si>
    <t>nárůst příjmů vlastního úřadu</t>
  </si>
  <si>
    <t>úprava platu ústavního činitele</t>
  </si>
  <si>
    <t>vrácení prostředků na rozpočtem nekrytá místa</t>
  </si>
  <si>
    <t>krácení platů a úvazků podle MF</t>
  </si>
  <si>
    <t>snížení výdajů na ZRS podle MF</t>
  </si>
  <si>
    <t>platový růst červen</t>
  </si>
  <si>
    <t>dorovnání soukromého školství</t>
  </si>
  <si>
    <t>růst výkonů podle MF (vč. zam.)</t>
  </si>
  <si>
    <t>úspora modelu reformy RgŠ vč. zam.</t>
  </si>
  <si>
    <t>omezení výdajů na inkluzi vč. zam.</t>
  </si>
  <si>
    <t>snížení odvodů podle zák. č. 32/2019 Sb.</t>
  </si>
  <si>
    <t>snížení výdajů na sport</t>
  </si>
  <si>
    <t>delimitace protidrogové politiky (UV 532/19)</t>
  </si>
  <si>
    <t>navýšení kapacit PŘO</t>
  </si>
  <si>
    <t xml:space="preserve"> výkony RgŠ</t>
  </si>
  <si>
    <t>delimitace NSA (WADA)</t>
  </si>
  <si>
    <t>Evropské školy</t>
  </si>
  <si>
    <t>přesun OPZ do EDS/SMVS (Kvalita)</t>
  </si>
  <si>
    <t>obědy do škol</t>
  </si>
  <si>
    <t xml:space="preserve"> dorovnání platu soukromých škol</t>
  </si>
  <si>
    <t>vrácení platů OPŘO</t>
  </si>
  <si>
    <t xml:space="preserve">navýšení EDS/SMVS sport </t>
  </si>
  <si>
    <t>odpočet navýšení o 2 % (sloučení stupnic)</t>
  </si>
  <si>
    <t>korekce delimitace do NSA</t>
  </si>
  <si>
    <t>dokrytí sloučení stupnice</t>
  </si>
  <si>
    <t>interní přesuny</t>
  </si>
  <si>
    <t>k 1.1.2019</t>
  </si>
  <si>
    <t>14.</t>
  </si>
  <si>
    <t>15.</t>
  </si>
  <si>
    <t>výhled r. 2020</t>
  </si>
  <si>
    <t>na rok 2020</t>
  </si>
  <si>
    <t>výhledu 2020</t>
  </si>
  <si>
    <t>(usnesení PSP 422/2018)</t>
  </si>
  <si>
    <t xml:space="preserve">   Vysoké školy</t>
  </si>
  <si>
    <t>schválený rozpočet na rok 2019</t>
  </si>
  <si>
    <t>odečet příjmů a výdajů od EU (z toho platy:-313 539 474 Kč, OON:-126 951 371 Kč), snížení zaměstnanců o 722,33 v OSS a PO</t>
  </si>
  <si>
    <t>programy paměťových institucí - narovnání</t>
  </si>
  <si>
    <t>srovnatelná základna r. 2020 bez podílu EU/FM</t>
  </si>
  <si>
    <t>vrácení prostředků z OPVVV do VŠ</t>
  </si>
  <si>
    <t>změna výzkumu, vývoje a inovací podle SDV</t>
  </si>
  <si>
    <t>model nepedagogických zaměstnanců</t>
  </si>
  <si>
    <t>dorovnání platového nárůstu cirkevních škol</t>
  </si>
  <si>
    <t>nárůst příjmů úřadu</t>
  </si>
  <si>
    <t xml:space="preserve">nárůst platů úst. činitelů podle SDV </t>
  </si>
  <si>
    <t xml:space="preserve">změna běžných výdajů na úkor programého financování </t>
  </si>
  <si>
    <t>úprava programového financování (133310, 133320, 133620, 133810, 133010, 133110, 133120)</t>
  </si>
  <si>
    <t>úprava platů (-11 638 139 Kč) a OON  (+4 860 717 Kč) v OSS a PO podle MF ve spolufinancovaných programech na úkor OBV</t>
  </si>
  <si>
    <t>vlivy celkem do výše střednědobého výhledu podle usnesení PSP č. 422/2018</t>
  </si>
  <si>
    <t>střednědobý výhled 2020 podle usnesení PSP č. 422/2018</t>
  </si>
  <si>
    <t>dorovnání církevních škol</t>
  </si>
  <si>
    <t>omezení výdajů na společné vzdělávání RgŠ</t>
  </si>
  <si>
    <t>úspora modelu reformy finanování RgŠ</t>
  </si>
  <si>
    <t>nárůst platů pedagogů o 10 % vč. 1% motivace na výkony</t>
  </si>
  <si>
    <t>nárůst platů 7 % nepedagogických zaměstnanců RgŠ</t>
  </si>
  <si>
    <t>nárůst platů o 2 % ostatních zaměstnanců mimo RgŠ</t>
  </si>
  <si>
    <t>aktualizace platu ústavních činitelů</t>
  </si>
  <si>
    <t>snížení výdajů na sport podle MF</t>
  </si>
  <si>
    <t>dopady krácení úvazků o 115 po zohlednění vrácení 50 % krácených prostředků</t>
  </si>
  <si>
    <t>snížení odvodů na sociální pojištění</t>
  </si>
  <si>
    <t>vrácení prostředků na nekrytá místa (OSS a PO)</t>
  </si>
  <si>
    <t>navýšení příjmů vlastního úřadu</t>
  </si>
  <si>
    <t>snížení zahraniční rozvojové spolupráce</t>
  </si>
  <si>
    <t>přesuny (met. změna výdaje na Pirnu)</t>
  </si>
  <si>
    <t>přesuny v EDS/SMVS (Kvasiny  ve výši 20 400 000 Kč)</t>
  </si>
  <si>
    <t>delimitace protidrogové politiky</t>
  </si>
  <si>
    <t>růst výkonů v RgŠ - doplnění</t>
  </si>
  <si>
    <t>soukromé a církevní školy - nová struktura normativů</t>
  </si>
  <si>
    <t xml:space="preserve">obědy do škol </t>
  </si>
  <si>
    <t>delimitace na Národní sportovní agenturu</t>
  </si>
  <si>
    <t>navýšení sportu EDS/SMVS</t>
  </si>
  <si>
    <t>snížení krácení u PO</t>
  </si>
  <si>
    <t>přesuny krácení dle návrhu MŠMT</t>
  </si>
  <si>
    <t>zrušení navýšení platů a odvodů o 2 % u vlastního úřadu a ČŠI</t>
  </si>
  <si>
    <t>korekce platů a odvodů úřadu delimitovaných na Národní sportovní agenturu</t>
  </si>
  <si>
    <t>navýšení platů o 1500 Kč měsíčně na 1 funkční místo vč. odvodů</t>
  </si>
  <si>
    <t>navýšení VSC a OPŘO z titulu sloučení stupnice 1 a 2</t>
  </si>
  <si>
    <t>nárůst platu ústavního činitele vč. odvodů</t>
  </si>
  <si>
    <t>vlivy nad střednědobý výhled vč. EU/FM podílu</t>
  </si>
  <si>
    <t>vlivy nad střednědobý výhled bez EU/FM podílu</t>
  </si>
  <si>
    <t>změna rozpočtu proti srovnatelné základně vč. EU/FM podílu</t>
  </si>
  <si>
    <t>změna rozpočtu proti srovnatelné základně bez EU/FM podílu</t>
  </si>
  <si>
    <t>rozpočet na rok 2020</t>
  </si>
  <si>
    <t>rozpočet na rok 2020 bez podílu EU/FM</t>
  </si>
  <si>
    <t>(srovnání rozpočtu kapitoly 333 MŠMT v letech 2011-2020)</t>
  </si>
  <si>
    <t>ROK 2020</t>
  </si>
  <si>
    <t>5. podpora činnosti v oblasti sportu vč. výdajů EDS/SMVS</t>
  </si>
  <si>
    <t>(srovnání rozpočtu kapitoly 333 MŠMT v letech 2019-2022 podle PVS)</t>
  </si>
  <si>
    <t>2022</t>
  </si>
  <si>
    <t>2022-2021</t>
  </si>
  <si>
    <t>133240</t>
  </si>
  <si>
    <t>Sportovní reprezentace -sportovní centrum (VSC vč. SMVS)</t>
  </si>
  <si>
    <t>5060010012</t>
  </si>
  <si>
    <t>České kulturní dědictví</t>
  </si>
  <si>
    <t>5060010013</t>
  </si>
  <si>
    <t>Integrace cizinců</t>
  </si>
  <si>
    <t>507</t>
  </si>
  <si>
    <t>Předsednictví EU</t>
  </si>
  <si>
    <t>50700110012</t>
  </si>
  <si>
    <t>Předsednictví  EU</t>
  </si>
  <si>
    <t>1512108</t>
  </si>
  <si>
    <t>EU - KP Erasmus +</t>
  </si>
  <si>
    <t>Limity regulace zaměstnanosti na rok 2020 dle jednotlivých školských úseků</t>
  </si>
  <si>
    <r>
      <t xml:space="preserve">OP Z </t>
    </r>
    <r>
      <rPr>
        <vertAlign val="superscript"/>
        <sz val="9"/>
        <rFont val="Arial CE"/>
        <charset val="238"/>
      </rPr>
      <t>*)</t>
    </r>
  </si>
  <si>
    <t xml:space="preserve">TIMSS, PISA </t>
  </si>
  <si>
    <t xml:space="preserve">OP VVV </t>
  </si>
  <si>
    <r>
      <t xml:space="preserve">OP Z </t>
    </r>
    <r>
      <rPr>
        <vertAlign val="superscript"/>
        <sz val="9"/>
        <rFont val="Arial CE"/>
        <charset val="238"/>
      </rPr>
      <t>**)</t>
    </r>
  </si>
  <si>
    <t>1.1  OPŘO mimo OP a FM</t>
  </si>
  <si>
    <t>1.4. OP Z</t>
  </si>
  <si>
    <t xml:space="preserve">1.5 FM EHP/Norsko </t>
  </si>
  <si>
    <t>Příjmy kapitoly 333 MŠMT na rok 2020</t>
  </si>
  <si>
    <t>navýšení příjmů úřadu</t>
  </si>
  <si>
    <t>příjmy a výdaje od EU a FM</t>
  </si>
  <si>
    <t>nárůst příjmů ústředního orgánu z pronájmu majetku</t>
  </si>
  <si>
    <t xml:space="preserve">r. 2020 </t>
  </si>
  <si>
    <t>Rozpočet na rok 2020</t>
  </si>
  <si>
    <t>vlivy proti SDV celkem</t>
  </si>
  <si>
    <t>Srovnatelná základna</t>
  </si>
  <si>
    <t>střednědobý výhled (usnesení PSP 422/2018)</t>
  </si>
  <si>
    <t>navýšení platů o 1500 Kč na funkční místo</t>
  </si>
  <si>
    <t xml:space="preserve">                  sportovní reprezentace - dotace (vč. EDS)</t>
  </si>
  <si>
    <t xml:space="preserve">                  sportovní reprezentace - sportovní centrum (VSC vč. SMVS)</t>
  </si>
  <si>
    <t xml:space="preserve">                  - všeobecná sportovní činnost - dotace (vč. EDS)</t>
  </si>
  <si>
    <t xml:space="preserve">                           - vysoké školy dotace (vč. EDS)</t>
  </si>
  <si>
    <t xml:space="preserve">       v tom: 1. výzkum, experimentální vývoj a inovace bez spolufinancovaných programů</t>
  </si>
  <si>
    <t>Výdaje na programy spolufinancované z rozpočtu EU a FM mimo výzkum vývoj a inovace</t>
  </si>
  <si>
    <t>2. výzkum, experimentální vývoj a inovace</t>
  </si>
  <si>
    <t xml:space="preserve">                  výdaje RgŠ - ostatní dotační tituly (vč. EDS)</t>
  </si>
  <si>
    <t>přímo řízené organizace</t>
  </si>
  <si>
    <t xml:space="preserve">                  PŘO - rozvojové programy</t>
  </si>
  <si>
    <t xml:space="preserve">                 PŘO - příspěvek</t>
  </si>
  <si>
    <t xml:space="preserve">                 PŘO - ostatní dotační tituly (vč. SMVS)</t>
  </si>
  <si>
    <t xml:space="preserve">                  podpora činnosti v oblasti mládeže - dotace (vč.  soutěží a EDS)</t>
  </si>
  <si>
    <t>výdaje na programy spolufinancované z rozpočtu EU a FM mimo výzkum vývoj a inovace</t>
  </si>
  <si>
    <t>v tom: výdaje mimo EDS</t>
  </si>
  <si>
    <t xml:space="preserve">            výdaje na EDS</t>
  </si>
  <si>
    <t xml:space="preserve">2. výzkum, experimentální vývoj a inovace </t>
  </si>
  <si>
    <t>4. podpora činnosti v oblasti mládeže vč. výdajů EDS</t>
  </si>
  <si>
    <t xml:space="preserve">             výdaje EDS (výstavba ZŠ MŠ)</t>
  </si>
  <si>
    <t xml:space="preserve">             výdaje na SMVS</t>
  </si>
  <si>
    <t xml:space="preserve">     v tom:   Příjmy z rozpočtu Evropské unie bez Společné zemědělské politiky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</si>
</sst>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"/>
    <numFmt numFmtId="166" formatCode="#,##0.000"/>
    <numFmt numFmtId="167" formatCode="#,##0;\-#,##0;#,##0;@"/>
  </numFmts>
  <fonts count="62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8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i/>
      <sz val="10"/>
      <name val="Arial CE"/>
      <charset val="238"/>
    </font>
    <font>
      <i/>
      <u/>
      <sz val="10"/>
      <name val="Arial CE"/>
      <charset val="238"/>
    </font>
    <font>
      <b/>
      <i/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b/>
      <sz val="16"/>
      <name val="Arial"/>
      <family val="2"/>
      <charset val="238"/>
    </font>
    <font>
      <b/>
      <sz val="12"/>
      <name val="Arial CE"/>
      <charset val="238"/>
    </font>
    <font>
      <sz val="8"/>
      <name val="Arial CE"/>
    </font>
    <font>
      <b/>
      <sz val="14"/>
      <name val="Arial CE"/>
      <family val="2"/>
      <charset val="238"/>
    </font>
    <font>
      <sz val="9"/>
      <name val="Arial CE"/>
    </font>
    <font>
      <b/>
      <sz val="11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</font>
    <font>
      <sz val="11"/>
      <name val="Arial CE"/>
      <charset val="238"/>
    </font>
    <font>
      <b/>
      <sz val="9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</font>
    <font>
      <b/>
      <sz val="16"/>
      <name val="Arial CE"/>
      <family val="2"/>
      <charset val="238"/>
    </font>
    <font>
      <b/>
      <sz val="16"/>
      <name val="Arial CE"/>
      <charset val="238"/>
    </font>
    <font>
      <b/>
      <sz val="14"/>
      <name val="Arial CE"/>
      <charset val="238"/>
    </font>
    <font>
      <b/>
      <sz val="11"/>
      <color indexed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00000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4"/>
      <name val="Times New Roman CE"/>
      <family val="1"/>
      <charset val="238"/>
    </font>
    <font>
      <u/>
      <sz val="11"/>
      <color theme="10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 CE"/>
      <charset val="238"/>
    </font>
    <font>
      <i/>
      <sz val="1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vertAlign val="superscript"/>
      <sz val="9"/>
      <name val="Arial CE"/>
      <charset val="238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80"/>
        <bgColor indexed="64"/>
      </patternFill>
    </fill>
    <fill>
      <patternFill patternType="solid">
        <fgColor rgb="FFFFFF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0"/>
      </left>
      <right style="medium">
        <color indexed="64"/>
      </right>
      <top style="thin">
        <color indexed="64"/>
      </top>
      <bottom/>
      <diagonal/>
    </border>
    <border>
      <left style="medium">
        <color indexed="0"/>
      </left>
      <right style="medium">
        <color indexed="64"/>
      </right>
      <top/>
      <bottom/>
      <diagonal/>
    </border>
    <border>
      <left style="medium">
        <color indexed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0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3" fillId="6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2" fillId="0" borderId="0"/>
    <xf numFmtId="0" fontId="24" fillId="0" borderId="0"/>
    <xf numFmtId="0" fontId="53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</cellStyleXfs>
  <cellXfs count="715">
    <xf numFmtId="0" fontId="0" fillId="0" borderId="0" xfId="0"/>
    <xf numFmtId="0" fontId="5" fillId="0" borderId="0" xfId="4" applyFont="1"/>
    <xf numFmtId="0" fontId="1" fillId="0" borderId="0" xfId="4"/>
    <xf numFmtId="0" fontId="1" fillId="3" borderId="1" xfId="4" applyFill="1" applyBorder="1"/>
    <xf numFmtId="0" fontId="4" fillId="3" borderId="1" xfId="4" applyFont="1" applyFill="1" applyBorder="1" applyAlignment="1">
      <alignment horizontal="center"/>
    </xf>
    <xf numFmtId="0" fontId="4" fillId="3" borderId="1" xfId="4" applyFont="1" applyFill="1" applyBorder="1"/>
    <xf numFmtId="165" fontId="1" fillId="0" borderId="1" xfId="4" applyNumberFormat="1" applyFill="1" applyBorder="1"/>
    <xf numFmtId="165" fontId="1" fillId="0" borderId="1" xfId="4" applyNumberFormat="1" applyFont="1" applyFill="1" applyBorder="1"/>
    <xf numFmtId="0" fontId="4" fillId="4" borderId="1" xfId="4" applyFont="1" applyFill="1" applyBorder="1"/>
    <xf numFmtId="164" fontId="1" fillId="4" borderId="1" xfId="4" applyNumberFormat="1" applyFill="1" applyBorder="1"/>
    <xf numFmtId="165" fontId="1" fillId="4" borderId="1" xfId="4" applyNumberFormat="1" applyFill="1" applyBorder="1"/>
    <xf numFmtId="0" fontId="1" fillId="4" borderId="1" xfId="4" applyFill="1" applyBorder="1"/>
    <xf numFmtId="2" fontId="1" fillId="4" borderId="1" xfId="4" applyNumberFormat="1" applyFill="1" applyBorder="1"/>
    <xf numFmtId="165" fontId="1" fillId="0" borderId="0" xfId="4" applyNumberFormat="1"/>
    <xf numFmtId="0" fontId="1" fillId="0" borderId="0" xfId="5"/>
    <xf numFmtId="0" fontId="1" fillId="0" borderId="0" xfId="5" applyFill="1"/>
    <xf numFmtId="0" fontId="1" fillId="0" borderId="0" xfId="4" applyFill="1"/>
    <xf numFmtId="0" fontId="1" fillId="0" borderId="0" xfId="5" applyFont="1" applyFill="1" applyBorder="1" applyAlignment="1">
      <alignment wrapText="1"/>
    </xf>
    <xf numFmtId="1" fontId="10" fillId="0" borderId="0" xfId="5" applyNumberFormat="1" applyFont="1" applyFill="1" applyBorder="1"/>
    <xf numFmtId="14" fontId="1" fillId="0" borderId="0" xfId="5" applyNumberFormat="1" applyFill="1" applyAlignment="1">
      <alignment horizontal="left"/>
    </xf>
    <xf numFmtId="14" fontId="1" fillId="0" borderId="0" xfId="6" applyNumberFormat="1" applyFont="1" applyFill="1"/>
    <xf numFmtId="0" fontId="9" fillId="0" borderId="0" xfId="5" applyFont="1" applyFill="1"/>
    <xf numFmtId="1" fontId="1" fillId="0" borderId="0" xfId="4" applyNumberFormat="1"/>
    <xf numFmtId="0" fontId="7" fillId="5" borderId="0" xfId="6" applyFont="1" applyFill="1"/>
    <xf numFmtId="0" fontId="1" fillId="0" borderId="0" xfId="6" applyFont="1"/>
    <xf numFmtId="0" fontId="1" fillId="5" borderId="0" xfId="6" applyFont="1" applyFill="1"/>
    <xf numFmtId="0" fontId="7" fillId="3" borderId="1" xfId="6" applyFont="1" applyFill="1" applyBorder="1"/>
    <xf numFmtId="0" fontId="4" fillId="3" borderId="1" xfId="6" applyFont="1" applyFill="1" applyBorder="1" applyAlignment="1">
      <alignment horizontal="center" wrapText="1"/>
    </xf>
    <xf numFmtId="0" fontId="11" fillId="3" borderId="1" xfId="6" applyFont="1" applyFill="1" applyBorder="1"/>
    <xf numFmtId="0" fontId="7" fillId="2" borderId="1" xfId="4" applyFont="1" applyFill="1" applyBorder="1" applyAlignment="1">
      <alignment horizontal="center"/>
    </xf>
    <xf numFmtId="165" fontId="1" fillId="0" borderId="1" xfId="4" applyNumberFormat="1" applyBorder="1"/>
    <xf numFmtId="0" fontId="14" fillId="0" borderId="0" xfId="9" applyFont="1" applyFill="1" applyAlignment="1">
      <alignment horizontal="left" vertical="center"/>
    </xf>
    <xf numFmtId="3" fontId="14" fillId="0" borderId="0" xfId="9" applyNumberFormat="1" applyFont="1" applyFill="1" applyAlignment="1">
      <alignment horizontal="right" vertical="center"/>
    </xf>
    <xf numFmtId="0" fontId="2" fillId="0" borderId="0" xfId="9" applyFont="1" applyFill="1" applyAlignment="1">
      <alignment vertical="center"/>
    </xf>
    <xf numFmtId="0" fontId="16" fillId="0" borderId="0" xfId="9" applyFont="1" applyFill="1" applyAlignment="1">
      <alignment vertical="center"/>
    </xf>
    <xf numFmtId="0" fontId="2" fillId="0" borderId="0" xfId="2" applyFont="1"/>
    <xf numFmtId="0" fontId="18" fillId="0" borderId="0" xfId="0" applyFont="1" applyAlignment="1">
      <alignment vertical="center"/>
    </xf>
    <xf numFmtId="3" fontId="2" fillId="0" borderId="0" xfId="9" applyNumberFormat="1" applyFont="1" applyFill="1" applyAlignment="1">
      <alignment vertical="center"/>
    </xf>
    <xf numFmtId="0" fontId="19" fillId="0" borderId="0" xfId="0" applyFont="1"/>
    <xf numFmtId="3" fontId="2" fillId="0" borderId="0" xfId="9" applyNumberFormat="1" applyFont="1" applyFill="1" applyAlignment="1">
      <alignment horizontal="right" vertical="center"/>
    </xf>
    <xf numFmtId="0" fontId="16" fillId="0" borderId="0" xfId="0" applyFont="1"/>
    <xf numFmtId="0" fontId="20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3" fontId="18" fillId="0" borderId="0" xfId="0" applyNumberFormat="1" applyFont="1" applyAlignment="1">
      <alignment vertical="center"/>
    </xf>
    <xf numFmtId="0" fontId="18" fillId="0" borderId="0" xfId="0" applyFont="1" applyBorder="1" applyAlignment="1">
      <alignment vertical="center"/>
    </xf>
    <xf numFmtId="3" fontId="2" fillId="0" borderId="0" xfId="10" applyNumberFormat="1" applyFont="1" applyFill="1"/>
    <xf numFmtId="0" fontId="1" fillId="0" borderId="0" xfId="10" applyFill="1"/>
    <xf numFmtId="3" fontId="1" fillId="0" borderId="0" xfId="10" applyNumberFormat="1" applyFill="1"/>
    <xf numFmtId="0" fontId="14" fillId="0" borderId="0" xfId="11" applyFont="1" applyAlignment="1">
      <alignment horizontal="left"/>
    </xf>
    <xf numFmtId="0" fontId="2" fillId="0" borderId="0" xfId="11" applyFont="1" applyAlignment="1">
      <alignment horizontal="centerContinuous"/>
    </xf>
    <xf numFmtId="0" fontId="2" fillId="0" borderId="0" xfId="11" applyFont="1"/>
    <xf numFmtId="0" fontId="16" fillId="0" borderId="0" xfId="11" applyFont="1" applyAlignment="1">
      <alignment horizontal="left"/>
    </xf>
    <xf numFmtId="0" fontId="14" fillId="0" borderId="0" xfId="11" applyFont="1" applyAlignment="1">
      <alignment horizontal="centerContinuous"/>
    </xf>
    <xf numFmtId="3" fontId="14" fillId="0" borderId="0" xfId="11" applyNumberFormat="1" applyFont="1" applyAlignment="1">
      <alignment horizontal="centerContinuous"/>
    </xf>
    <xf numFmtId="0" fontId="2" fillId="0" borderId="0" xfId="12" applyFont="1" applyFill="1"/>
    <xf numFmtId="0" fontId="21" fillId="0" borderId="0" xfId="12" applyFont="1" applyFill="1"/>
    <xf numFmtId="0" fontId="15" fillId="0" borderId="0" xfId="12" applyFont="1" applyFill="1"/>
    <xf numFmtId="166" fontId="2" fillId="0" borderId="0" xfId="12" applyNumberFormat="1" applyFont="1" applyFill="1"/>
    <xf numFmtId="1" fontId="2" fillId="0" borderId="0" xfId="11" applyNumberFormat="1" applyFont="1"/>
    <xf numFmtId="164" fontId="2" fillId="0" borderId="0" xfId="11" applyNumberFormat="1" applyFont="1"/>
    <xf numFmtId="3" fontId="22" fillId="0" borderId="0" xfId="9" applyNumberFormat="1" applyFont="1" applyFill="1" applyAlignment="1">
      <alignment horizontal="right" vertical="center"/>
    </xf>
    <xf numFmtId="0" fontId="16" fillId="0" borderId="0" xfId="10" applyFont="1" applyFill="1" applyAlignment="1">
      <alignment horizontal="left"/>
    </xf>
    <xf numFmtId="0" fontId="0" fillId="0" borderId="26" xfId="0" applyBorder="1" applyAlignment="1">
      <alignment horizontal="center"/>
    </xf>
    <xf numFmtId="0" fontId="17" fillId="0" borderId="0" xfId="2" applyFont="1"/>
    <xf numFmtId="3" fontId="0" fillId="0" borderId="19" xfId="0" applyNumberFormat="1" applyBorder="1"/>
    <xf numFmtId="4" fontId="0" fillId="0" borderId="1" xfId="0" applyNumberFormat="1" applyBorder="1"/>
    <xf numFmtId="0" fontId="2" fillId="0" borderId="0" xfId="10" applyFont="1" applyFill="1"/>
    <xf numFmtId="0" fontId="19" fillId="0" borderId="0" xfId="11" applyFont="1"/>
    <xf numFmtId="0" fontId="2" fillId="0" borderId="0" xfId="11" applyFont="1" applyFill="1"/>
    <xf numFmtId="4" fontId="3" fillId="0" borderId="0" xfId="3" applyNumberFormat="1"/>
    <xf numFmtId="166" fontId="3" fillId="0" borderId="0" xfId="3" applyNumberFormat="1"/>
    <xf numFmtId="0" fontId="0" fillId="0" borderId="0" xfId="0" applyFill="1"/>
    <xf numFmtId="0" fontId="7" fillId="0" borderId="0" xfId="0" applyFont="1"/>
    <xf numFmtId="0" fontId="7" fillId="0" borderId="0" xfId="0" applyFont="1" applyBorder="1"/>
    <xf numFmtId="0" fontId="0" fillId="0" borderId="14" xfId="0" applyBorder="1"/>
    <xf numFmtId="0" fontId="27" fillId="0" borderId="56" xfId="0" applyFont="1" applyBorder="1"/>
    <xf numFmtId="3" fontId="4" fillId="0" borderId="51" xfId="0" applyNumberFormat="1" applyFont="1" applyBorder="1" applyProtection="1">
      <protection locked="0" hidden="1"/>
    </xf>
    <xf numFmtId="3" fontId="4" fillId="0" borderId="8" xfId="0" applyNumberFormat="1" applyFont="1" applyBorder="1" applyProtection="1">
      <protection locked="0" hidden="1"/>
    </xf>
    <xf numFmtId="3" fontId="4" fillId="0" borderId="38" xfId="0" applyNumberFormat="1" applyFont="1" applyBorder="1" applyProtection="1">
      <protection hidden="1"/>
    </xf>
    <xf numFmtId="0" fontId="0" fillId="0" borderId="7" xfId="0" applyBorder="1"/>
    <xf numFmtId="3" fontId="0" fillId="0" borderId="0" xfId="0" applyNumberFormat="1"/>
    <xf numFmtId="3" fontId="26" fillId="0" borderId="35" xfId="0" applyNumberFormat="1" applyFont="1" applyBorder="1" applyProtection="1">
      <protection hidden="1"/>
    </xf>
    <xf numFmtId="3" fontId="26" fillId="0" borderId="49" xfId="0" applyNumberFormat="1" applyFont="1" applyBorder="1" applyProtection="1">
      <protection hidden="1"/>
    </xf>
    <xf numFmtId="3" fontId="26" fillId="0" borderId="36" xfId="0" applyNumberFormat="1" applyFont="1" applyBorder="1" applyProtection="1">
      <protection hidden="1"/>
    </xf>
    <xf numFmtId="0" fontId="0" fillId="0" borderId="12" xfId="0" applyBorder="1"/>
    <xf numFmtId="3" fontId="26" fillId="0" borderId="57" xfId="0" applyNumberFormat="1" applyFont="1" applyBorder="1" applyProtection="1">
      <protection hidden="1"/>
    </xf>
    <xf numFmtId="3" fontId="26" fillId="0" borderId="58" xfId="0" applyNumberFormat="1" applyFont="1" applyBorder="1" applyProtection="1">
      <protection hidden="1"/>
    </xf>
    <xf numFmtId="3" fontId="26" fillId="0" borderId="59" xfId="0" applyNumberFormat="1" applyFont="1" applyBorder="1" applyProtection="1">
      <protection hidden="1"/>
    </xf>
    <xf numFmtId="0" fontId="0" fillId="0" borderId="60" xfId="0" applyBorder="1"/>
    <xf numFmtId="3" fontId="26" fillId="0" borderId="61" xfId="0" applyNumberFormat="1" applyFont="1" applyBorder="1" applyProtection="1">
      <protection hidden="1"/>
    </xf>
    <xf numFmtId="3" fontId="26" fillId="0" borderId="62" xfId="0" applyNumberFormat="1" applyFont="1" applyBorder="1" applyProtection="1">
      <protection hidden="1"/>
    </xf>
    <xf numFmtId="3" fontId="26" fillId="0" borderId="63" xfId="0" applyNumberFormat="1" applyFont="1" applyBorder="1" applyProtection="1">
      <protection hidden="1"/>
    </xf>
    <xf numFmtId="3" fontId="26" fillId="0" borderId="61" xfId="0" applyNumberFormat="1" applyFont="1" applyBorder="1" applyAlignment="1" applyProtection="1">
      <alignment horizontal="right"/>
      <protection hidden="1"/>
    </xf>
    <xf numFmtId="0" fontId="0" fillId="0" borderId="64" xfId="0" applyBorder="1"/>
    <xf numFmtId="3" fontId="26" fillId="0" borderId="28" xfId="0" applyNumberFormat="1" applyFont="1" applyBorder="1" applyProtection="1">
      <protection hidden="1"/>
    </xf>
    <xf numFmtId="3" fontId="26" fillId="0" borderId="26" xfId="0" applyNumberFormat="1" applyFont="1" applyBorder="1" applyProtection="1">
      <protection hidden="1"/>
    </xf>
    <xf numFmtId="3" fontId="26" fillId="0" borderId="9" xfId="0" applyNumberFormat="1" applyFont="1" applyBorder="1" applyProtection="1">
      <protection hidden="1"/>
    </xf>
    <xf numFmtId="0" fontId="0" fillId="0" borderId="0" xfId="0" applyBorder="1"/>
    <xf numFmtId="3" fontId="4" fillId="0" borderId="40" xfId="0" applyNumberFormat="1" applyFont="1" applyBorder="1" applyProtection="1">
      <protection hidden="1"/>
    </xf>
    <xf numFmtId="3" fontId="4" fillId="0" borderId="55" xfId="0" applyNumberFormat="1" applyFont="1" applyBorder="1" applyProtection="1">
      <protection hidden="1"/>
    </xf>
    <xf numFmtId="3" fontId="4" fillId="0" borderId="42" xfId="0" applyNumberFormat="1" applyFont="1" applyBorder="1" applyProtection="1">
      <protection hidden="1"/>
    </xf>
    <xf numFmtId="0" fontId="28" fillId="0" borderId="0" xfId="0" applyFont="1" applyBorder="1"/>
    <xf numFmtId="0" fontId="29" fillId="0" borderId="0" xfId="0" applyFont="1"/>
    <xf numFmtId="3" fontId="26" fillId="0" borderId="26" xfId="0" applyNumberFormat="1" applyFont="1" applyBorder="1" applyProtection="1">
      <protection locked="0" hidden="1"/>
    </xf>
    <xf numFmtId="3" fontId="26" fillId="0" borderId="9" xfId="0" applyNumberFormat="1" applyFont="1" applyBorder="1" applyProtection="1">
      <protection locked="0" hidden="1"/>
    </xf>
    <xf numFmtId="3" fontId="7" fillId="0" borderId="38" xfId="0" applyNumberFormat="1" applyFont="1" applyBorder="1" applyProtection="1">
      <protection hidden="1"/>
    </xf>
    <xf numFmtId="3" fontId="7" fillId="0" borderId="51" xfId="0" applyNumberFormat="1" applyFont="1" applyBorder="1" applyProtection="1">
      <protection hidden="1"/>
    </xf>
    <xf numFmtId="3" fontId="7" fillId="0" borderId="8" xfId="0" applyNumberFormat="1" applyFont="1" applyBorder="1" applyProtection="1">
      <protection hidden="1"/>
    </xf>
    <xf numFmtId="3" fontId="7" fillId="0" borderId="51" xfId="0" applyNumberFormat="1" applyFont="1" applyBorder="1" applyAlignment="1" applyProtection="1">
      <alignment horizontal="right"/>
      <protection hidden="1"/>
    </xf>
    <xf numFmtId="3" fontId="27" fillId="0" borderId="41" xfId="0" applyNumberFormat="1" applyFont="1" applyBorder="1" applyProtection="1">
      <protection locked="0" hidden="1"/>
    </xf>
    <xf numFmtId="3" fontId="27" fillId="0" borderId="43" xfId="0" applyNumberFormat="1" applyFont="1" applyBorder="1" applyProtection="1">
      <protection locked="0" hidden="1"/>
    </xf>
    <xf numFmtId="3" fontId="27" fillId="0" borderId="40" xfId="0" applyNumberFormat="1" applyFont="1" applyBorder="1" applyProtection="1">
      <protection hidden="1"/>
    </xf>
    <xf numFmtId="0" fontId="31" fillId="0" borderId="56" xfId="0" applyFont="1" applyBorder="1"/>
    <xf numFmtId="3" fontId="27" fillId="0" borderId="41" xfId="0" applyNumberFormat="1" applyFont="1" applyBorder="1" applyAlignment="1" applyProtection="1">
      <alignment horizontal="right"/>
      <protection locked="0" hidden="1"/>
    </xf>
    <xf numFmtId="3" fontId="7" fillId="0" borderId="31" xfId="0" applyNumberFormat="1" applyFont="1" applyBorder="1" applyProtection="1">
      <protection hidden="1"/>
    </xf>
    <xf numFmtId="3" fontId="7" fillId="0" borderId="30" xfId="0" applyNumberFormat="1" applyFont="1" applyBorder="1" applyProtection="1">
      <protection hidden="1"/>
    </xf>
    <xf numFmtId="3" fontId="7" fillId="0" borderId="34" xfId="0" applyNumberFormat="1" applyFont="1" applyBorder="1" applyProtection="1">
      <protection hidden="1"/>
    </xf>
    <xf numFmtId="0" fontId="0" fillId="0" borderId="33" xfId="0" applyBorder="1"/>
    <xf numFmtId="3" fontId="7" fillId="0" borderId="30" xfId="0" applyNumberFormat="1" applyFont="1" applyBorder="1" applyAlignment="1" applyProtection="1">
      <alignment horizontal="right"/>
      <protection hidden="1"/>
    </xf>
    <xf numFmtId="3" fontId="32" fillId="0" borderId="35" xfId="0" applyNumberFormat="1" applyFont="1" applyBorder="1" applyProtection="1">
      <protection hidden="1"/>
    </xf>
    <xf numFmtId="3" fontId="32" fillId="0" borderId="49" xfId="0" applyNumberFormat="1" applyFont="1" applyBorder="1" applyProtection="1">
      <protection hidden="1"/>
    </xf>
    <xf numFmtId="3" fontId="32" fillId="0" borderId="36" xfId="0" applyNumberFormat="1" applyFont="1" applyBorder="1" applyProtection="1">
      <protection hidden="1"/>
    </xf>
    <xf numFmtId="3" fontId="7" fillId="0" borderId="52" xfId="0" applyNumberFormat="1" applyFont="1" applyBorder="1" applyProtection="1">
      <protection hidden="1"/>
    </xf>
    <xf numFmtId="3" fontId="7" fillId="0" borderId="54" xfId="0" applyNumberFormat="1" applyFont="1" applyBorder="1" applyProtection="1">
      <protection hidden="1"/>
    </xf>
    <xf numFmtId="3" fontId="7" fillId="0" borderId="15" xfId="0" applyNumberFormat="1" applyFont="1" applyBorder="1" applyProtection="1">
      <protection hidden="1"/>
    </xf>
    <xf numFmtId="3" fontId="26" fillId="0" borderId="54" xfId="0" applyNumberFormat="1" applyFont="1" applyBorder="1" applyAlignment="1" applyProtection="1">
      <alignment horizontal="right"/>
      <protection hidden="1"/>
    </xf>
    <xf numFmtId="0" fontId="22" fillId="0" borderId="0" xfId="10" applyFont="1" applyFill="1" applyAlignment="1">
      <alignment horizontal="left"/>
    </xf>
    <xf numFmtId="0" fontId="17" fillId="0" borderId="0" xfId="10" applyFont="1" applyFill="1"/>
    <xf numFmtId="0" fontId="1" fillId="0" borderId="20" xfId="4" applyBorder="1"/>
    <xf numFmtId="2" fontId="1" fillId="0" borderId="1" xfId="4" applyNumberFormat="1" applyBorder="1"/>
    <xf numFmtId="0" fontId="1" fillId="0" borderId="1" xfId="4" applyBorder="1"/>
    <xf numFmtId="2" fontId="1" fillId="0" borderId="1" xfId="4" applyNumberFormat="1" applyFill="1" applyBorder="1"/>
    <xf numFmtId="0" fontId="18" fillId="0" borderId="0" xfId="9" applyFont="1" applyFill="1" applyAlignment="1">
      <alignment horizontal="centerContinuous" vertical="center"/>
    </xf>
    <xf numFmtId="3" fontId="18" fillId="0" borderId="0" xfId="9" applyNumberFormat="1" applyFont="1" applyFill="1" applyAlignment="1">
      <alignment vertical="center"/>
    </xf>
    <xf numFmtId="49" fontId="34" fillId="8" borderId="10" xfId="0" applyNumberFormat="1" applyFont="1" applyFill="1" applyBorder="1" applyAlignment="1">
      <alignment vertical="center"/>
    </xf>
    <xf numFmtId="49" fontId="35" fillId="8" borderId="12" xfId="0" applyNumberFormat="1" applyFont="1" applyFill="1" applyBorder="1" applyAlignment="1">
      <alignment vertical="center"/>
    </xf>
    <xf numFmtId="49" fontId="35" fillId="8" borderId="36" xfId="0" applyNumberFormat="1" applyFont="1" applyFill="1" applyBorder="1" applyAlignment="1">
      <alignment vertical="center"/>
    </xf>
    <xf numFmtId="3" fontId="35" fillId="0" borderId="32" xfId="0" applyNumberFormat="1" applyFont="1" applyBorder="1" applyAlignment="1">
      <alignment horizontal="right" vertical="center" indent="1"/>
    </xf>
    <xf numFmtId="49" fontId="34" fillId="8" borderId="11" xfId="0" applyNumberFormat="1" applyFont="1" applyFill="1" applyBorder="1" applyAlignment="1">
      <alignment vertical="center"/>
    </xf>
    <xf numFmtId="49" fontId="34" fillId="8" borderId="3" xfId="0" applyNumberFormat="1" applyFont="1" applyFill="1" applyBorder="1" applyAlignment="1">
      <alignment vertical="center"/>
    </xf>
    <xf numFmtId="49" fontId="34" fillId="8" borderId="4" xfId="0" applyNumberFormat="1" applyFont="1" applyFill="1" applyBorder="1" applyAlignment="1">
      <alignment vertical="center"/>
    </xf>
    <xf numFmtId="49" fontId="34" fillId="8" borderId="5" xfId="0" applyNumberFormat="1" applyFont="1" applyFill="1" applyBorder="1" applyAlignment="1">
      <alignment vertical="center"/>
    </xf>
    <xf numFmtId="3" fontId="34" fillId="0" borderId="19" xfId="0" applyNumberFormat="1" applyFont="1" applyBorder="1" applyAlignment="1">
      <alignment horizontal="right" vertical="center" indent="1"/>
    </xf>
    <xf numFmtId="49" fontId="34" fillId="8" borderId="6" xfId="0" applyNumberFormat="1" applyFont="1" applyFill="1" applyBorder="1" applyAlignment="1">
      <alignment vertical="center"/>
    </xf>
    <xf numFmtId="49" fontId="34" fillId="8" borderId="7" xfId="0" applyNumberFormat="1" applyFont="1" applyFill="1" applyBorder="1" applyAlignment="1">
      <alignment vertical="center"/>
    </xf>
    <xf numFmtId="49" fontId="34" fillId="8" borderId="8" xfId="0" applyNumberFormat="1" applyFont="1" applyFill="1" applyBorder="1" applyAlignment="1">
      <alignment vertical="center"/>
    </xf>
    <xf numFmtId="49" fontId="35" fillId="8" borderId="0" xfId="0" applyNumberFormat="1" applyFont="1" applyFill="1" applyBorder="1" applyAlignment="1">
      <alignment vertical="center"/>
    </xf>
    <xf numFmtId="49" fontId="35" fillId="8" borderId="9" xfId="0" applyNumberFormat="1" applyFont="1" applyFill="1" applyBorder="1" applyAlignment="1">
      <alignment vertical="center"/>
    </xf>
    <xf numFmtId="3" fontId="35" fillId="0" borderId="19" xfId="0" applyNumberFormat="1" applyFont="1" applyBorder="1" applyAlignment="1">
      <alignment horizontal="right" vertical="center" indent="1"/>
    </xf>
    <xf numFmtId="49" fontId="35" fillId="8" borderId="11" xfId="0" applyNumberFormat="1" applyFont="1" applyFill="1" applyBorder="1" applyAlignment="1">
      <alignment vertical="center"/>
    </xf>
    <xf numFmtId="49" fontId="35" fillId="8" borderId="3" xfId="0" applyNumberFormat="1" applyFont="1" applyFill="1" applyBorder="1" applyAlignment="1">
      <alignment vertical="center"/>
    </xf>
    <xf numFmtId="49" fontId="35" fillId="8" borderId="4" xfId="0" applyNumberFormat="1" applyFont="1" applyFill="1" applyBorder="1" applyAlignment="1">
      <alignment vertical="center"/>
    </xf>
    <xf numFmtId="49" fontId="35" fillId="8" borderId="5" xfId="0" applyNumberFormat="1" applyFont="1" applyFill="1" applyBorder="1" applyAlignment="1">
      <alignment vertical="center"/>
    </xf>
    <xf numFmtId="49" fontId="35" fillId="8" borderId="10" xfId="0" applyNumberFormat="1" applyFont="1" applyFill="1" applyBorder="1" applyAlignment="1">
      <alignment vertical="center" wrapText="1"/>
    </xf>
    <xf numFmtId="49" fontId="35" fillId="8" borderId="11" xfId="0" applyNumberFormat="1" applyFont="1" applyFill="1" applyBorder="1" applyAlignment="1">
      <alignment horizontal="left" vertical="center" indent="3"/>
    </xf>
    <xf numFmtId="49" fontId="35" fillId="8" borderId="6" xfId="0" applyNumberFormat="1" applyFont="1" applyFill="1" applyBorder="1" applyAlignment="1">
      <alignment horizontal="left" vertical="center" indent="3"/>
    </xf>
    <xf numFmtId="49" fontId="35" fillId="8" borderId="12" xfId="0" applyNumberFormat="1" applyFont="1" applyFill="1" applyBorder="1" applyAlignment="1">
      <alignment horizontal="left" vertical="center"/>
    </xf>
    <xf numFmtId="49" fontId="35" fillId="8" borderId="11" xfId="0" applyNumberFormat="1" applyFont="1" applyFill="1" applyBorder="1" applyAlignment="1">
      <alignment horizontal="left" vertical="center" indent="6"/>
    </xf>
    <xf numFmtId="49" fontId="35" fillId="8" borderId="7" xfId="0" applyNumberFormat="1" applyFont="1" applyFill="1" applyBorder="1" applyAlignment="1">
      <alignment horizontal="left" vertical="center" indent="6"/>
    </xf>
    <xf numFmtId="49" fontId="35" fillId="8" borderId="5" xfId="0" applyNumberFormat="1" applyFont="1" applyFill="1" applyBorder="1" applyAlignment="1">
      <alignment horizontal="left" vertical="center" indent="3"/>
    </xf>
    <xf numFmtId="49" fontId="35" fillId="8" borderId="6" xfId="0" applyNumberFormat="1" applyFont="1" applyFill="1" applyBorder="1" applyAlignment="1">
      <alignment vertical="center"/>
    </xf>
    <xf numFmtId="49" fontId="35" fillId="8" borderId="7" xfId="0" applyNumberFormat="1" applyFont="1" applyFill="1" applyBorder="1" applyAlignment="1">
      <alignment vertical="center"/>
    </xf>
    <xf numFmtId="49" fontId="35" fillId="8" borderId="8" xfId="0" applyNumberFormat="1" applyFont="1" applyFill="1" applyBorder="1" applyAlignment="1">
      <alignment vertical="center"/>
    </xf>
    <xf numFmtId="3" fontId="37" fillId="0" borderId="0" xfId="10" applyNumberFormat="1" applyFont="1" applyFill="1" applyAlignment="1">
      <alignment horizontal="left"/>
    </xf>
    <xf numFmtId="3" fontId="4" fillId="0" borderId="0" xfId="10" applyNumberFormat="1" applyFont="1" applyFill="1" applyAlignment="1">
      <alignment horizontal="right"/>
    </xf>
    <xf numFmtId="3" fontId="38" fillId="0" borderId="0" xfId="9" applyNumberFormat="1" applyFont="1" applyFill="1" applyAlignment="1">
      <alignment horizontal="right" vertical="center"/>
    </xf>
    <xf numFmtId="3" fontId="39" fillId="0" borderId="0" xfId="10" applyNumberFormat="1" applyFont="1" applyFill="1" applyAlignment="1">
      <alignment horizontal="left"/>
    </xf>
    <xf numFmtId="3" fontId="1" fillId="0" borderId="0" xfId="2" applyNumberFormat="1" applyFill="1"/>
    <xf numFmtId="3" fontId="1" fillId="0" borderId="0" xfId="10" applyNumberFormat="1" applyFont="1" applyFill="1" applyAlignment="1">
      <alignment horizontal="right"/>
    </xf>
    <xf numFmtId="0" fontId="34" fillId="0" borderId="0" xfId="10" applyFont="1" applyFill="1"/>
    <xf numFmtId="0" fontId="42" fillId="0" borderId="0" xfId="10" applyFont="1" applyFill="1" applyAlignment="1"/>
    <xf numFmtId="0" fontId="35" fillId="0" borderId="0" xfId="10" applyFont="1" applyFill="1"/>
    <xf numFmtId="4" fontId="0" fillId="0" borderId="0" xfId="0" applyNumberFormat="1"/>
    <xf numFmtId="0" fontId="41" fillId="7" borderId="10" xfId="3" applyFont="1" applyFill="1" applyBorder="1"/>
    <xf numFmtId="0" fontId="41" fillId="7" borderId="11" xfId="3" applyFont="1" applyFill="1" applyBorder="1"/>
    <xf numFmtId="0" fontId="41" fillId="7" borderId="23" xfId="3" applyFont="1" applyFill="1" applyBorder="1" applyAlignment="1">
      <alignment horizontal="center"/>
    </xf>
    <xf numFmtId="0" fontId="41" fillId="7" borderId="0" xfId="3" applyFont="1" applyFill="1" applyBorder="1" applyAlignment="1">
      <alignment horizontal="center"/>
    </xf>
    <xf numFmtId="3" fontId="41" fillId="3" borderId="1" xfId="3" applyNumberFormat="1" applyFont="1" applyFill="1" applyBorder="1"/>
    <xf numFmtId="3" fontId="41" fillId="3" borderId="1" xfId="3" applyNumberFormat="1" applyFont="1" applyFill="1" applyBorder="1" applyAlignment="1">
      <alignment horizontal="right" vertical="center"/>
    </xf>
    <xf numFmtId="4" fontId="41" fillId="3" borderId="1" xfId="3" applyNumberFormat="1" applyFont="1" applyFill="1" applyBorder="1" applyAlignment="1">
      <alignment horizontal="right" vertical="center"/>
    </xf>
    <xf numFmtId="3" fontId="42" fillId="7" borderId="1" xfId="3" applyNumberFormat="1" applyFont="1" applyFill="1" applyBorder="1"/>
    <xf numFmtId="3" fontId="42" fillId="0" borderId="1" xfId="3" applyNumberFormat="1" applyFont="1" applyFill="1" applyBorder="1" applyAlignment="1">
      <alignment horizontal="right" vertical="center"/>
    </xf>
    <xf numFmtId="4" fontId="42" fillId="0" borderId="1" xfId="3" applyNumberFormat="1" applyFont="1" applyFill="1" applyBorder="1" applyAlignment="1">
      <alignment horizontal="right" vertical="center"/>
    </xf>
    <xf numFmtId="3" fontId="42" fillId="0" borderId="1" xfId="3" applyNumberFormat="1" applyFont="1" applyFill="1" applyBorder="1"/>
    <xf numFmtId="0" fontId="42" fillId="0" borderId="0" xfId="2" applyFont="1"/>
    <xf numFmtId="0" fontId="41" fillId="0" borderId="0" xfId="11" applyFont="1" applyAlignment="1">
      <alignment horizontal="centerContinuous"/>
    </xf>
    <xf numFmtId="4" fontId="33" fillId="9" borderId="2" xfId="0" applyNumberFormat="1" applyFont="1" applyFill="1" applyBorder="1"/>
    <xf numFmtId="3" fontId="33" fillId="10" borderId="19" xfId="0" applyNumberFormat="1" applyFont="1" applyFill="1" applyBorder="1"/>
    <xf numFmtId="3" fontId="33" fillId="10" borderId="18" xfId="0" applyNumberFormat="1" applyFont="1" applyFill="1" applyBorder="1"/>
    <xf numFmtId="3" fontId="33" fillId="9" borderId="18" xfId="0" applyNumberFormat="1" applyFont="1" applyFill="1" applyBorder="1"/>
    <xf numFmtId="3" fontId="0" fillId="10" borderId="18" xfId="0" applyNumberFormat="1" applyFill="1" applyBorder="1"/>
    <xf numFmtId="3" fontId="0" fillId="9" borderId="18" xfId="0" applyNumberFormat="1" applyFill="1" applyBorder="1"/>
    <xf numFmtId="3" fontId="41" fillId="0" borderId="40" xfId="3" applyNumberFormat="1" applyFont="1" applyFill="1" applyBorder="1" applyAlignment="1">
      <alignment horizontal="right" vertical="center"/>
    </xf>
    <xf numFmtId="3" fontId="41" fillId="8" borderId="41" xfId="3" applyNumberFormat="1" applyFont="1" applyFill="1" applyBorder="1" applyAlignment="1">
      <alignment horizontal="right" vertical="center"/>
    </xf>
    <xf numFmtId="3" fontId="41" fillId="8" borderId="42" xfId="3" applyNumberFormat="1" applyFont="1" applyFill="1" applyBorder="1" applyAlignment="1">
      <alignment horizontal="right" vertical="center"/>
    </xf>
    <xf numFmtId="3" fontId="41" fillId="8" borderId="43" xfId="3" applyNumberFormat="1" applyFont="1" applyFill="1" applyBorder="1" applyAlignment="1">
      <alignment horizontal="right" vertical="center"/>
    </xf>
    <xf numFmtId="166" fontId="41" fillId="0" borderId="40" xfId="3" applyNumberFormat="1" applyFont="1" applyFill="1" applyBorder="1" applyAlignment="1">
      <alignment horizontal="right" vertical="center"/>
    </xf>
    <xf numFmtId="166" fontId="41" fillId="8" borderId="43" xfId="3" applyNumberFormat="1" applyFont="1" applyFill="1" applyBorder="1" applyAlignment="1">
      <alignment horizontal="right" vertical="center"/>
    </xf>
    <xf numFmtId="3" fontId="41" fillId="8" borderId="40" xfId="3" applyNumberFormat="1" applyFont="1" applyFill="1" applyBorder="1" applyAlignment="1">
      <alignment horizontal="right" vertical="center"/>
    </xf>
    <xf numFmtId="3" fontId="34" fillId="0" borderId="31" xfId="3" applyNumberFormat="1" applyFont="1" applyFill="1" applyBorder="1" applyAlignment="1">
      <alignment horizontal="right" vertical="center"/>
    </xf>
    <xf numFmtId="3" fontId="34" fillId="8" borderId="17" xfId="3" applyNumberFormat="1" applyFont="1" applyFill="1" applyBorder="1" applyAlignment="1">
      <alignment horizontal="right" vertical="center"/>
    </xf>
    <xf numFmtId="3" fontId="34" fillId="8" borderId="34" xfId="3" applyNumberFormat="1" applyFont="1" applyFill="1" applyBorder="1" applyAlignment="1">
      <alignment horizontal="right" vertical="center"/>
    </xf>
    <xf numFmtId="3" fontId="34" fillId="8" borderId="44" xfId="3" applyNumberFormat="1" applyFont="1" applyFill="1" applyBorder="1" applyAlignment="1">
      <alignment horizontal="right" vertical="center"/>
    </xf>
    <xf numFmtId="166" fontId="34" fillId="0" borderId="31" xfId="3" applyNumberFormat="1" applyFont="1" applyFill="1" applyBorder="1" applyAlignment="1">
      <alignment horizontal="right" vertical="center"/>
    </xf>
    <xf numFmtId="166" fontId="34" fillId="8" borderId="44" xfId="3" applyNumberFormat="1" applyFont="1" applyFill="1" applyBorder="1" applyAlignment="1">
      <alignment horizontal="right" vertical="center"/>
    </xf>
    <xf numFmtId="3" fontId="34" fillId="8" borderId="31" xfId="3" applyNumberFormat="1" applyFont="1" applyFill="1" applyBorder="1" applyAlignment="1">
      <alignment horizontal="right" vertical="center"/>
    </xf>
    <xf numFmtId="3" fontId="34" fillId="0" borderId="40" xfId="3" applyNumberFormat="1" applyFont="1" applyFill="1" applyBorder="1" applyAlignment="1">
      <alignment horizontal="right" vertical="center"/>
    </xf>
    <xf numFmtId="3" fontId="34" fillId="8" borderId="41" xfId="3" applyNumberFormat="1" applyFont="1" applyFill="1" applyBorder="1" applyAlignment="1">
      <alignment horizontal="right" vertical="center"/>
    </xf>
    <xf numFmtId="3" fontId="34" fillId="8" borderId="42" xfId="3" applyNumberFormat="1" applyFont="1" applyFill="1" applyBorder="1" applyAlignment="1">
      <alignment horizontal="right" vertical="center"/>
    </xf>
    <xf numFmtId="3" fontId="34" fillId="8" borderId="43" xfId="3" applyNumberFormat="1" applyFont="1" applyFill="1" applyBorder="1" applyAlignment="1">
      <alignment horizontal="right" vertical="center"/>
    </xf>
    <xf numFmtId="166" fontId="34" fillId="0" borderId="40" xfId="3" applyNumberFormat="1" applyFont="1" applyFill="1" applyBorder="1" applyAlignment="1">
      <alignment horizontal="right" vertical="center"/>
    </xf>
    <xf numFmtId="166" fontId="34" fillId="8" borderId="43" xfId="3" applyNumberFormat="1" applyFont="1" applyFill="1" applyBorder="1" applyAlignment="1">
      <alignment horizontal="right" vertical="center"/>
    </xf>
    <xf numFmtId="3" fontId="34" fillId="8" borderId="40" xfId="3" applyNumberFormat="1" applyFont="1" applyFill="1" applyBorder="1" applyAlignment="1">
      <alignment horizontal="right" vertical="center"/>
    </xf>
    <xf numFmtId="3" fontId="12" fillId="0" borderId="32" xfId="3" applyNumberFormat="1" applyFont="1" applyFill="1" applyBorder="1" applyAlignment="1">
      <alignment horizontal="right" vertical="center"/>
    </xf>
    <xf numFmtId="3" fontId="12" fillId="8" borderId="1" xfId="3" applyNumberFormat="1" applyFont="1" applyFill="1" applyBorder="1" applyAlignment="1">
      <alignment horizontal="right" vertical="center"/>
    </xf>
    <xf numFmtId="3" fontId="12" fillId="8" borderId="5" xfId="3" applyNumberFormat="1" applyFont="1" applyFill="1" applyBorder="1" applyAlignment="1">
      <alignment horizontal="right" vertical="center"/>
    </xf>
    <xf numFmtId="3" fontId="12" fillId="8" borderId="45" xfId="3" applyNumberFormat="1" applyFont="1" applyFill="1" applyBorder="1" applyAlignment="1">
      <alignment horizontal="right" vertical="center"/>
    </xf>
    <xf numFmtId="0" fontId="35" fillId="0" borderId="0" xfId="11" applyFont="1"/>
    <xf numFmtId="3" fontId="34" fillId="0" borderId="0" xfId="3" applyNumberFormat="1" applyFont="1" applyFill="1" applyBorder="1"/>
    <xf numFmtId="166" fontId="34" fillId="0" borderId="0" xfId="3" applyNumberFormat="1" applyFont="1" applyFill="1" applyBorder="1"/>
    <xf numFmtId="0" fontId="34" fillId="0" borderId="0" xfId="3" applyFont="1"/>
    <xf numFmtId="3" fontId="35" fillId="0" borderId="0" xfId="3" applyNumberFormat="1" applyFont="1"/>
    <xf numFmtId="166" fontId="35" fillId="0" borderId="0" xfId="3" applyNumberFormat="1" applyFont="1"/>
    <xf numFmtId="3" fontId="12" fillId="8" borderId="4" xfId="3" applyNumberFormat="1" applyFont="1" applyFill="1" applyBorder="1" applyAlignment="1">
      <alignment horizontal="right" vertical="center"/>
    </xf>
    <xf numFmtId="3" fontId="12" fillId="8" borderId="12" xfId="3" applyNumberFormat="1" applyFont="1" applyFill="1" applyBorder="1" applyAlignment="1">
      <alignment horizontal="right" vertical="center"/>
    </xf>
    <xf numFmtId="3" fontId="34" fillId="8" borderId="33" xfId="3" applyNumberFormat="1" applyFont="1" applyFill="1" applyBorder="1" applyAlignment="1">
      <alignment horizontal="right" vertical="center"/>
    </xf>
    <xf numFmtId="3" fontId="34" fillId="8" borderId="29" xfId="3" applyNumberFormat="1" applyFont="1" applyFill="1" applyBorder="1" applyAlignment="1">
      <alignment horizontal="right" vertical="center"/>
    </xf>
    <xf numFmtId="3" fontId="35" fillId="0" borderId="0" xfId="3" applyNumberFormat="1" applyFont="1" applyFill="1" applyBorder="1" applyAlignment="1">
      <alignment wrapText="1"/>
    </xf>
    <xf numFmtId="3" fontId="12" fillId="0" borderId="0" xfId="3" applyNumberFormat="1" applyFont="1" applyFill="1" applyBorder="1" applyAlignment="1">
      <alignment horizontal="right" vertical="center"/>
    </xf>
    <xf numFmtId="166" fontId="12" fillId="0" borderId="0" xfId="3" applyNumberFormat="1" applyFont="1" applyFill="1" applyBorder="1" applyAlignment="1">
      <alignment horizontal="right" vertical="center"/>
    </xf>
    <xf numFmtId="3" fontId="35" fillId="0" borderId="0" xfId="3" applyNumberFormat="1" applyFont="1" applyFill="1" applyBorder="1" applyAlignment="1">
      <alignment horizontal="right" vertical="center"/>
    </xf>
    <xf numFmtId="4" fontId="3" fillId="0" borderId="0" xfId="3" applyNumberFormat="1" applyFont="1"/>
    <xf numFmtId="3" fontId="2" fillId="0" borderId="0" xfId="11" applyNumberFormat="1" applyFont="1"/>
    <xf numFmtId="0" fontId="46" fillId="0" borderId="0" xfId="0" applyFont="1"/>
    <xf numFmtId="167" fontId="0" fillId="0" borderId="0" xfId="0" applyNumberFormat="1"/>
    <xf numFmtId="0" fontId="49" fillId="0" borderId="0" xfId="0" applyFont="1"/>
    <xf numFmtId="0" fontId="47" fillId="0" borderId="0" xfId="0" applyFont="1"/>
    <xf numFmtId="0" fontId="51" fillId="0" borderId="0" xfId="0" applyFont="1"/>
    <xf numFmtId="0" fontId="23" fillId="0" borderId="0" xfId="0" applyFont="1" applyAlignment="1">
      <alignment horizontal="right"/>
    </xf>
    <xf numFmtId="3" fontId="26" fillId="0" borderId="68" xfId="0" applyNumberFormat="1" applyFont="1" applyBorder="1" applyProtection="1">
      <protection hidden="1"/>
    </xf>
    <xf numFmtId="3" fontId="26" fillId="0" borderId="69" xfId="0" applyNumberFormat="1" applyFont="1" applyBorder="1" applyProtection="1">
      <protection hidden="1"/>
    </xf>
    <xf numFmtId="3" fontId="26" fillId="0" borderId="67" xfId="0" applyNumberFormat="1" applyFont="1" applyBorder="1" applyAlignment="1" applyProtection="1">
      <alignment horizontal="right"/>
      <protection hidden="1"/>
    </xf>
    <xf numFmtId="0" fontId="0" fillId="0" borderId="70" xfId="0" applyBorder="1"/>
    <xf numFmtId="3" fontId="26" fillId="0" borderId="68" xfId="0" applyNumberFormat="1" applyFont="1" applyBorder="1" applyAlignment="1" applyProtection="1">
      <alignment horizontal="right"/>
      <protection hidden="1"/>
    </xf>
    <xf numFmtId="3" fontId="26" fillId="0" borderId="0" xfId="13" applyNumberFormat="1" applyFont="1" applyProtection="1">
      <protection hidden="1"/>
    </xf>
    <xf numFmtId="3" fontId="5" fillId="0" borderId="0" xfId="13" applyNumberFormat="1" applyFont="1" applyAlignment="1" applyProtection="1">
      <alignment horizontal="right"/>
      <protection hidden="1"/>
    </xf>
    <xf numFmtId="3" fontId="26" fillId="0" borderId="0" xfId="13" applyNumberFormat="1" applyFont="1" applyAlignment="1" applyProtection="1">
      <alignment horizontal="centerContinuous"/>
      <protection hidden="1"/>
    </xf>
    <xf numFmtId="3" fontId="30" fillId="0" borderId="26" xfId="13" applyNumberFormat="1" applyFont="1" applyBorder="1" applyProtection="1">
      <protection hidden="1"/>
    </xf>
    <xf numFmtId="3" fontId="30" fillId="0" borderId="28" xfId="13" applyNumberFormat="1" applyFont="1" applyBorder="1" applyProtection="1">
      <protection hidden="1"/>
    </xf>
    <xf numFmtId="3" fontId="30" fillId="0" borderId="9" xfId="13" applyNumberFormat="1" applyFont="1" applyBorder="1" applyProtection="1">
      <protection hidden="1"/>
    </xf>
    <xf numFmtId="3" fontId="26" fillId="0" borderId="52" xfId="13" applyNumberFormat="1" applyFont="1" applyBorder="1" applyProtection="1">
      <protection hidden="1"/>
    </xf>
    <xf numFmtId="3" fontId="26" fillId="0" borderId="15" xfId="13" applyNumberFormat="1" applyFont="1" applyBorder="1" applyProtection="1">
      <protection hidden="1"/>
    </xf>
    <xf numFmtId="3" fontId="26" fillId="0" borderId="14" xfId="13" applyNumberFormat="1" applyFont="1" applyBorder="1" applyProtection="1">
      <protection hidden="1"/>
    </xf>
    <xf numFmtId="3" fontId="27" fillId="0" borderId="40" xfId="13" applyNumberFormat="1" applyFont="1" applyBorder="1" applyProtection="1">
      <protection hidden="1"/>
    </xf>
    <xf numFmtId="3" fontId="27" fillId="0" borderId="55" xfId="13" applyNumberFormat="1" applyFont="1" applyBorder="1" applyProtection="1">
      <protection hidden="1"/>
    </xf>
    <xf numFmtId="3" fontId="27" fillId="0" borderId="42" xfId="13" applyNumberFormat="1" applyFont="1" applyBorder="1" applyProtection="1">
      <protection hidden="1"/>
    </xf>
    <xf numFmtId="3" fontId="26" fillId="0" borderId="13" xfId="13" applyNumberFormat="1" applyFont="1" applyBorder="1" applyProtection="1">
      <protection hidden="1"/>
    </xf>
    <xf numFmtId="0" fontId="16" fillId="0" borderId="0" xfId="10" applyFont="1" applyFill="1"/>
    <xf numFmtId="0" fontId="19" fillId="0" borderId="0" xfId="10" applyFont="1" applyFill="1"/>
    <xf numFmtId="0" fontId="55" fillId="0" borderId="0" xfId="0" applyFont="1"/>
    <xf numFmtId="0" fontId="56" fillId="0" borderId="0" xfId="0" applyFont="1"/>
    <xf numFmtId="2" fontId="1" fillId="0" borderId="1" xfId="4" applyNumberFormat="1" applyFont="1" applyBorder="1"/>
    <xf numFmtId="0" fontId="1" fillId="0" borderId="1" xfId="4" applyFont="1" applyBorder="1"/>
    <xf numFmtId="0" fontId="1" fillId="0" borderId="20" xfId="4" applyFont="1" applyBorder="1"/>
    <xf numFmtId="3" fontId="1" fillId="0" borderId="0" xfId="4" applyNumberFormat="1"/>
    <xf numFmtId="3" fontId="16" fillId="0" borderId="0" xfId="0" applyNumberFormat="1" applyFont="1"/>
    <xf numFmtId="2" fontId="57" fillId="4" borderId="1" xfId="4" applyNumberFormat="1" applyFont="1" applyFill="1" applyBorder="1"/>
    <xf numFmtId="2" fontId="57" fillId="0" borderId="1" xfId="4" applyNumberFormat="1" applyFont="1" applyFill="1" applyBorder="1"/>
    <xf numFmtId="3" fontId="0" fillId="0" borderId="1" xfId="0" applyNumberFormat="1" applyBorder="1"/>
    <xf numFmtId="4" fontId="27" fillId="0" borderId="40" xfId="13" applyNumberFormat="1" applyFont="1" applyBorder="1" applyProtection="1">
      <protection hidden="1"/>
    </xf>
    <xf numFmtId="4" fontId="27" fillId="0" borderId="55" xfId="13" applyNumberFormat="1" applyFont="1" applyBorder="1" applyProtection="1">
      <protection hidden="1"/>
    </xf>
    <xf numFmtId="4" fontId="27" fillId="0" borderId="42" xfId="13" applyNumberFormat="1" applyFont="1" applyBorder="1" applyProtection="1">
      <protection hidden="1"/>
    </xf>
    <xf numFmtId="4" fontId="4" fillId="0" borderId="38" xfId="0" applyNumberFormat="1" applyFont="1" applyBorder="1" applyProtection="1">
      <protection locked="0" hidden="1"/>
    </xf>
    <xf numFmtId="4" fontId="4" fillId="0" borderId="51" xfId="0" applyNumberFormat="1" applyFont="1" applyBorder="1" applyProtection="1">
      <protection locked="0" hidden="1"/>
    </xf>
    <xf numFmtId="4" fontId="4" fillId="0" borderId="8" xfId="0" applyNumberFormat="1" applyFont="1" applyBorder="1" applyProtection="1">
      <protection locked="0" hidden="1"/>
    </xf>
    <xf numFmtId="4" fontId="26" fillId="0" borderId="57" xfId="0" applyNumberFormat="1" applyFont="1" applyBorder="1" applyProtection="1">
      <protection hidden="1"/>
    </xf>
    <xf numFmtId="4" fontId="26" fillId="0" borderId="58" xfId="0" applyNumberFormat="1" applyFont="1" applyBorder="1" applyProtection="1">
      <protection hidden="1"/>
    </xf>
    <xf numFmtId="4" fontId="26" fillId="0" borderId="59" xfId="0" applyNumberFormat="1" applyFont="1" applyBorder="1" applyProtection="1">
      <protection hidden="1"/>
    </xf>
    <xf numFmtId="4" fontId="26" fillId="0" borderId="61" xfId="0" applyNumberFormat="1" applyFont="1" applyBorder="1" applyProtection="1">
      <protection hidden="1"/>
    </xf>
    <xf numFmtId="4" fontId="26" fillId="0" borderId="62" xfId="0" applyNumberFormat="1" applyFont="1" applyBorder="1" applyProtection="1">
      <protection hidden="1"/>
    </xf>
    <xf numFmtId="4" fontId="26" fillId="0" borderId="63" xfId="0" applyNumberFormat="1" applyFont="1" applyBorder="1" applyProtection="1">
      <protection hidden="1"/>
    </xf>
    <xf numFmtId="4" fontId="26" fillId="0" borderId="67" xfId="0" applyNumberFormat="1" applyFont="1" applyBorder="1" applyProtection="1">
      <protection hidden="1"/>
    </xf>
    <xf numFmtId="4" fontId="26" fillId="0" borderId="68" xfId="0" applyNumberFormat="1" applyFont="1" applyBorder="1" applyProtection="1">
      <protection hidden="1"/>
    </xf>
    <xf numFmtId="4" fontId="26" fillId="0" borderId="69" xfId="0" applyNumberFormat="1" applyFont="1" applyBorder="1" applyProtection="1">
      <protection hidden="1"/>
    </xf>
    <xf numFmtId="4" fontId="4" fillId="0" borderId="40" xfId="0" applyNumberFormat="1" applyFont="1" applyBorder="1" applyProtection="1">
      <protection hidden="1"/>
    </xf>
    <xf numFmtId="4" fontId="4" fillId="0" borderId="55" xfId="0" applyNumberFormat="1" applyFont="1" applyBorder="1" applyProtection="1">
      <protection hidden="1"/>
    </xf>
    <xf numFmtId="4" fontId="4" fillId="0" borderId="42" xfId="0" applyNumberFormat="1" applyFont="1" applyBorder="1" applyProtection="1">
      <protection hidden="1"/>
    </xf>
    <xf numFmtId="4" fontId="27" fillId="0" borderId="40" xfId="0" applyNumberFormat="1" applyFont="1" applyBorder="1" applyProtection="1">
      <protection locked="0" hidden="1"/>
    </xf>
    <xf numFmtId="4" fontId="27" fillId="0" borderId="41" xfId="0" applyNumberFormat="1" applyFont="1" applyBorder="1" applyProtection="1">
      <protection locked="0" hidden="1"/>
    </xf>
    <xf numFmtId="4" fontId="27" fillId="0" borderId="43" xfId="0" applyNumberFormat="1" applyFont="1" applyBorder="1" applyProtection="1">
      <protection locked="0" hidden="1"/>
    </xf>
    <xf numFmtId="4" fontId="7" fillId="0" borderId="31" xfId="0" applyNumberFormat="1" applyFont="1" applyBorder="1" applyProtection="1">
      <protection hidden="1"/>
    </xf>
    <xf numFmtId="4" fontId="7" fillId="0" borderId="30" xfId="0" applyNumberFormat="1" applyFont="1" applyBorder="1" applyProtection="1">
      <protection hidden="1"/>
    </xf>
    <xf numFmtId="4" fontId="7" fillId="0" borderId="34" xfId="0" applyNumberFormat="1" applyFont="1" applyBorder="1" applyProtection="1">
      <protection hidden="1"/>
    </xf>
    <xf numFmtId="4" fontId="26" fillId="0" borderId="59" xfId="0" applyNumberFormat="1" applyFont="1" applyFill="1" applyBorder="1" applyProtection="1">
      <protection hidden="1"/>
    </xf>
    <xf numFmtId="4" fontId="7" fillId="0" borderId="52" xfId="0" applyNumberFormat="1" applyFont="1" applyBorder="1" applyProtection="1">
      <protection hidden="1"/>
    </xf>
    <xf numFmtId="4" fontId="7" fillId="0" borderId="15" xfId="0" applyNumberFormat="1" applyFont="1" applyBorder="1" applyProtection="1">
      <protection hidden="1"/>
    </xf>
    <xf numFmtId="0" fontId="18" fillId="0" borderId="0" xfId="10" applyFont="1" applyFill="1" applyAlignment="1">
      <alignment horizontal="left"/>
    </xf>
    <xf numFmtId="0" fontId="0" fillId="0" borderId="0" xfId="0" applyAlignment="1">
      <alignment horizontal="left"/>
    </xf>
    <xf numFmtId="0" fontId="41" fillId="7" borderId="20" xfId="3" applyFont="1" applyFill="1" applyBorder="1" applyAlignment="1">
      <alignment horizontal="center" vertical="center" wrapText="1"/>
    </xf>
    <xf numFmtId="0" fontId="41" fillId="7" borderId="23" xfId="3" applyFont="1" applyFill="1" applyBorder="1" applyAlignment="1">
      <alignment horizontal="center" vertical="center" wrapText="1"/>
    </xf>
    <xf numFmtId="3" fontId="12" fillId="8" borderId="20" xfId="3" applyNumberFormat="1" applyFont="1" applyFill="1" applyBorder="1" applyAlignment="1">
      <alignment horizontal="right" vertical="center"/>
    </xf>
    <xf numFmtId="3" fontId="12" fillId="8" borderId="23" xfId="3" applyNumberFormat="1" applyFont="1" applyFill="1" applyBorder="1" applyAlignment="1">
      <alignment horizontal="right" vertical="center"/>
    </xf>
    <xf numFmtId="3" fontId="12" fillId="8" borderId="36" xfId="3" applyNumberFormat="1" applyFont="1" applyFill="1" applyBorder="1" applyAlignment="1">
      <alignment horizontal="right" vertical="center"/>
    </xf>
    <xf numFmtId="3" fontId="12" fillId="8" borderId="8" xfId="3" applyNumberFormat="1" applyFont="1" applyFill="1" applyBorder="1" applyAlignment="1">
      <alignment horizontal="right" vertical="center"/>
    </xf>
    <xf numFmtId="3" fontId="34" fillId="8" borderId="72" xfId="0" applyNumberFormat="1" applyFont="1" applyFill="1" applyBorder="1" applyAlignment="1">
      <alignment horizontal="left" vertical="center"/>
    </xf>
    <xf numFmtId="3" fontId="40" fillId="8" borderId="66" xfId="0" applyNumberFormat="1" applyFont="1" applyFill="1" applyBorder="1" applyAlignment="1">
      <alignment vertical="center" wrapText="1"/>
    </xf>
    <xf numFmtId="3" fontId="34" fillId="8" borderId="74" xfId="0" applyNumberFormat="1" applyFont="1" applyFill="1" applyBorder="1" applyAlignment="1">
      <alignment horizontal="center" vertical="center" wrapText="1"/>
    </xf>
    <xf numFmtId="0" fontId="7" fillId="0" borderId="0" xfId="10" applyFont="1" applyFill="1"/>
    <xf numFmtId="0" fontId="41" fillId="7" borderId="7" xfId="3" applyFont="1" applyFill="1" applyBorder="1" applyAlignment="1">
      <alignment horizontal="center" vertical="center" wrapText="1"/>
    </xf>
    <xf numFmtId="0" fontId="41" fillId="7" borderId="1" xfId="3" applyFont="1" applyFill="1" applyBorder="1" applyAlignment="1">
      <alignment horizontal="center"/>
    </xf>
    <xf numFmtId="0" fontId="58" fillId="0" borderId="0" xfId="12" applyFont="1" applyFill="1"/>
    <xf numFmtId="0" fontId="0" fillId="9" borderId="18" xfId="0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10" borderId="18" xfId="0" applyFill="1" applyBorder="1" applyAlignment="1">
      <alignment horizontal="center" vertical="center" wrapText="1"/>
    </xf>
    <xf numFmtId="0" fontId="0" fillId="0" borderId="66" xfId="0" applyBorder="1"/>
    <xf numFmtId="0" fontId="0" fillId="9" borderId="46" xfId="0" applyFill="1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9" borderId="27" xfId="0" applyFill="1" applyBorder="1" applyAlignment="1">
      <alignment horizontal="center"/>
    </xf>
    <xf numFmtId="0" fontId="0" fillId="0" borderId="50" xfId="0" applyBorder="1" applyAlignment="1">
      <alignment horizontal="center"/>
    </xf>
    <xf numFmtId="0" fontId="0" fillId="10" borderId="27" xfId="0" applyFill="1" applyBorder="1" applyAlignment="1">
      <alignment horizontal="center"/>
    </xf>
    <xf numFmtId="4" fontId="33" fillId="9" borderId="73" xfId="0" applyNumberFormat="1" applyFont="1" applyFill="1" applyBorder="1"/>
    <xf numFmtId="4" fontId="33" fillId="9" borderId="17" xfId="0" applyNumberFormat="1" applyFont="1" applyFill="1" applyBorder="1"/>
    <xf numFmtId="4" fontId="0" fillId="10" borderId="21" xfId="0" applyNumberFormat="1" applyFill="1" applyBorder="1"/>
    <xf numFmtId="4" fontId="33" fillId="10" borderId="21" xfId="0" applyNumberFormat="1" applyFont="1" applyFill="1" applyBorder="1"/>
    <xf numFmtId="4" fontId="0" fillId="0" borderId="21" xfId="0" applyNumberFormat="1" applyBorder="1"/>
    <xf numFmtId="4" fontId="33" fillId="9" borderId="21" xfId="0" applyNumberFormat="1" applyFont="1" applyFill="1" applyBorder="1"/>
    <xf numFmtId="3" fontId="33" fillId="10" borderId="1" xfId="0" applyNumberFormat="1" applyFont="1" applyFill="1" applyBorder="1"/>
    <xf numFmtId="3" fontId="34" fillId="0" borderId="38" xfId="3" applyNumberFormat="1" applyFont="1" applyFill="1" applyBorder="1" applyAlignment="1">
      <alignment horizontal="right" vertical="center"/>
    </xf>
    <xf numFmtId="3" fontId="34" fillId="8" borderId="38" xfId="3" applyNumberFormat="1" applyFont="1" applyFill="1" applyBorder="1" applyAlignment="1">
      <alignment horizontal="right" vertical="center"/>
    </xf>
    <xf numFmtId="3" fontId="34" fillId="0" borderId="28" xfId="3" applyNumberFormat="1" applyFont="1" applyFill="1" applyBorder="1" applyAlignment="1">
      <alignment horizontal="right" vertical="center"/>
    </xf>
    <xf numFmtId="3" fontId="34" fillId="8" borderId="28" xfId="3" applyNumberFormat="1" applyFont="1" applyFill="1" applyBorder="1" applyAlignment="1">
      <alignment horizontal="right" vertical="center"/>
    </xf>
    <xf numFmtId="3" fontId="34" fillId="8" borderId="39" xfId="3" applyNumberFormat="1" applyFont="1" applyFill="1" applyBorder="1" applyAlignment="1">
      <alignment horizontal="right" vertical="center"/>
    </xf>
    <xf numFmtId="3" fontId="34" fillId="8" borderId="23" xfId="3" applyNumberFormat="1" applyFont="1" applyFill="1" applyBorder="1" applyAlignment="1">
      <alignment horizontal="right" vertical="center"/>
    </xf>
    <xf numFmtId="3" fontId="34" fillId="8" borderId="8" xfId="3" applyNumberFormat="1" applyFont="1" applyFill="1" applyBorder="1" applyAlignment="1">
      <alignment horizontal="right" vertical="center"/>
    </xf>
    <xf numFmtId="166" fontId="34" fillId="0" borderId="38" xfId="3" applyNumberFormat="1" applyFont="1" applyFill="1" applyBorder="1" applyAlignment="1">
      <alignment horizontal="right" vertical="center"/>
    </xf>
    <xf numFmtId="166" fontId="34" fillId="8" borderId="39" xfId="3" applyNumberFormat="1" applyFont="1" applyFill="1" applyBorder="1" applyAlignment="1">
      <alignment horizontal="right" vertical="center"/>
    </xf>
    <xf numFmtId="3" fontId="34" fillId="8" borderId="71" xfId="3" applyNumberFormat="1" applyFont="1" applyFill="1" applyBorder="1" applyAlignment="1">
      <alignment horizontal="right" vertical="center"/>
    </xf>
    <xf numFmtId="3" fontId="34" fillId="8" borderId="50" xfId="3" applyNumberFormat="1" applyFont="1" applyFill="1" applyBorder="1" applyAlignment="1">
      <alignment horizontal="right" vertical="center"/>
    </xf>
    <xf numFmtId="3" fontId="34" fillId="8" borderId="9" xfId="3" applyNumberFormat="1" applyFont="1" applyFill="1" applyBorder="1" applyAlignment="1">
      <alignment horizontal="right" vertical="center"/>
    </xf>
    <xf numFmtId="166" fontId="34" fillId="0" borderId="28" xfId="3" applyNumberFormat="1" applyFont="1" applyFill="1" applyBorder="1" applyAlignment="1">
      <alignment horizontal="right" vertical="center"/>
    </xf>
    <xf numFmtId="166" fontId="34" fillId="8" borderId="71" xfId="3" applyNumberFormat="1" applyFont="1" applyFill="1" applyBorder="1" applyAlignment="1">
      <alignment horizontal="right" vertical="center"/>
    </xf>
    <xf numFmtId="49" fontId="50" fillId="8" borderId="20" xfId="0" applyNumberFormat="1" applyFont="1" applyFill="1" applyBorder="1" applyAlignment="1" applyProtection="1">
      <alignment horizontal="center" vertical="center" wrapText="1"/>
      <protection locked="0" hidden="1"/>
    </xf>
    <xf numFmtId="3" fontId="59" fillId="2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48" fillId="8" borderId="1" xfId="0" applyNumberFormat="1" applyFont="1" applyFill="1" applyBorder="1" applyAlignment="1">
      <alignment horizontal="left" vertical="center" wrapText="1"/>
    </xf>
    <xf numFmtId="3" fontId="48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3" fontId="50" fillId="2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45" fillId="11" borderId="0" xfId="0" applyNumberFormat="1" applyFont="1" applyFill="1" applyAlignment="1">
      <alignment wrapText="1"/>
    </xf>
    <xf numFmtId="49" fontId="45" fillId="11" borderId="0" xfId="0" applyNumberFormat="1" applyFont="1" applyFill="1" applyAlignment="1">
      <alignment horizontal="center" wrapText="1"/>
    </xf>
    <xf numFmtId="49" fontId="45" fillId="11" borderId="0" xfId="0" applyNumberFormat="1" applyFont="1" applyFill="1" applyAlignment="1"/>
    <xf numFmtId="0" fontId="0" fillId="0" borderId="0" xfId="0" applyAlignment="1">
      <alignment horizontal="center"/>
    </xf>
    <xf numFmtId="0" fontId="44" fillId="0" borderId="77" xfId="0" applyFont="1" applyBorder="1" applyAlignment="1">
      <alignment horizontal="center" vertical="center"/>
    </xf>
    <xf numFmtId="4" fontId="0" fillId="0" borderId="75" xfId="0" applyNumberFormat="1" applyBorder="1"/>
    <xf numFmtId="2" fontId="1" fillId="0" borderId="0" xfId="4" applyNumberFormat="1"/>
    <xf numFmtId="3" fontId="26" fillId="0" borderId="28" xfId="0" applyNumberFormat="1" applyFont="1" applyBorder="1" applyProtection="1">
      <protection locked="0" hidden="1"/>
    </xf>
    <xf numFmtId="3" fontId="7" fillId="0" borderId="54" xfId="0" applyNumberFormat="1" applyFont="1" applyBorder="1" applyAlignment="1" applyProtection="1">
      <alignment horizontal="right"/>
      <protection hidden="1"/>
    </xf>
    <xf numFmtId="3" fontId="34" fillId="8" borderId="20" xfId="0" applyNumberFormat="1" applyFont="1" applyFill="1" applyBorder="1" applyAlignment="1">
      <alignment horizontal="center" vertical="center" wrapText="1"/>
    </xf>
    <xf numFmtId="3" fontId="34" fillId="8" borderId="37" xfId="0" applyNumberFormat="1" applyFont="1" applyFill="1" applyBorder="1" applyAlignment="1">
      <alignment horizontal="center" vertical="center" wrapText="1"/>
    </xf>
    <xf numFmtId="49" fontId="50" fillId="2" borderId="4" xfId="0" applyNumberFormat="1" applyFont="1" applyFill="1" applyBorder="1" applyAlignment="1">
      <alignment horizontal="left" vertical="center" wrapText="1"/>
    </xf>
    <xf numFmtId="0" fontId="44" fillId="0" borderId="14" xfId="0" applyFont="1" applyBorder="1" applyAlignment="1">
      <alignment horizontal="center" vertical="center"/>
    </xf>
    <xf numFmtId="0" fontId="0" fillId="9" borderId="80" xfId="0" applyFill="1" applyBorder="1" applyAlignment="1">
      <alignment horizontal="center"/>
    </xf>
    <xf numFmtId="0" fontId="0" fillId="9" borderId="81" xfId="0" applyFill="1" applyBorder="1" applyAlignment="1">
      <alignment horizontal="center"/>
    </xf>
    <xf numFmtId="4" fontId="33" fillId="9" borderId="82" xfId="0" applyNumberFormat="1" applyFont="1" applyFill="1" applyBorder="1"/>
    <xf numFmtId="0" fontId="56" fillId="0" borderId="32" xfId="0" applyFont="1" applyBorder="1" applyAlignment="1">
      <alignment vertical="center"/>
    </xf>
    <xf numFmtId="3" fontId="56" fillId="0" borderId="1" xfId="0" applyNumberFormat="1" applyFont="1" applyBorder="1" applyAlignment="1">
      <alignment vertical="center"/>
    </xf>
    <xf numFmtId="3" fontId="56" fillId="0" borderId="45" xfId="0" applyNumberFormat="1" applyFont="1" applyBorder="1" applyAlignment="1">
      <alignment vertical="center"/>
    </xf>
    <xf numFmtId="0" fontId="56" fillId="13" borderId="32" xfId="0" applyFont="1" applyFill="1" applyBorder="1" applyAlignment="1">
      <alignment vertical="center"/>
    </xf>
    <xf numFmtId="3" fontId="56" fillId="13" borderId="1" xfId="0" applyNumberFormat="1" applyFont="1" applyFill="1" applyBorder="1" applyAlignment="1">
      <alignment vertical="center"/>
    </xf>
    <xf numFmtId="3" fontId="56" fillId="13" borderId="45" xfId="0" applyNumberFormat="1" applyFont="1" applyFill="1" applyBorder="1" applyAlignment="1">
      <alignment vertical="center"/>
    </xf>
    <xf numFmtId="0" fontId="56" fillId="0" borderId="32" xfId="0" applyFont="1" applyBorder="1" applyAlignment="1">
      <alignment vertical="center" wrapText="1"/>
    </xf>
    <xf numFmtId="0" fontId="56" fillId="2" borderId="32" xfId="0" applyFont="1" applyFill="1" applyBorder="1" applyAlignment="1">
      <alignment vertical="center" wrapText="1"/>
    </xf>
    <xf numFmtId="3" fontId="56" fillId="2" borderId="1" xfId="0" applyNumberFormat="1" applyFont="1" applyFill="1" applyBorder="1" applyAlignment="1">
      <alignment vertical="center"/>
    </xf>
    <xf numFmtId="3" fontId="56" fillId="2" borderId="45" xfId="0" applyNumberFormat="1" applyFont="1" applyFill="1" applyBorder="1" applyAlignment="1">
      <alignment vertical="center"/>
    </xf>
    <xf numFmtId="0" fontId="60" fillId="12" borderId="32" xfId="0" applyFont="1" applyFill="1" applyBorder="1" applyAlignment="1">
      <alignment vertical="center"/>
    </xf>
    <xf numFmtId="3" fontId="60" fillId="12" borderId="1" xfId="0" applyNumberFormat="1" applyFont="1" applyFill="1" applyBorder="1" applyAlignment="1">
      <alignment vertical="center"/>
    </xf>
    <xf numFmtId="3" fontId="60" fillId="12" borderId="45" xfId="0" applyNumberFormat="1" applyFont="1" applyFill="1" applyBorder="1" applyAlignment="1">
      <alignment vertical="center"/>
    </xf>
    <xf numFmtId="0" fontId="56" fillId="2" borderId="32" xfId="0" applyFont="1" applyFill="1" applyBorder="1" applyAlignment="1">
      <alignment vertical="center"/>
    </xf>
    <xf numFmtId="0" fontId="56" fillId="13" borderId="32" xfId="0" applyFont="1" applyFill="1" applyBorder="1" applyAlignment="1">
      <alignment vertical="center" wrapText="1"/>
    </xf>
    <xf numFmtId="0" fontId="60" fillId="13" borderId="25" xfId="0" applyFont="1" applyFill="1" applyBorder="1" applyAlignment="1">
      <alignment vertical="center"/>
    </xf>
    <xf numFmtId="3" fontId="60" fillId="13" borderId="22" xfId="0" applyNumberFormat="1" applyFont="1" applyFill="1" applyBorder="1" applyAlignment="1">
      <alignment vertical="center"/>
    </xf>
    <xf numFmtId="0" fontId="34" fillId="8" borderId="10" xfId="3" applyFont="1" applyFill="1" applyBorder="1"/>
    <xf numFmtId="0" fontId="34" fillId="8" borderId="11" xfId="3" applyFont="1" applyFill="1" applyBorder="1"/>
    <xf numFmtId="3" fontId="41" fillId="8" borderId="6" xfId="3" applyNumberFormat="1" applyFont="1" applyFill="1" applyBorder="1"/>
    <xf numFmtId="3" fontId="41" fillId="0" borderId="77" xfId="3" applyNumberFormat="1" applyFont="1" applyFill="1" applyBorder="1" applyAlignment="1">
      <alignment horizontal="right" vertical="center"/>
    </xf>
    <xf numFmtId="3" fontId="34" fillId="8" borderId="29" xfId="3" applyNumberFormat="1" applyFont="1" applyFill="1" applyBorder="1"/>
    <xf numFmtId="3" fontId="34" fillId="0" borderId="73" xfId="3" applyNumberFormat="1" applyFont="1" applyFill="1" applyBorder="1" applyAlignment="1">
      <alignment horizontal="right" vertical="center"/>
    </xf>
    <xf numFmtId="3" fontId="35" fillId="8" borderId="10" xfId="3" applyNumberFormat="1" applyFont="1" applyFill="1" applyBorder="1"/>
    <xf numFmtId="3" fontId="35" fillId="8" borderId="24" xfId="3" applyNumberFormat="1" applyFont="1" applyFill="1" applyBorder="1"/>
    <xf numFmtId="3" fontId="34" fillId="8" borderId="11" xfId="3" applyNumberFormat="1" applyFont="1" applyFill="1" applyBorder="1"/>
    <xf numFmtId="3" fontId="34" fillId="0" borderId="77" xfId="3" applyNumberFormat="1" applyFont="1" applyFill="1" applyBorder="1" applyAlignment="1">
      <alignment horizontal="right" vertical="center"/>
    </xf>
    <xf numFmtId="3" fontId="12" fillId="8" borderId="3" xfId="3" applyNumberFormat="1" applyFont="1" applyFill="1" applyBorder="1"/>
    <xf numFmtId="3" fontId="12" fillId="8" borderId="10" xfId="3" applyNumberFormat="1" applyFont="1" applyFill="1" applyBorder="1"/>
    <xf numFmtId="3" fontId="34" fillId="8" borderId="83" xfId="3" applyNumberFormat="1" applyFont="1" applyFill="1" applyBorder="1"/>
    <xf numFmtId="3" fontId="35" fillId="8" borderId="11" xfId="3" applyNumberFormat="1" applyFont="1" applyFill="1" applyBorder="1"/>
    <xf numFmtId="3" fontId="34" fillId="0" borderId="74" xfId="3" applyNumberFormat="1" applyFont="1" applyFill="1" applyBorder="1" applyAlignment="1">
      <alignment horizontal="right" vertical="center"/>
    </xf>
    <xf numFmtId="3" fontId="34" fillId="0" borderId="66" xfId="3" applyNumberFormat="1" applyFont="1" applyFill="1" applyBorder="1" applyAlignment="1">
      <alignment horizontal="right" vertical="center"/>
    </xf>
    <xf numFmtId="3" fontId="34" fillId="0" borderId="31" xfId="3" applyNumberFormat="1" applyFont="1" applyFill="1" applyBorder="1"/>
    <xf numFmtId="3" fontId="34" fillId="8" borderId="44" xfId="3" applyNumberFormat="1" applyFont="1" applyFill="1" applyBorder="1"/>
    <xf numFmtId="3" fontId="34" fillId="8" borderId="17" xfId="3" applyNumberFormat="1" applyFont="1" applyFill="1" applyBorder="1"/>
    <xf numFmtId="3" fontId="34" fillId="8" borderId="34" xfId="3" applyNumberFormat="1" applyFont="1" applyFill="1" applyBorder="1"/>
    <xf numFmtId="166" fontId="34" fillId="0" borderId="31" xfId="3" applyNumberFormat="1" applyFont="1" applyFill="1" applyBorder="1"/>
    <xf numFmtId="166" fontId="34" fillId="8" borderId="44" xfId="3" applyNumberFormat="1" applyFont="1" applyFill="1" applyBorder="1"/>
    <xf numFmtId="3" fontId="34" fillId="8" borderId="31" xfId="3" applyNumberFormat="1" applyFont="1" applyFill="1" applyBorder="1"/>
    <xf numFmtId="3" fontId="34" fillId="0" borderId="73" xfId="3" applyNumberFormat="1" applyFont="1" applyFill="1" applyBorder="1"/>
    <xf numFmtId="3" fontId="34" fillId="8" borderId="3" xfId="3" applyNumberFormat="1" applyFont="1" applyFill="1" applyBorder="1"/>
    <xf numFmtId="3" fontId="34" fillId="0" borderId="32" xfId="3" applyNumberFormat="1" applyFont="1" applyFill="1" applyBorder="1" applyAlignment="1">
      <alignment horizontal="right" vertical="center"/>
    </xf>
    <xf numFmtId="3" fontId="34" fillId="8" borderId="45" xfId="3" applyNumberFormat="1" applyFont="1" applyFill="1" applyBorder="1" applyAlignment="1">
      <alignment horizontal="right" vertical="center"/>
    </xf>
    <xf numFmtId="3" fontId="34" fillId="8" borderId="4" xfId="3" applyNumberFormat="1" applyFont="1" applyFill="1" applyBorder="1" applyAlignment="1">
      <alignment horizontal="right" vertical="center"/>
    </xf>
    <xf numFmtId="166" fontId="34" fillId="0" borderId="32" xfId="3" applyNumberFormat="1" applyFont="1" applyFill="1" applyBorder="1" applyAlignment="1">
      <alignment horizontal="right" vertical="center"/>
    </xf>
    <xf numFmtId="166" fontId="34" fillId="8" borderId="45" xfId="3" applyNumberFormat="1" applyFont="1" applyFill="1" applyBorder="1" applyAlignment="1">
      <alignment horizontal="right" vertical="center"/>
    </xf>
    <xf numFmtId="3" fontId="34" fillId="8" borderId="3" xfId="3" applyNumberFormat="1" applyFont="1" applyFill="1" applyBorder="1" applyAlignment="1">
      <alignment horizontal="right" vertical="center"/>
    </xf>
    <xf numFmtId="3" fontId="34" fillId="8" borderId="1" xfId="3" applyNumberFormat="1" applyFont="1" applyFill="1" applyBorder="1" applyAlignment="1">
      <alignment horizontal="right" vertical="center"/>
    </xf>
    <xf numFmtId="3" fontId="35" fillId="8" borderId="3" xfId="3" applyNumberFormat="1" applyFont="1" applyFill="1" applyBorder="1"/>
    <xf numFmtId="166" fontId="12" fillId="0" borderId="32" xfId="3" applyNumberFormat="1" applyFont="1" applyFill="1" applyBorder="1" applyAlignment="1">
      <alignment horizontal="right" vertical="center"/>
    </xf>
    <xf numFmtId="166" fontId="12" fillId="8" borderId="45" xfId="3" applyNumberFormat="1" applyFont="1" applyFill="1" applyBorder="1" applyAlignment="1">
      <alignment horizontal="right" vertical="center"/>
    </xf>
    <xf numFmtId="3" fontId="35" fillId="0" borderId="32" xfId="3" applyNumberFormat="1" applyFont="1" applyFill="1" applyBorder="1" applyAlignment="1">
      <alignment horizontal="right" vertical="center"/>
    </xf>
    <xf numFmtId="3" fontId="35" fillId="8" borderId="3" xfId="3" applyNumberFormat="1" applyFont="1" applyFill="1" applyBorder="1" applyAlignment="1">
      <alignment horizontal="right" vertical="center"/>
    </xf>
    <xf numFmtId="3" fontId="35" fillId="8" borderId="1" xfId="3" applyNumberFormat="1" applyFont="1" applyFill="1" applyBorder="1" applyAlignment="1">
      <alignment horizontal="right" vertical="center"/>
    </xf>
    <xf numFmtId="3" fontId="35" fillId="8" borderId="45" xfId="3" applyNumberFormat="1" applyFont="1" applyFill="1" applyBorder="1" applyAlignment="1">
      <alignment horizontal="right" vertical="center"/>
    </xf>
    <xf numFmtId="49" fontId="50" fillId="8" borderId="23" xfId="0" applyNumberFormat="1" applyFont="1" applyFill="1" applyBorder="1" applyAlignment="1" applyProtection="1">
      <alignment horizontal="center" vertical="center" wrapText="1"/>
      <protection locked="0" hidden="1"/>
    </xf>
    <xf numFmtId="49" fontId="59" fillId="2" borderId="1" xfId="0" applyNumberFormat="1" applyFont="1" applyFill="1" applyBorder="1" applyAlignment="1">
      <alignment horizontal="left" vertical="center" wrapText="1"/>
    </xf>
    <xf numFmtId="0" fontId="0" fillId="0" borderId="0" xfId="0" applyFill="1" applyProtection="1">
      <protection locked="0" hidden="1"/>
    </xf>
    <xf numFmtId="49" fontId="50" fillId="8" borderId="50" xfId="0" applyNumberFormat="1" applyFont="1" applyFill="1" applyBorder="1" applyAlignment="1" applyProtection="1">
      <alignment horizontal="center" vertical="center" wrapText="1"/>
      <protection locked="0" hidden="1"/>
    </xf>
    <xf numFmtId="3" fontId="26" fillId="0" borderId="62" xfId="0" applyNumberFormat="1" applyFont="1" applyBorder="1" applyAlignment="1" applyProtection="1">
      <alignment horizontal="right"/>
      <protection hidden="1"/>
    </xf>
    <xf numFmtId="4" fontId="7" fillId="0" borderId="38" xfId="0" applyNumberFormat="1" applyFont="1" applyBorder="1" applyProtection="1">
      <protection hidden="1"/>
    </xf>
    <xf numFmtId="4" fontId="7" fillId="0" borderId="8" xfId="0" applyNumberFormat="1" applyFont="1" applyBorder="1" applyProtection="1">
      <protection hidden="1"/>
    </xf>
    <xf numFmtId="3" fontId="26" fillId="0" borderId="58" xfId="0" applyNumberFormat="1" applyFont="1" applyBorder="1" applyAlignment="1" applyProtection="1">
      <alignment horizontal="right"/>
      <protection hidden="1"/>
    </xf>
    <xf numFmtId="3" fontId="33" fillId="9" borderId="79" xfId="0" applyNumberFormat="1" applyFont="1" applyFill="1" applyBorder="1"/>
    <xf numFmtId="3" fontId="0" fillId="9" borderId="79" xfId="0" applyNumberFormat="1" applyFill="1" applyBorder="1"/>
    <xf numFmtId="3" fontId="0" fillId="9" borderId="84" xfId="0" applyNumberFormat="1" applyFill="1" applyBorder="1"/>
    <xf numFmtId="3" fontId="0" fillId="9" borderId="16" xfId="0" applyNumberFormat="1" applyFill="1" applyBorder="1"/>
    <xf numFmtId="3" fontId="0" fillId="0" borderId="22" xfId="0" applyNumberFormat="1" applyBorder="1"/>
    <xf numFmtId="2" fontId="1" fillId="0" borderId="1" xfId="4" applyNumberFormat="1" applyFont="1" applyFill="1" applyBorder="1"/>
    <xf numFmtId="2" fontId="1" fillId="4" borderId="1" xfId="4" applyNumberFormat="1" applyFont="1" applyFill="1" applyBorder="1"/>
    <xf numFmtId="2" fontId="1" fillId="14" borderId="1" xfId="4" applyNumberFormat="1" applyFont="1" applyFill="1" applyBorder="1"/>
    <xf numFmtId="165" fontId="1" fillId="5" borderId="1" xfId="6" applyNumberFormat="1" applyFont="1" applyFill="1" applyBorder="1"/>
    <xf numFmtId="165" fontId="1" fillId="0" borderId="1" xfId="6" applyNumberFormat="1" applyFont="1" applyFill="1" applyBorder="1" applyAlignment="1">
      <alignment horizontal="right" wrapText="1"/>
    </xf>
    <xf numFmtId="165" fontId="1" fillId="0" borderId="1" xfId="6" applyNumberFormat="1" applyFont="1" applyFill="1" applyBorder="1"/>
    <xf numFmtId="2" fontId="11" fillId="15" borderId="1" xfId="6" applyNumberFormat="1" applyFont="1" applyFill="1" applyBorder="1"/>
    <xf numFmtId="49" fontId="35" fillId="8" borderId="5" xfId="0" applyNumberFormat="1" applyFont="1" applyFill="1" applyBorder="1" applyAlignment="1">
      <alignment vertical="center" wrapText="1"/>
    </xf>
    <xf numFmtId="3" fontId="34" fillId="8" borderId="1" xfId="0" applyNumberFormat="1" applyFont="1" applyFill="1" applyBorder="1" applyAlignment="1">
      <alignment horizontal="center" vertical="center" wrapText="1"/>
    </xf>
    <xf numFmtId="3" fontId="34" fillId="8" borderId="45" xfId="0" applyNumberFormat="1" applyFont="1" applyFill="1" applyBorder="1" applyAlignment="1">
      <alignment horizontal="center" vertical="center" wrapText="1"/>
    </xf>
    <xf numFmtId="3" fontId="35" fillId="0" borderId="35" xfId="3" applyNumberFormat="1" applyFont="1" applyFill="1" applyBorder="1" applyAlignment="1">
      <alignment horizontal="right" vertical="center"/>
    </xf>
    <xf numFmtId="3" fontId="35" fillId="8" borderId="37" xfId="3" applyNumberFormat="1" applyFont="1" applyFill="1" applyBorder="1" applyAlignment="1">
      <alignment horizontal="right" vertical="center"/>
    </xf>
    <xf numFmtId="3" fontId="35" fillId="0" borderId="65" xfId="3" applyNumberFormat="1" applyFont="1" applyFill="1" applyBorder="1" applyAlignment="1">
      <alignment horizontal="right" vertical="center"/>
    </xf>
    <xf numFmtId="3" fontId="35" fillId="8" borderId="20" xfId="3" applyNumberFormat="1" applyFont="1" applyFill="1" applyBorder="1" applyAlignment="1">
      <alignment horizontal="right" vertical="center"/>
    </xf>
    <xf numFmtId="3" fontId="35" fillId="8" borderId="35" xfId="3" applyNumberFormat="1" applyFont="1" applyFill="1" applyBorder="1" applyAlignment="1">
      <alignment horizontal="right" vertical="center"/>
    </xf>
    <xf numFmtId="3" fontId="35" fillId="8" borderId="10" xfId="3" applyNumberFormat="1" applyFont="1" applyFill="1" applyBorder="1" applyAlignment="1">
      <alignment horizontal="right" vertical="center"/>
    </xf>
    <xf numFmtId="3" fontId="12" fillId="0" borderId="35" xfId="3" applyNumberFormat="1" applyFont="1" applyFill="1" applyBorder="1" applyAlignment="1">
      <alignment horizontal="right" vertical="center"/>
    </xf>
    <xf numFmtId="3" fontId="12" fillId="0" borderId="38" xfId="3" applyNumberFormat="1" applyFont="1" applyFill="1" applyBorder="1" applyAlignment="1">
      <alignment horizontal="right" vertical="center"/>
    </xf>
    <xf numFmtId="3" fontId="12" fillId="8" borderId="37" xfId="3" applyNumberFormat="1" applyFont="1" applyFill="1" applyBorder="1" applyAlignment="1">
      <alignment horizontal="right" vertical="center"/>
    </xf>
    <xf numFmtId="166" fontId="12" fillId="0" borderId="35" xfId="3" applyNumberFormat="1" applyFont="1" applyFill="1" applyBorder="1" applyAlignment="1">
      <alignment horizontal="right" vertical="center"/>
    </xf>
    <xf numFmtId="166" fontId="12" fillId="8" borderId="37" xfId="3" applyNumberFormat="1" applyFont="1" applyFill="1" applyBorder="1" applyAlignment="1">
      <alignment horizontal="right" vertical="center"/>
    </xf>
    <xf numFmtId="49" fontId="50" fillId="2" borderId="1" xfId="0" applyNumberFormat="1" applyFont="1" applyFill="1" applyBorder="1" applyAlignment="1">
      <alignment horizontal="left" vertical="center" wrapText="1"/>
    </xf>
    <xf numFmtId="49" fontId="50" fillId="2" borderId="3" xfId="0" applyNumberFormat="1" applyFont="1" applyFill="1" applyBorder="1" applyAlignment="1">
      <alignment horizontal="left" vertical="center" wrapText="1"/>
    </xf>
    <xf numFmtId="3" fontId="0" fillId="10" borderId="19" xfId="0" applyNumberFormat="1" applyFill="1" applyBorder="1"/>
    <xf numFmtId="3" fontId="0" fillId="10" borderId="1" xfId="0" applyNumberFormat="1" applyFill="1" applyBorder="1"/>
    <xf numFmtId="0" fontId="0" fillId="0" borderId="0" xfId="0" applyFill="1" applyAlignment="1">
      <alignment horizontal="left"/>
    </xf>
    <xf numFmtId="49" fontId="25" fillId="0" borderId="0" xfId="13" applyNumberFormat="1" applyFont="1" applyFill="1" applyAlignment="1" applyProtection="1">
      <alignment horizontal="left"/>
      <protection hidden="1"/>
    </xf>
    <xf numFmtId="3" fontId="26" fillId="0" borderId="0" xfId="13" applyNumberFormat="1" applyFont="1" applyAlignment="1" applyProtection="1">
      <alignment horizontal="left"/>
      <protection hidden="1"/>
    </xf>
    <xf numFmtId="49" fontId="52" fillId="0" borderId="0" xfId="13" applyNumberFormat="1" applyFont="1" applyFill="1" applyAlignment="1" applyProtection="1">
      <alignment horizontal="left"/>
      <protection hidden="1"/>
    </xf>
    <xf numFmtId="3" fontId="23" fillId="0" borderId="0" xfId="13" applyNumberFormat="1" applyFont="1" applyFill="1" applyAlignment="1" applyProtection="1">
      <alignment horizontal="left"/>
      <protection locked="0" hidden="1"/>
    </xf>
    <xf numFmtId="3" fontId="26" fillId="0" borderId="13" xfId="13" applyNumberFormat="1" applyFont="1" applyFill="1" applyBorder="1" applyAlignment="1" applyProtection="1">
      <alignment horizontal="left" vertical="top"/>
      <protection hidden="1"/>
    </xf>
    <xf numFmtId="3" fontId="26" fillId="0" borderId="13" xfId="13" applyNumberFormat="1" applyFont="1" applyBorder="1" applyAlignment="1" applyProtection="1">
      <alignment horizontal="left"/>
      <protection hidden="1"/>
    </xf>
    <xf numFmtId="3" fontId="60" fillId="13" borderId="48" xfId="0" applyNumberFormat="1" applyFont="1" applyFill="1" applyBorder="1" applyAlignment="1">
      <alignment vertical="center"/>
    </xf>
    <xf numFmtId="3" fontId="30" fillId="2" borderId="9" xfId="13" applyNumberFormat="1" applyFont="1" applyFill="1" applyBorder="1" applyProtection="1">
      <protection hidden="1"/>
    </xf>
    <xf numFmtId="3" fontId="30" fillId="2" borderId="28" xfId="13" applyNumberFormat="1" applyFont="1" applyFill="1" applyBorder="1" applyProtection="1">
      <protection hidden="1"/>
    </xf>
    <xf numFmtId="0" fontId="0" fillId="2" borderId="0" xfId="0" applyFill="1" applyBorder="1"/>
    <xf numFmtId="3" fontId="30" fillId="2" borderId="26" xfId="13" applyNumberFormat="1" applyFont="1" applyFill="1" applyBorder="1" applyProtection="1">
      <protection hidden="1"/>
    </xf>
    <xf numFmtId="3" fontId="23" fillId="2" borderId="9" xfId="13" applyNumberFormat="1" applyFont="1" applyFill="1" applyBorder="1" applyProtection="1">
      <protection hidden="1"/>
    </xf>
    <xf numFmtId="4" fontId="23" fillId="2" borderId="28" xfId="13" applyNumberFormat="1" applyFont="1" applyFill="1" applyBorder="1" applyProtection="1">
      <protection hidden="1"/>
    </xf>
    <xf numFmtId="3" fontId="23" fillId="2" borderId="28" xfId="13" applyNumberFormat="1" applyFont="1" applyFill="1" applyBorder="1" applyProtection="1">
      <protection hidden="1"/>
    </xf>
    <xf numFmtId="3" fontId="23" fillId="2" borderId="26" xfId="13" applyNumberFormat="1" applyFont="1" applyFill="1" applyBorder="1" applyProtection="1">
      <protection hidden="1"/>
    </xf>
    <xf numFmtId="0" fontId="7" fillId="2" borderId="76" xfId="0" applyFont="1" applyFill="1" applyBorder="1"/>
    <xf numFmtId="0" fontId="7" fillId="2" borderId="0" xfId="0" applyFont="1" applyFill="1" applyBorder="1"/>
    <xf numFmtId="3" fontId="6" fillId="2" borderId="54" xfId="13" applyNumberFormat="1" applyFont="1" applyFill="1" applyBorder="1" applyAlignment="1" applyProtection="1">
      <alignment horizontal="center" wrapText="1"/>
      <protection hidden="1"/>
    </xf>
    <xf numFmtId="3" fontId="6" fillId="2" borderId="15" xfId="13" applyNumberFormat="1" applyFont="1" applyFill="1" applyBorder="1" applyAlignment="1" applyProtection="1">
      <alignment horizontal="center" wrapText="1"/>
      <protection hidden="1"/>
    </xf>
    <xf numFmtId="0" fontId="7" fillId="2" borderId="14" xfId="0" applyFont="1" applyFill="1" applyBorder="1"/>
    <xf numFmtId="3" fontId="41" fillId="8" borderId="21" xfId="0" applyNumberFormat="1" applyFont="1" applyFill="1" applyBorder="1" applyAlignment="1">
      <alignment horizontal="left" vertical="center" wrapText="1"/>
    </xf>
    <xf numFmtId="3" fontId="41" fillId="0" borderId="18" xfId="0" applyNumberFormat="1" applyFont="1" applyFill="1" applyBorder="1" applyAlignment="1">
      <alignment vertical="center"/>
    </xf>
    <xf numFmtId="3" fontId="41" fillId="0" borderId="32" xfId="0" applyNumberFormat="1" applyFont="1" applyFill="1" applyBorder="1" applyAlignment="1">
      <alignment horizontal="right" vertical="center" wrapText="1"/>
    </xf>
    <xf numFmtId="3" fontId="41" fillId="0" borderId="1" xfId="0" applyNumberFormat="1" applyFont="1" applyFill="1" applyBorder="1" applyAlignment="1">
      <alignment horizontal="right" vertical="center" wrapText="1"/>
    </xf>
    <xf numFmtId="3" fontId="41" fillId="0" borderId="45" xfId="0" applyNumberFormat="1" applyFont="1" applyFill="1" applyBorder="1" applyAlignment="1">
      <alignment horizontal="right" vertical="center" wrapText="1"/>
    </xf>
    <xf numFmtId="3" fontId="41" fillId="0" borderId="18" xfId="0" applyNumberFormat="1" applyFont="1" applyFill="1" applyBorder="1" applyAlignment="1">
      <alignment horizontal="right" vertical="center" wrapText="1"/>
    </xf>
    <xf numFmtId="4" fontId="41" fillId="0" borderId="18" xfId="0" applyNumberFormat="1" applyFont="1" applyFill="1" applyBorder="1" applyAlignment="1">
      <alignment horizontal="right" vertical="center" wrapText="1"/>
    </xf>
    <xf numFmtId="3" fontId="34" fillId="8" borderId="18" xfId="0" applyNumberFormat="1" applyFont="1" applyFill="1" applyBorder="1" applyAlignment="1">
      <alignment vertical="center" wrapText="1"/>
    </xf>
    <xf numFmtId="3" fontId="35" fillId="0" borderId="9" xfId="0" applyNumberFormat="1" applyFont="1" applyFill="1" applyBorder="1" applyAlignment="1">
      <alignment vertical="center"/>
    </xf>
    <xf numFmtId="3" fontId="35" fillId="0" borderId="32" xfId="0" applyNumberFormat="1" applyFont="1" applyFill="1" applyBorder="1" applyAlignment="1">
      <alignment vertical="center"/>
    </xf>
    <xf numFmtId="3" fontId="35" fillId="0" borderId="1" xfId="0" applyNumberFormat="1" applyFont="1" applyFill="1" applyBorder="1" applyAlignment="1">
      <alignment vertical="center"/>
    </xf>
    <xf numFmtId="3" fontId="35" fillId="0" borderId="45" xfId="0" applyNumberFormat="1" applyFont="1" applyFill="1" applyBorder="1" applyAlignment="1">
      <alignment vertical="center"/>
    </xf>
    <xf numFmtId="3" fontId="34" fillId="0" borderId="18" xfId="0" applyNumberFormat="1" applyFont="1" applyFill="1" applyBorder="1" applyAlignment="1">
      <alignment vertical="center"/>
    </xf>
    <xf numFmtId="4" fontId="34" fillId="0" borderId="18" xfId="0" applyNumberFormat="1" applyFont="1" applyFill="1" applyBorder="1" applyAlignment="1">
      <alignment vertical="center"/>
    </xf>
    <xf numFmtId="3" fontId="34" fillId="8" borderId="21" xfId="0" applyNumberFormat="1" applyFont="1" applyFill="1" applyBorder="1" applyAlignment="1">
      <alignment vertical="center" wrapText="1"/>
    </xf>
    <xf numFmtId="3" fontId="34" fillId="0" borderId="32" xfId="0" applyNumberFormat="1" applyFont="1" applyFill="1" applyBorder="1" applyAlignment="1">
      <alignment vertical="center"/>
    </xf>
    <xf numFmtId="3" fontId="34" fillId="0" borderId="1" xfId="0" applyNumberFormat="1" applyFont="1" applyFill="1" applyBorder="1" applyAlignment="1">
      <alignment vertical="center"/>
    </xf>
    <xf numFmtId="3" fontId="34" fillId="0" borderId="45" xfId="0" applyNumberFormat="1" applyFont="1" applyFill="1" applyBorder="1" applyAlignment="1">
      <alignment vertical="center"/>
    </xf>
    <xf numFmtId="3" fontId="34" fillId="0" borderId="3" xfId="0" applyNumberFormat="1" applyFont="1" applyFill="1" applyBorder="1" applyAlignment="1">
      <alignment vertical="center"/>
    </xf>
    <xf numFmtId="3" fontId="35" fillId="8" borderId="21" xfId="0" applyNumberFormat="1" applyFont="1" applyFill="1" applyBorder="1" applyAlignment="1">
      <alignment vertical="center" wrapText="1"/>
    </xf>
    <xf numFmtId="3" fontId="35" fillId="0" borderId="18" xfId="0" applyNumberFormat="1" applyFont="1" applyFill="1" applyBorder="1" applyAlignment="1">
      <alignment vertical="center"/>
    </xf>
    <xf numFmtId="3" fontId="35" fillId="0" borderId="0" xfId="0" applyNumberFormat="1" applyFont="1" applyFill="1" applyBorder="1" applyAlignment="1">
      <alignment vertical="center"/>
    </xf>
    <xf numFmtId="3" fontId="35" fillId="0" borderId="3" xfId="0" applyNumberFormat="1" applyFont="1" applyFill="1" applyBorder="1" applyAlignment="1">
      <alignment vertical="center"/>
    </xf>
    <xf numFmtId="4" fontId="35" fillId="0" borderId="18" xfId="0" applyNumberFormat="1" applyFont="1" applyFill="1" applyBorder="1" applyAlignment="1">
      <alignment vertical="center"/>
    </xf>
    <xf numFmtId="3" fontId="35" fillId="8" borderId="21" xfId="0" applyNumberFormat="1" applyFont="1" applyFill="1" applyBorder="1" applyAlignment="1">
      <alignment horizontal="left" vertical="center" wrapText="1"/>
    </xf>
    <xf numFmtId="3" fontId="1" fillId="0" borderId="1" xfId="10" applyNumberFormat="1" applyFont="1" applyFill="1" applyBorder="1" applyAlignment="1">
      <alignment vertical="center"/>
    </xf>
    <xf numFmtId="3" fontId="35" fillId="0" borderId="20" xfId="0" applyNumberFormat="1" applyFont="1" applyFill="1" applyBorder="1" applyAlignment="1">
      <alignment vertical="center"/>
    </xf>
    <xf numFmtId="3" fontId="35" fillId="0" borderId="37" xfId="0" applyNumberFormat="1" applyFont="1" applyFill="1" applyBorder="1" applyAlignment="1">
      <alignment vertical="center"/>
    </xf>
    <xf numFmtId="3" fontId="35" fillId="0" borderId="35" xfId="0" applyNumberFormat="1" applyFont="1" applyFill="1" applyBorder="1" applyAlignment="1">
      <alignment vertical="center"/>
    </xf>
    <xf numFmtId="3" fontId="35" fillId="0" borderId="10" xfId="0" applyNumberFormat="1" applyFont="1" applyFill="1" applyBorder="1" applyAlignment="1">
      <alignment vertical="center"/>
    </xf>
    <xf numFmtId="3" fontId="35" fillId="0" borderId="46" xfId="0" applyNumberFormat="1" applyFont="1" applyFill="1" applyBorder="1" applyAlignment="1">
      <alignment vertical="center"/>
    </xf>
    <xf numFmtId="4" fontId="35" fillId="0" borderId="46" xfId="0" applyNumberFormat="1" applyFont="1" applyFill="1" applyBorder="1" applyAlignment="1">
      <alignment vertical="center"/>
    </xf>
    <xf numFmtId="3" fontId="35" fillId="8" borderId="75" xfId="0" applyNumberFormat="1" applyFont="1" applyFill="1" applyBorder="1" applyAlignment="1">
      <alignment vertical="center" wrapText="1"/>
    </xf>
    <xf numFmtId="3" fontId="35" fillId="0" borderId="16" xfId="0" applyNumberFormat="1" applyFont="1" applyFill="1" applyBorder="1" applyAlignment="1">
      <alignment vertical="center"/>
    </xf>
    <xf numFmtId="3" fontId="35" fillId="0" borderId="25" xfId="0" applyNumberFormat="1" applyFont="1" applyFill="1" applyBorder="1" applyAlignment="1">
      <alignment vertical="center"/>
    </xf>
    <xf numFmtId="3" fontId="35" fillId="0" borderId="22" xfId="0" applyNumberFormat="1" applyFont="1" applyFill="1" applyBorder="1" applyAlignment="1">
      <alignment vertical="center"/>
    </xf>
    <xf numFmtId="3" fontId="35" fillId="0" borderId="48" xfId="0" applyNumberFormat="1" applyFont="1" applyFill="1" applyBorder="1" applyAlignment="1">
      <alignment vertical="center"/>
    </xf>
    <xf numFmtId="3" fontId="35" fillId="0" borderId="24" xfId="0" applyNumberFormat="1" applyFont="1" applyFill="1" applyBorder="1" applyAlignment="1">
      <alignment vertical="center"/>
    </xf>
    <xf numFmtId="4" fontId="35" fillId="0" borderId="16" xfId="0" applyNumberFormat="1" applyFont="1" applyFill="1" applyBorder="1" applyAlignment="1">
      <alignment vertical="center"/>
    </xf>
    <xf numFmtId="0" fontId="41" fillId="7" borderId="20" xfId="3" applyFont="1" applyFill="1" applyBorder="1" applyAlignment="1">
      <alignment horizontal="center" vertical="center"/>
    </xf>
    <xf numFmtId="0" fontId="41" fillId="7" borderId="10" xfId="3" applyFont="1" applyFill="1" applyBorder="1" applyAlignment="1">
      <alignment horizontal="center" vertical="center"/>
    </xf>
    <xf numFmtId="0" fontId="0" fillId="9" borderId="79" xfId="0" applyFill="1" applyBorder="1" applyAlignment="1">
      <alignment horizontal="center" vertical="center" textRotation="90" wrapText="1"/>
    </xf>
    <xf numFmtId="0" fontId="0" fillId="10" borderId="18" xfId="0" applyFill="1" applyBorder="1" applyAlignment="1">
      <alignment horizontal="center" vertical="center" textRotation="90" wrapText="1"/>
    </xf>
    <xf numFmtId="0" fontId="0" fillId="9" borderId="18" xfId="0" applyFill="1" applyBorder="1" applyAlignment="1">
      <alignment horizontal="center" vertical="center" textRotation="90" wrapText="1"/>
    </xf>
    <xf numFmtId="4" fontId="33" fillId="10" borderId="2" xfId="0" applyNumberFormat="1" applyFont="1" applyFill="1" applyBorder="1"/>
    <xf numFmtId="4" fontId="33" fillId="9" borderId="30" xfId="0" applyNumberFormat="1" applyFont="1" applyFill="1" applyBorder="1"/>
    <xf numFmtId="3" fontId="0" fillId="2" borderId="1" xfId="0" applyNumberFormat="1" applyFill="1" applyBorder="1"/>
    <xf numFmtId="3" fontId="0" fillId="2" borderId="18" xfId="0" applyNumberFormat="1" applyFill="1" applyBorder="1"/>
    <xf numFmtId="3" fontId="0" fillId="2" borderId="19" xfId="0" applyNumberFormat="1" applyFill="1" applyBorder="1"/>
    <xf numFmtId="0" fontId="60" fillId="8" borderId="31" xfId="0" applyFont="1" applyFill="1" applyBorder="1" applyAlignment="1">
      <alignment vertical="center"/>
    </xf>
    <xf numFmtId="0" fontId="60" fillId="8" borderId="17" xfId="0" applyFont="1" applyFill="1" applyBorder="1" applyAlignment="1">
      <alignment horizontal="center" vertical="center" wrapText="1"/>
    </xf>
    <xf numFmtId="0" fontId="60" fillId="8" borderId="44" xfId="0" applyFont="1" applyFill="1" applyBorder="1" applyAlignment="1">
      <alignment horizontal="center" vertical="center" wrapText="1"/>
    </xf>
    <xf numFmtId="4" fontId="0" fillId="0" borderId="45" xfId="0" applyNumberFormat="1" applyBorder="1"/>
    <xf numFmtId="0" fontId="60" fillId="12" borderId="25" xfId="0" applyFont="1" applyFill="1" applyBorder="1" applyAlignment="1">
      <alignment vertical="center"/>
    </xf>
    <xf numFmtId="3" fontId="60" fillId="12" borderId="22" xfId="0" applyNumberFormat="1" applyFont="1" applyFill="1" applyBorder="1" applyAlignment="1">
      <alignment vertical="center"/>
    </xf>
    <xf numFmtId="3" fontId="60" fillId="12" borderId="48" xfId="0" applyNumberFormat="1" applyFont="1" applyFill="1" applyBorder="1" applyAlignment="1">
      <alignment vertical="center"/>
    </xf>
    <xf numFmtId="0" fontId="18" fillId="0" borderId="32" xfId="0" applyFont="1" applyBorder="1" applyAlignment="1">
      <alignment vertical="center"/>
    </xf>
    <xf numFmtId="0" fontId="18" fillId="0" borderId="32" xfId="0" applyFont="1" applyFill="1" applyBorder="1" applyAlignment="1">
      <alignment vertical="center"/>
    </xf>
    <xf numFmtId="3" fontId="56" fillId="0" borderId="1" xfId="0" applyNumberFormat="1" applyFont="1" applyFill="1" applyBorder="1" applyAlignment="1">
      <alignment vertical="center"/>
    </xf>
    <xf numFmtId="3" fontId="56" fillId="0" borderId="45" xfId="0" applyNumberFormat="1" applyFont="1" applyFill="1" applyBorder="1" applyAlignment="1">
      <alignment vertical="center"/>
    </xf>
    <xf numFmtId="0" fontId="18" fillId="0" borderId="32" xfId="0" applyFont="1" applyFill="1" applyBorder="1" applyAlignment="1">
      <alignment vertical="center" wrapText="1"/>
    </xf>
    <xf numFmtId="49" fontId="59" fillId="8" borderId="1" xfId="0" applyNumberFormat="1" applyFont="1" applyFill="1" applyBorder="1" applyAlignment="1">
      <alignment horizontal="center" vertical="center" wrapText="1"/>
    </xf>
    <xf numFmtId="49" fontId="59" fillId="2" borderId="1" xfId="0" applyNumberFormat="1" applyFont="1" applyFill="1" applyBorder="1" applyAlignment="1">
      <alignment horizontal="center" vertical="center" wrapText="1"/>
    </xf>
    <xf numFmtId="49" fontId="48" fillId="8" borderId="1" xfId="0" applyNumberFormat="1" applyFont="1" applyFill="1" applyBorder="1" applyAlignment="1">
      <alignment horizontal="center" vertical="center" wrapText="1"/>
    </xf>
    <xf numFmtId="49" fontId="50" fillId="2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3" fontId="0" fillId="0" borderId="0" xfId="0" applyNumberFormat="1" applyFill="1" applyProtection="1">
      <protection locked="0" hidden="1"/>
    </xf>
    <xf numFmtId="49" fontId="50" fillId="2" borderId="19" xfId="0" applyNumberFormat="1" applyFont="1" applyFill="1" applyBorder="1" applyAlignment="1">
      <alignment horizontal="center" vertical="center" wrapText="1"/>
    </xf>
    <xf numFmtId="3" fontId="4" fillId="0" borderId="38" xfId="0" applyNumberFormat="1" applyFont="1" applyBorder="1" applyProtection="1">
      <protection locked="0" hidden="1"/>
    </xf>
    <xf numFmtId="3" fontId="26" fillId="0" borderId="67" xfId="0" applyNumberFormat="1" applyFont="1" applyBorder="1" applyProtection="1">
      <protection hidden="1"/>
    </xf>
    <xf numFmtId="3" fontId="26" fillId="0" borderId="38" xfId="0" applyNumberFormat="1" applyFont="1" applyBorder="1" applyProtection="1">
      <protection hidden="1"/>
    </xf>
    <xf numFmtId="3" fontId="26" fillId="0" borderId="51" xfId="0" applyNumberFormat="1" applyFont="1" applyBorder="1" applyProtection="1">
      <protection hidden="1"/>
    </xf>
    <xf numFmtId="3" fontId="26" fillId="0" borderId="8" xfId="0" applyNumberFormat="1" applyFont="1" applyBorder="1" applyProtection="1">
      <protection hidden="1"/>
    </xf>
    <xf numFmtId="4" fontId="26" fillId="0" borderId="38" xfId="0" applyNumberFormat="1" applyFont="1" applyBorder="1" applyProtection="1">
      <protection hidden="1"/>
    </xf>
    <xf numFmtId="4" fontId="26" fillId="0" borderId="51" xfId="0" applyNumberFormat="1" applyFont="1" applyBorder="1" applyProtection="1">
      <protection hidden="1"/>
    </xf>
    <xf numFmtId="4" fontId="26" fillId="0" borderId="8" xfId="0" applyNumberFormat="1" applyFont="1" applyBorder="1" applyProtection="1">
      <protection hidden="1"/>
    </xf>
    <xf numFmtId="3" fontId="26" fillId="0" borderId="38" xfId="0" applyNumberFormat="1" applyFont="1" applyBorder="1" applyAlignment="1" applyProtection="1">
      <alignment horizontal="right"/>
      <protection hidden="1"/>
    </xf>
    <xf numFmtId="3" fontId="26" fillId="0" borderId="51" xfId="0" applyNumberFormat="1" applyFont="1" applyBorder="1" applyAlignment="1" applyProtection="1">
      <alignment horizontal="right"/>
      <protection hidden="1"/>
    </xf>
    <xf numFmtId="3" fontId="27" fillId="0" borderId="40" xfId="0" applyNumberFormat="1" applyFont="1" applyBorder="1" applyProtection="1">
      <protection locked="0" hidden="1"/>
    </xf>
    <xf numFmtId="3" fontId="26" fillId="0" borderId="28" xfId="0" applyNumberFormat="1" applyFont="1" applyBorder="1" applyAlignment="1" applyProtection="1">
      <alignment horizontal="right"/>
      <protection hidden="1"/>
    </xf>
    <xf numFmtId="3" fontId="30" fillId="0" borderId="85" xfId="13" applyNumberFormat="1" applyFont="1" applyBorder="1" applyProtection="1">
      <protection hidden="1"/>
    </xf>
    <xf numFmtId="3" fontId="30" fillId="0" borderId="86" xfId="13" applyNumberFormat="1" applyFont="1" applyBorder="1" applyProtection="1">
      <protection hidden="1"/>
    </xf>
    <xf numFmtId="3" fontId="30" fillId="0" borderId="87" xfId="13" applyNumberFormat="1" applyFont="1" applyBorder="1" applyProtection="1">
      <protection hidden="1"/>
    </xf>
    <xf numFmtId="4" fontId="23" fillId="2" borderId="26" xfId="13" applyNumberFormat="1" applyFont="1" applyFill="1" applyBorder="1" applyProtection="1">
      <protection hidden="1"/>
    </xf>
    <xf numFmtId="4" fontId="23" fillId="2" borderId="9" xfId="13" applyNumberFormat="1" applyFont="1" applyFill="1" applyBorder="1" applyProtection="1">
      <protection hidden="1"/>
    </xf>
    <xf numFmtId="0" fontId="0" fillId="9" borderId="2" xfId="0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0" xfId="0" applyBorder="1" applyAlignment="1">
      <alignment horizontal="center"/>
    </xf>
    <xf numFmtId="4" fontId="33" fillId="9" borderId="33" xfId="0" applyNumberFormat="1" applyFont="1" applyFill="1" applyBorder="1"/>
    <xf numFmtId="0" fontId="0" fillId="0" borderId="11" xfId="0" applyBorder="1" applyAlignment="1">
      <alignment horizontal="center"/>
    </xf>
    <xf numFmtId="0" fontId="0" fillId="9" borderId="88" xfId="0" applyFill="1" applyBorder="1" applyAlignment="1">
      <alignment horizontal="center" vertical="center" wrapText="1"/>
    </xf>
    <xf numFmtId="0" fontId="35" fillId="0" borderId="0" xfId="11" applyFont="1" applyAlignment="1">
      <alignment wrapText="1"/>
    </xf>
    <xf numFmtId="0" fontId="2" fillId="0" borderId="0" xfId="2" applyFont="1" applyFill="1" applyAlignment="1">
      <alignment wrapText="1"/>
    </xf>
    <xf numFmtId="3" fontId="27" fillId="0" borderId="77" xfId="13" applyNumberFormat="1" applyFont="1" applyFill="1" applyBorder="1" applyAlignment="1" applyProtection="1">
      <alignment horizontal="left" vertical="top"/>
      <protection hidden="1"/>
    </xf>
    <xf numFmtId="3" fontId="4" fillId="0" borderId="74" xfId="0" applyNumberFormat="1" applyFont="1" applyFill="1" applyBorder="1" applyAlignment="1" applyProtection="1">
      <alignment horizontal="left"/>
      <protection hidden="1"/>
    </xf>
    <xf numFmtId="3" fontId="26" fillId="0" borderId="65" xfId="0" applyNumberFormat="1" applyFont="1" applyFill="1" applyBorder="1" applyAlignment="1" applyProtection="1">
      <protection hidden="1"/>
    </xf>
    <xf numFmtId="3" fontId="26" fillId="0" borderId="90" xfId="0" applyNumberFormat="1" applyFont="1" applyFill="1" applyBorder="1" applyAlignment="1" applyProtection="1">
      <alignment vertical="top"/>
      <protection locked="0"/>
    </xf>
    <xf numFmtId="3" fontId="26" fillId="0" borderId="91" xfId="0" applyNumberFormat="1" applyFont="1" applyFill="1" applyBorder="1" applyAlignment="1" applyProtection="1">
      <alignment vertical="top"/>
      <protection locked="0"/>
    </xf>
    <xf numFmtId="3" fontId="26" fillId="0" borderId="69" xfId="0" applyNumberFormat="1" applyFont="1" applyBorder="1" applyAlignment="1" applyProtection="1">
      <alignment horizontal="right"/>
      <protection hidden="1"/>
    </xf>
    <xf numFmtId="3" fontId="26" fillId="0" borderId="63" xfId="0" applyNumberFormat="1" applyFont="1" applyBorder="1" applyAlignment="1" applyProtection="1">
      <alignment horizontal="right"/>
      <protection hidden="1"/>
    </xf>
    <xf numFmtId="3" fontId="26" fillId="0" borderId="92" xfId="0" applyNumberFormat="1" applyFont="1" applyFill="1" applyBorder="1" applyAlignment="1" applyProtection="1">
      <alignment vertical="top"/>
      <protection locked="0"/>
    </xf>
    <xf numFmtId="3" fontId="26" fillId="0" borderId="66" xfId="0" applyNumberFormat="1" applyFont="1" applyFill="1" applyBorder="1" applyAlignment="1" applyProtection="1">
      <alignment vertical="top"/>
      <protection locked="0"/>
    </xf>
    <xf numFmtId="3" fontId="26" fillId="0" borderId="74" xfId="0" applyNumberFormat="1" applyFont="1" applyFill="1" applyBorder="1" applyAlignment="1" applyProtection="1">
      <alignment vertical="top"/>
      <protection locked="0"/>
    </xf>
    <xf numFmtId="3" fontId="26" fillId="0" borderId="8" xfId="0" applyNumberFormat="1" applyFont="1" applyBorder="1" applyAlignment="1" applyProtection="1">
      <alignment horizontal="right"/>
      <protection hidden="1"/>
    </xf>
    <xf numFmtId="3" fontId="4" fillId="0" borderId="77" xfId="0" applyNumberFormat="1" applyFont="1" applyFill="1" applyBorder="1" applyAlignment="1" applyProtection="1">
      <alignment horizontal="left"/>
      <protection hidden="1"/>
    </xf>
    <xf numFmtId="3" fontId="26" fillId="0" borderId="66" xfId="0" applyNumberFormat="1" applyFont="1" applyFill="1" applyBorder="1" applyAlignment="1" applyProtection="1">
      <alignment horizontal="center"/>
      <protection hidden="1"/>
    </xf>
    <xf numFmtId="3" fontId="4" fillId="0" borderId="66" xfId="0" applyNumberFormat="1" applyFont="1" applyFill="1" applyBorder="1" applyAlignment="1" applyProtection="1">
      <alignment horizontal="left"/>
      <protection hidden="1"/>
    </xf>
    <xf numFmtId="3" fontId="26" fillId="0" borderId="74" xfId="0" applyNumberFormat="1" applyFont="1" applyFill="1" applyBorder="1" applyAlignment="1" applyProtection="1">
      <protection locked="0"/>
    </xf>
    <xf numFmtId="3" fontId="26" fillId="0" borderId="66" xfId="13" applyNumberFormat="1" applyFont="1" applyFill="1" applyBorder="1" applyProtection="1">
      <protection hidden="1"/>
    </xf>
    <xf numFmtId="3" fontId="27" fillId="0" borderId="77" xfId="0" applyNumberFormat="1" applyFont="1" applyFill="1" applyBorder="1" applyAlignment="1" applyProtection="1">
      <alignment horizontal="left"/>
      <protection hidden="1"/>
    </xf>
    <xf numFmtId="3" fontId="27" fillId="0" borderId="42" xfId="0" applyNumberFormat="1" applyFont="1" applyBorder="1" applyProtection="1">
      <protection locked="0" hidden="1"/>
    </xf>
    <xf numFmtId="3" fontId="7" fillId="0" borderId="73" xfId="0" applyNumberFormat="1" applyFont="1" applyFill="1" applyBorder="1" applyAlignment="1" applyProtection="1">
      <protection locked="0"/>
    </xf>
    <xf numFmtId="3" fontId="27" fillId="0" borderId="44" xfId="0" applyNumberFormat="1" applyFont="1" applyBorder="1" applyProtection="1">
      <protection locked="0" hidden="1"/>
    </xf>
    <xf numFmtId="3" fontId="8" fillId="0" borderId="65" xfId="0" applyNumberFormat="1" applyFont="1" applyFill="1" applyBorder="1" applyAlignment="1" applyProtection="1">
      <protection locked="0"/>
    </xf>
    <xf numFmtId="3" fontId="32" fillId="0" borderId="9" xfId="0" applyNumberFormat="1" applyFont="1" applyBorder="1" applyProtection="1">
      <protection hidden="1"/>
    </xf>
    <xf numFmtId="3" fontId="26" fillId="0" borderId="90" xfId="0" applyNumberFormat="1" applyFont="1" applyFill="1" applyBorder="1" applyAlignment="1" applyProtection="1">
      <alignment horizontal="left" vertical="center" wrapText="1"/>
      <protection locked="0"/>
    </xf>
    <xf numFmtId="3" fontId="26" fillId="0" borderId="91" xfId="0" applyNumberFormat="1" applyFont="1" applyFill="1" applyBorder="1" applyAlignment="1" applyProtection="1">
      <alignment wrapText="1"/>
      <protection locked="0"/>
    </xf>
    <xf numFmtId="3" fontId="26" fillId="0" borderId="66" xfId="0" applyNumberFormat="1" applyFont="1" applyFill="1" applyBorder="1" applyAlignment="1" applyProtection="1">
      <protection locked="0"/>
    </xf>
    <xf numFmtId="3" fontId="7" fillId="0" borderId="13" xfId="0" applyNumberFormat="1" applyFont="1" applyFill="1" applyBorder="1" applyAlignment="1" applyProtection="1">
      <protection locked="0"/>
    </xf>
    <xf numFmtId="0" fontId="24" fillId="0" borderId="66" xfId="13" applyFill="1" applyBorder="1" applyProtection="1">
      <protection hidden="1"/>
    </xf>
    <xf numFmtId="3" fontId="26" fillId="2" borderId="52" xfId="13" applyNumberFormat="1" applyFont="1" applyFill="1" applyBorder="1" applyProtection="1">
      <protection hidden="1"/>
    </xf>
    <xf numFmtId="3" fontId="26" fillId="2" borderId="54" xfId="13" applyNumberFormat="1" applyFont="1" applyFill="1" applyBorder="1" applyProtection="1">
      <protection hidden="1"/>
    </xf>
    <xf numFmtId="3" fontId="26" fillId="2" borderId="15" xfId="13" applyNumberFormat="1" applyFont="1" applyFill="1" applyBorder="1" applyProtection="1">
      <protection hidden="1"/>
    </xf>
    <xf numFmtId="0" fontId="0" fillId="2" borderId="14" xfId="0" applyFill="1" applyBorder="1"/>
    <xf numFmtId="49" fontId="35" fillId="8" borderId="3" xfId="0" applyNumberFormat="1" applyFont="1" applyFill="1" applyBorder="1" applyAlignment="1">
      <alignment vertical="center" wrapText="1"/>
    </xf>
    <xf numFmtId="0" fontId="0" fillId="8" borderId="4" xfId="0" applyFont="1" applyFill="1" applyBorder="1" applyAlignment="1">
      <alignment vertical="center" wrapText="1"/>
    </xf>
    <xf numFmtId="0" fontId="0" fillId="8" borderId="5" xfId="0" applyFont="1" applyFill="1" applyBorder="1" applyAlignment="1">
      <alignment vertical="center" wrapText="1"/>
    </xf>
    <xf numFmtId="49" fontId="34" fillId="8" borderId="3" xfId="0" applyNumberFormat="1" applyFont="1" applyFill="1" applyBorder="1" applyAlignment="1">
      <alignment vertical="center" wrapText="1"/>
    </xf>
    <xf numFmtId="0" fontId="33" fillId="8" borderId="4" xfId="0" applyFont="1" applyFill="1" applyBorder="1" applyAlignment="1">
      <alignment vertical="center" wrapText="1"/>
    </xf>
    <xf numFmtId="0" fontId="33" fillId="8" borderId="5" xfId="0" applyFont="1" applyFill="1" applyBorder="1" applyAlignment="1">
      <alignment vertical="center" wrapText="1"/>
    </xf>
    <xf numFmtId="49" fontId="35" fillId="8" borderId="4" xfId="0" applyNumberFormat="1" applyFont="1" applyFill="1" applyBorder="1" applyAlignment="1">
      <alignment vertical="center" wrapText="1"/>
    </xf>
    <xf numFmtId="49" fontId="35" fillId="8" borderId="5" xfId="0" applyNumberFormat="1" applyFont="1" applyFill="1" applyBorder="1" applyAlignment="1">
      <alignment vertical="center" wrapText="1"/>
    </xf>
    <xf numFmtId="3" fontId="34" fillId="8" borderId="2" xfId="0" applyNumberFormat="1" applyFont="1" applyFill="1" applyBorder="1" applyAlignment="1">
      <alignment horizontal="center" vertical="center" wrapText="1"/>
    </xf>
    <xf numFmtId="3" fontId="34" fillId="8" borderId="18" xfId="0" applyNumberFormat="1" applyFont="1" applyFill="1" applyBorder="1" applyAlignment="1">
      <alignment horizontal="center" vertical="center" wrapText="1"/>
    </xf>
    <xf numFmtId="3" fontId="34" fillId="8" borderId="73" xfId="8" applyNumberFormat="1" applyFont="1" applyFill="1" applyBorder="1" applyAlignment="1">
      <alignment horizontal="center" vertical="center"/>
    </xf>
    <xf numFmtId="3" fontId="34" fillId="8" borderId="33" xfId="8" applyNumberFormat="1" applyFont="1" applyFill="1" applyBorder="1" applyAlignment="1">
      <alignment horizontal="center" vertical="center"/>
    </xf>
    <xf numFmtId="3" fontId="34" fillId="8" borderId="34" xfId="8" applyNumberFormat="1" applyFont="1" applyFill="1" applyBorder="1" applyAlignment="1">
      <alignment horizontal="center" vertical="center"/>
    </xf>
    <xf numFmtId="3" fontId="34" fillId="8" borderId="31" xfId="8" applyNumberFormat="1" applyFont="1" applyFill="1" applyBorder="1" applyAlignment="1">
      <alignment horizontal="center" vertical="center"/>
    </xf>
    <xf numFmtId="3" fontId="34" fillId="8" borderId="17" xfId="8" applyNumberFormat="1" applyFont="1" applyFill="1" applyBorder="1" applyAlignment="1">
      <alignment horizontal="center" vertical="center"/>
    </xf>
    <xf numFmtId="3" fontId="34" fillId="8" borderId="29" xfId="8" applyNumberFormat="1" applyFont="1" applyFill="1" applyBorder="1" applyAlignment="1">
      <alignment horizontal="center" vertical="center"/>
    </xf>
    <xf numFmtId="3" fontId="34" fillId="8" borderId="44" xfId="8" applyNumberFormat="1" applyFont="1" applyFill="1" applyBorder="1" applyAlignment="1">
      <alignment horizontal="center" vertical="center"/>
    </xf>
    <xf numFmtId="3" fontId="34" fillId="8" borderId="19" xfId="0" applyNumberFormat="1" applyFont="1" applyFill="1" applyBorder="1" applyAlignment="1">
      <alignment horizontal="center" vertical="center" wrapText="1"/>
    </xf>
    <xf numFmtId="3" fontId="34" fillId="8" borderId="3" xfId="0" applyNumberFormat="1" applyFont="1" applyFill="1" applyBorder="1" applyAlignment="1">
      <alignment horizontal="center" vertical="center" wrapText="1"/>
    </xf>
    <xf numFmtId="3" fontId="34" fillId="8" borderId="4" xfId="0" applyNumberFormat="1" applyFont="1" applyFill="1" applyBorder="1" applyAlignment="1">
      <alignment horizontal="center" vertical="center" wrapText="1"/>
    </xf>
    <xf numFmtId="3" fontId="34" fillId="8" borderId="5" xfId="0" applyNumberFormat="1" applyFont="1" applyFill="1" applyBorder="1" applyAlignment="1">
      <alignment horizontal="center" vertical="center" wrapText="1"/>
    </xf>
    <xf numFmtId="3" fontId="34" fillId="8" borderId="65" xfId="0" applyNumberFormat="1" applyFont="1" applyFill="1" applyBorder="1" applyAlignment="1">
      <alignment horizontal="center" vertical="center" wrapText="1"/>
    </xf>
    <xf numFmtId="3" fontId="34" fillId="8" borderId="66" xfId="0" applyNumberFormat="1" applyFont="1" applyFill="1" applyBorder="1" applyAlignment="1">
      <alignment horizontal="center" vertical="center" wrapText="1"/>
    </xf>
    <xf numFmtId="3" fontId="34" fillId="8" borderId="1" xfId="0" applyNumberFormat="1" applyFont="1" applyFill="1" applyBorder="1" applyAlignment="1">
      <alignment horizontal="center" vertical="center" wrapText="1"/>
    </xf>
    <xf numFmtId="3" fontId="34" fillId="8" borderId="45" xfId="0" applyNumberFormat="1" applyFont="1" applyFill="1" applyBorder="1" applyAlignment="1">
      <alignment horizontal="center" vertical="center" wrapText="1"/>
    </xf>
    <xf numFmtId="0" fontId="43" fillId="0" borderId="0" xfId="12" applyFont="1" applyFill="1" applyAlignment="1">
      <alignment horizontal="left" vertical="center" wrapText="1"/>
    </xf>
    <xf numFmtId="3" fontId="35" fillId="0" borderId="35" xfId="3" applyNumberFormat="1" applyFont="1" applyFill="1" applyBorder="1" applyAlignment="1">
      <alignment horizontal="right" vertical="center"/>
    </xf>
    <xf numFmtId="3" fontId="35" fillId="0" borderId="38" xfId="3" applyNumberFormat="1" applyFont="1" applyFill="1" applyBorder="1" applyAlignment="1">
      <alignment horizontal="right" vertical="center"/>
    </xf>
    <xf numFmtId="3" fontId="35" fillId="8" borderId="20" xfId="3" applyNumberFormat="1" applyFont="1" applyFill="1" applyBorder="1" applyAlignment="1">
      <alignment horizontal="right" vertical="center"/>
    </xf>
    <xf numFmtId="3" fontId="35" fillId="8" borderId="23" xfId="3" applyNumberFormat="1" applyFont="1" applyFill="1" applyBorder="1" applyAlignment="1">
      <alignment horizontal="right" vertical="center"/>
    </xf>
    <xf numFmtId="0" fontId="34" fillId="8" borderId="21" xfId="3" applyFont="1" applyFill="1" applyBorder="1" applyAlignment="1">
      <alignment horizontal="center" vertical="center" wrapText="1"/>
    </xf>
    <xf numFmtId="0" fontId="34" fillId="8" borderId="19" xfId="3" applyFont="1" applyFill="1" applyBorder="1" applyAlignment="1">
      <alignment horizontal="center" vertical="center" wrapText="1"/>
    </xf>
    <xf numFmtId="0" fontId="34" fillId="8" borderId="35" xfId="3" applyFont="1" applyFill="1" applyBorder="1" applyAlignment="1">
      <alignment horizontal="center" vertical="center" wrapText="1"/>
    </xf>
    <xf numFmtId="0" fontId="34" fillId="8" borderId="38" xfId="3" applyFont="1" applyFill="1" applyBorder="1" applyAlignment="1">
      <alignment horizontal="center" vertical="center" wrapText="1"/>
    </xf>
    <xf numFmtId="0" fontId="34" fillId="8" borderId="20" xfId="3" applyFont="1" applyFill="1" applyBorder="1" applyAlignment="1">
      <alignment horizontal="center" vertical="center" wrapText="1"/>
    </xf>
    <xf numFmtId="0" fontId="34" fillId="8" borderId="23" xfId="3" applyFont="1" applyFill="1" applyBorder="1" applyAlignment="1">
      <alignment horizontal="center" vertical="center" wrapText="1"/>
    </xf>
    <xf numFmtId="3" fontId="35" fillId="0" borderId="46" xfId="3" applyNumberFormat="1" applyFont="1" applyFill="1" applyBorder="1" applyAlignment="1">
      <alignment horizontal="right" vertical="center"/>
    </xf>
    <xf numFmtId="3" fontId="35" fillId="0" borderId="47" xfId="3" applyNumberFormat="1" applyFont="1" applyFill="1" applyBorder="1" applyAlignment="1">
      <alignment horizontal="right" vertical="center"/>
    </xf>
    <xf numFmtId="3" fontId="35" fillId="8" borderId="35" xfId="3" applyNumberFormat="1" applyFont="1" applyFill="1" applyBorder="1" applyAlignment="1">
      <alignment horizontal="right" vertical="center"/>
    </xf>
    <xf numFmtId="3" fontId="35" fillId="8" borderId="38" xfId="3" applyNumberFormat="1" applyFont="1" applyFill="1" applyBorder="1" applyAlignment="1">
      <alignment horizontal="right" vertical="center"/>
    </xf>
    <xf numFmtId="166" fontId="12" fillId="0" borderId="35" xfId="3" applyNumberFormat="1" applyFont="1" applyFill="1" applyBorder="1" applyAlignment="1">
      <alignment horizontal="right" vertical="center"/>
    </xf>
    <xf numFmtId="166" fontId="12" fillId="0" borderId="38" xfId="3" applyNumberFormat="1" applyFont="1" applyFill="1" applyBorder="1" applyAlignment="1">
      <alignment horizontal="right" vertical="center"/>
    </xf>
    <xf numFmtId="166" fontId="12" fillId="8" borderId="37" xfId="3" applyNumberFormat="1" applyFont="1" applyFill="1" applyBorder="1" applyAlignment="1">
      <alignment horizontal="right" vertical="center"/>
    </xf>
    <xf numFmtId="166" fontId="12" fillId="8" borderId="39" xfId="3" applyNumberFormat="1" applyFont="1" applyFill="1" applyBorder="1" applyAlignment="1">
      <alignment horizontal="right" vertical="center"/>
    </xf>
    <xf numFmtId="0" fontId="34" fillId="8" borderId="5" xfId="3" applyFont="1" applyFill="1" applyBorder="1" applyAlignment="1">
      <alignment horizontal="center" vertical="center" wrapText="1"/>
    </xf>
    <xf numFmtId="0" fontId="34" fillId="8" borderId="4" xfId="3" applyFont="1" applyFill="1" applyBorder="1" applyAlignment="1">
      <alignment horizontal="center" vertical="center" wrapText="1"/>
    </xf>
    <xf numFmtId="0" fontId="34" fillId="8" borderId="36" xfId="3" applyFont="1" applyFill="1" applyBorder="1" applyAlignment="1">
      <alignment horizontal="center" vertical="center" wrapText="1"/>
    </xf>
    <xf numFmtId="0" fontId="34" fillId="8" borderId="8" xfId="3" applyFont="1" applyFill="1" applyBorder="1" applyAlignment="1">
      <alignment horizontal="center" vertical="center" wrapText="1"/>
    </xf>
    <xf numFmtId="0" fontId="34" fillId="8" borderId="37" xfId="3" applyFont="1" applyFill="1" applyBorder="1" applyAlignment="1">
      <alignment horizontal="center" vertical="center" wrapText="1"/>
    </xf>
    <xf numFmtId="0" fontId="34" fillId="8" borderId="39" xfId="3" applyFont="1" applyFill="1" applyBorder="1" applyAlignment="1">
      <alignment horizontal="center" vertical="center" wrapText="1"/>
    </xf>
    <xf numFmtId="3" fontId="12" fillId="0" borderId="35" xfId="3" applyNumberFormat="1" applyFont="1" applyFill="1" applyBorder="1" applyAlignment="1">
      <alignment horizontal="right" vertical="center"/>
    </xf>
    <xf numFmtId="3" fontId="12" fillId="0" borderId="38" xfId="3" applyNumberFormat="1" applyFont="1" applyFill="1" applyBorder="1" applyAlignment="1">
      <alignment horizontal="right" vertical="center"/>
    </xf>
    <xf numFmtId="3" fontId="12" fillId="8" borderId="37" xfId="3" applyNumberFormat="1" applyFont="1" applyFill="1" applyBorder="1" applyAlignment="1">
      <alignment horizontal="right" vertical="center"/>
    </xf>
    <xf numFmtId="3" fontId="12" fillId="8" borderId="39" xfId="3" applyNumberFormat="1" applyFont="1" applyFill="1" applyBorder="1" applyAlignment="1">
      <alignment horizontal="right" vertical="center"/>
    </xf>
    <xf numFmtId="3" fontId="35" fillId="8" borderId="10" xfId="3" applyNumberFormat="1" applyFont="1" applyFill="1" applyBorder="1" applyAlignment="1">
      <alignment horizontal="right" vertical="center"/>
    </xf>
    <xf numFmtId="3" fontId="35" fillId="8" borderId="6" xfId="3" applyNumberFormat="1" applyFont="1" applyFill="1" applyBorder="1" applyAlignment="1">
      <alignment horizontal="right" vertical="center"/>
    </xf>
    <xf numFmtId="3" fontId="35" fillId="8" borderId="37" xfId="3" applyNumberFormat="1" applyFont="1" applyFill="1" applyBorder="1" applyAlignment="1">
      <alignment horizontal="right" vertical="center"/>
    </xf>
    <xf numFmtId="3" fontId="35" fillId="8" borderId="39" xfId="3" applyNumberFormat="1" applyFont="1" applyFill="1" applyBorder="1" applyAlignment="1">
      <alignment horizontal="right" vertical="center"/>
    </xf>
    <xf numFmtId="3" fontId="35" fillId="0" borderId="65" xfId="3" applyNumberFormat="1" applyFont="1" applyFill="1" applyBorder="1" applyAlignment="1">
      <alignment horizontal="right" vertical="center"/>
    </xf>
    <xf numFmtId="3" fontId="35" fillId="0" borderId="74" xfId="3" applyNumberFormat="1" applyFont="1" applyFill="1" applyBorder="1" applyAlignment="1">
      <alignment horizontal="right" vertical="center"/>
    </xf>
    <xf numFmtId="49" fontId="50" fillId="2" borderId="3" xfId="0" applyNumberFormat="1" applyFont="1" applyFill="1" applyBorder="1" applyAlignment="1">
      <alignment horizontal="left" vertical="center" wrapText="1"/>
    </xf>
    <xf numFmtId="49" fontId="50" fillId="2" borderId="19" xfId="0" applyNumberFormat="1" applyFont="1" applyFill="1" applyBorder="1" applyAlignment="1">
      <alignment horizontal="left" vertical="center" wrapText="1"/>
    </xf>
    <xf numFmtId="49" fontId="50" fillId="8" borderId="10" xfId="0" applyNumberFormat="1" applyFont="1" applyFill="1" applyBorder="1" applyAlignment="1" applyProtection="1">
      <alignment horizontal="center" vertical="center" wrapText="1"/>
      <protection locked="0" hidden="1"/>
    </xf>
    <xf numFmtId="49" fontId="50" fillId="8" borderId="12" xfId="0" applyNumberFormat="1" applyFont="1" applyFill="1" applyBorder="1" applyAlignment="1" applyProtection="1">
      <alignment horizontal="center" vertical="center" wrapText="1"/>
      <protection locked="0" hidden="1"/>
    </xf>
    <xf numFmtId="49" fontId="50" fillId="8" borderId="49" xfId="0" applyNumberFormat="1" applyFont="1" applyFill="1" applyBorder="1" applyAlignment="1" applyProtection="1">
      <alignment horizontal="center" vertical="center" wrapText="1"/>
      <protection locked="0" hidden="1"/>
    </xf>
    <xf numFmtId="49" fontId="50" fillId="8" borderId="6" xfId="0" applyNumberFormat="1" applyFont="1" applyFill="1" applyBorder="1" applyAlignment="1" applyProtection="1">
      <alignment horizontal="center" vertical="center" wrapText="1"/>
      <protection locked="0" hidden="1"/>
    </xf>
    <xf numFmtId="49" fontId="50" fillId="8" borderId="7" xfId="0" applyNumberFormat="1" applyFont="1" applyFill="1" applyBorder="1" applyAlignment="1" applyProtection="1">
      <alignment horizontal="center" vertical="center" wrapText="1"/>
      <protection locked="0" hidden="1"/>
    </xf>
    <xf numFmtId="49" fontId="50" fillId="8" borderId="51" xfId="0" applyNumberFormat="1" applyFont="1" applyFill="1" applyBorder="1" applyAlignment="1" applyProtection="1">
      <alignment horizontal="center" vertical="center" wrapText="1"/>
      <protection locked="0" hidden="1"/>
    </xf>
    <xf numFmtId="0" fontId="47" fillId="0" borderId="0" xfId="0" applyFont="1" applyAlignment="1">
      <alignment horizontal="left" wrapText="1"/>
    </xf>
    <xf numFmtId="49" fontId="59" fillId="8" borderId="1" xfId="0" applyNumberFormat="1" applyFont="1" applyFill="1" applyBorder="1" applyAlignment="1">
      <alignment horizontal="left" vertical="center" wrapText="1"/>
    </xf>
    <xf numFmtId="49" fontId="33" fillId="8" borderId="1" xfId="0" applyNumberFormat="1" applyFont="1" applyFill="1" applyBorder="1" applyAlignment="1">
      <alignment horizontal="left" vertical="center" wrapText="1"/>
    </xf>
    <xf numFmtId="49" fontId="50" fillId="2" borderId="1" xfId="0" applyNumberFormat="1" applyFont="1" applyFill="1" applyBorder="1" applyAlignment="1">
      <alignment horizontal="left" vertical="center" wrapText="1"/>
    </xf>
    <xf numFmtId="3" fontId="5" fillId="2" borderId="72" xfId="0" applyNumberFormat="1" applyFont="1" applyFill="1" applyBorder="1" applyAlignment="1" applyProtection="1">
      <alignment horizontal="left" vertical="top" wrapText="1"/>
      <protection hidden="1"/>
    </xf>
    <xf numFmtId="3" fontId="5" fillId="2" borderId="66" xfId="0" applyNumberFormat="1" applyFont="1" applyFill="1" applyBorder="1" applyAlignment="1" applyProtection="1">
      <alignment horizontal="left" vertical="top" wrapText="1"/>
      <protection hidden="1"/>
    </xf>
    <xf numFmtId="3" fontId="5" fillId="2" borderId="13" xfId="0" applyNumberFormat="1" applyFont="1" applyFill="1" applyBorder="1" applyAlignment="1" applyProtection="1">
      <alignment horizontal="left" vertical="top" wrapText="1"/>
      <protection hidden="1"/>
    </xf>
    <xf numFmtId="3" fontId="27" fillId="2" borderId="72" xfId="13" applyNumberFormat="1" applyFont="1" applyFill="1" applyBorder="1" applyAlignment="1" applyProtection="1">
      <alignment horizontal="left" vertical="center"/>
      <protection hidden="1"/>
    </xf>
    <xf numFmtId="3" fontId="27" fillId="2" borderId="66" xfId="13" applyNumberFormat="1" applyFont="1" applyFill="1" applyBorder="1" applyAlignment="1" applyProtection="1">
      <alignment horizontal="left" vertical="center"/>
      <protection hidden="1"/>
    </xf>
    <xf numFmtId="3" fontId="27" fillId="2" borderId="13" xfId="13" applyNumberFormat="1" applyFont="1" applyFill="1" applyBorder="1" applyAlignment="1" applyProtection="1">
      <alignment horizontal="left" vertical="center"/>
      <protection hidden="1"/>
    </xf>
    <xf numFmtId="3" fontId="6" fillId="2" borderId="78" xfId="13" applyNumberFormat="1" applyFont="1" applyFill="1" applyBorder="1" applyAlignment="1" applyProtection="1">
      <alignment horizontal="left" vertical="center" wrapText="1"/>
      <protection hidden="1"/>
    </xf>
    <xf numFmtId="3" fontId="6" fillId="2" borderId="28" xfId="13" applyNumberFormat="1" applyFont="1" applyFill="1" applyBorder="1" applyAlignment="1" applyProtection="1">
      <alignment horizontal="left" vertical="center" wrapText="1"/>
      <protection hidden="1"/>
    </xf>
    <xf numFmtId="3" fontId="6" fillId="2" borderId="52" xfId="13" applyNumberFormat="1" applyFont="1" applyFill="1" applyBorder="1" applyAlignment="1" applyProtection="1">
      <alignment horizontal="left" vertical="center" wrapText="1"/>
      <protection hidden="1"/>
    </xf>
    <xf numFmtId="3" fontId="6" fillId="2" borderId="17" xfId="13" applyNumberFormat="1" applyFont="1" applyFill="1" applyBorder="1" applyAlignment="1" applyProtection="1">
      <alignment horizontal="left" vertical="top"/>
      <protection hidden="1"/>
    </xf>
    <xf numFmtId="3" fontId="6" fillId="2" borderId="44" xfId="13" applyNumberFormat="1" applyFont="1" applyFill="1" applyBorder="1" applyAlignment="1" applyProtection="1">
      <alignment horizontal="left" vertical="top"/>
      <protection hidden="1"/>
    </xf>
    <xf numFmtId="3" fontId="6" fillId="2" borderId="31" xfId="13" applyNumberFormat="1" applyFont="1" applyFill="1" applyBorder="1" applyAlignment="1" applyProtection="1">
      <alignment horizontal="center" vertical="center" wrapText="1"/>
      <protection hidden="1"/>
    </xf>
    <xf numFmtId="3" fontId="6" fillId="2" borderId="32" xfId="13" applyNumberFormat="1" applyFont="1" applyFill="1" applyBorder="1" applyAlignment="1" applyProtection="1">
      <alignment horizontal="center" vertical="center" wrapText="1"/>
      <protection hidden="1"/>
    </xf>
    <xf numFmtId="3" fontId="6" fillId="2" borderId="25" xfId="13" applyNumberFormat="1" applyFont="1" applyFill="1" applyBorder="1" applyAlignment="1" applyProtection="1">
      <alignment horizontal="center" vertical="center" wrapText="1"/>
      <protection hidden="1"/>
    </xf>
    <xf numFmtId="3" fontId="6" fillId="2" borderId="29" xfId="13" applyNumberFormat="1" applyFont="1" applyFill="1" applyBorder="1" applyAlignment="1" applyProtection="1">
      <alignment horizontal="left" vertical="center" wrapText="1"/>
      <protection hidden="1"/>
    </xf>
    <xf numFmtId="3" fontId="6" fillId="2" borderId="34" xfId="13" applyNumberFormat="1" applyFont="1" applyFill="1" applyBorder="1" applyAlignment="1" applyProtection="1">
      <alignment horizontal="left" vertical="center" wrapText="1"/>
      <protection hidden="1"/>
    </xf>
    <xf numFmtId="3" fontId="6" fillId="2" borderId="50" xfId="13" applyNumberFormat="1" applyFont="1" applyFill="1" applyBorder="1" applyAlignment="1" applyProtection="1">
      <alignment horizontal="center" wrapText="1"/>
      <protection hidden="1"/>
    </xf>
    <xf numFmtId="3" fontId="6" fillId="2" borderId="53" xfId="13" applyNumberFormat="1" applyFont="1" applyFill="1" applyBorder="1" applyAlignment="1" applyProtection="1">
      <alignment horizontal="center" wrapText="1"/>
      <protection hidden="1"/>
    </xf>
    <xf numFmtId="3" fontId="6" fillId="2" borderId="1" xfId="13" applyNumberFormat="1" applyFont="1" applyFill="1" applyBorder="1" applyAlignment="1" applyProtection="1">
      <alignment horizontal="left" wrapText="1"/>
      <protection hidden="1"/>
    </xf>
    <xf numFmtId="3" fontId="6" fillId="2" borderId="45" xfId="13" applyNumberFormat="1" applyFont="1" applyFill="1" applyBorder="1" applyAlignment="1" applyProtection="1">
      <alignment horizontal="left" wrapText="1"/>
      <protection hidden="1"/>
    </xf>
    <xf numFmtId="3" fontId="6" fillId="2" borderId="1" xfId="13" applyNumberFormat="1" applyFont="1" applyFill="1" applyBorder="1" applyAlignment="1" applyProtection="1">
      <alignment horizontal="center" vertical="center" wrapText="1"/>
      <protection hidden="1"/>
    </xf>
    <xf numFmtId="3" fontId="6" fillId="2" borderId="22" xfId="13" applyNumberFormat="1" applyFont="1" applyFill="1" applyBorder="1" applyAlignment="1" applyProtection="1">
      <alignment horizontal="center" vertical="center" wrapText="1"/>
      <protection hidden="1"/>
    </xf>
    <xf numFmtId="3" fontId="6" fillId="2" borderId="45" xfId="13" applyNumberFormat="1" applyFont="1" applyFill="1" applyBorder="1" applyAlignment="1" applyProtection="1">
      <alignment horizontal="center" vertical="center" wrapText="1"/>
      <protection hidden="1"/>
    </xf>
    <xf numFmtId="3" fontId="6" fillId="2" borderId="48" xfId="13" applyNumberFormat="1" applyFont="1" applyFill="1" applyBorder="1" applyAlignment="1" applyProtection="1">
      <alignment horizontal="center" vertical="center" wrapText="1"/>
      <protection hidden="1"/>
    </xf>
    <xf numFmtId="3" fontId="6" fillId="2" borderId="78" xfId="13" applyNumberFormat="1" applyFont="1" applyFill="1" applyBorder="1" applyAlignment="1" applyProtection="1">
      <alignment horizontal="center" vertical="center" wrapText="1"/>
      <protection hidden="1"/>
    </xf>
    <xf numFmtId="3" fontId="6" fillId="2" borderId="28" xfId="13" applyNumberFormat="1" applyFont="1" applyFill="1" applyBorder="1" applyAlignment="1" applyProtection="1">
      <alignment horizontal="center" vertical="center" wrapText="1"/>
      <protection hidden="1"/>
    </xf>
    <xf numFmtId="3" fontId="6" fillId="2" borderId="52" xfId="13" applyNumberFormat="1" applyFont="1" applyFill="1" applyBorder="1" applyAlignment="1" applyProtection="1">
      <alignment horizontal="center" vertical="center" wrapText="1"/>
      <protection hidden="1"/>
    </xf>
    <xf numFmtId="0" fontId="0" fillId="9" borderId="46" xfId="0" applyFill="1" applyBorder="1" applyAlignment="1">
      <alignment horizontal="center" vertical="center" wrapText="1"/>
    </xf>
    <xf numFmtId="0" fontId="0" fillId="9" borderId="27" xfId="0" applyFill="1" applyBorder="1" applyAlignment="1">
      <alignment horizontal="center" vertical="center" wrapText="1"/>
    </xf>
    <xf numFmtId="0" fontId="0" fillId="9" borderId="89" xfId="0" applyFill="1" applyBorder="1" applyAlignment="1">
      <alignment horizontal="center" vertical="center" wrapText="1"/>
    </xf>
    <xf numFmtId="0" fontId="0" fillId="9" borderId="46" xfId="0" applyFill="1" applyBorder="1" applyAlignment="1">
      <alignment horizontal="center" wrapText="1"/>
    </xf>
    <xf numFmtId="0" fontId="0" fillId="9" borderId="27" xfId="0" applyFill="1" applyBorder="1" applyAlignment="1">
      <alignment horizontal="center" wrapText="1"/>
    </xf>
    <xf numFmtId="0" fontId="0" fillId="9" borderId="89" xfId="0" applyFill="1" applyBorder="1" applyAlignment="1">
      <alignment horizontal="center" wrapText="1"/>
    </xf>
    <xf numFmtId="4" fontId="0" fillId="0" borderId="21" xfId="0" applyNumberFormat="1" applyBorder="1" applyAlignment="1">
      <alignment wrapText="1"/>
    </xf>
    <xf numFmtId="3" fontId="34" fillId="8" borderId="29" xfId="3" applyNumberFormat="1" applyFont="1" applyFill="1" applyBorder="1" applyAlignment="1">
      <alignment vertical="center" wrapText="1"/>
    </xf>
    <xf numFmtId="3" fontId="0" fillId="8" borderId="10" xfId="3" applyNumberFormat="1" applyFont="1" applyFill="1" applyBorder="1"/>
  </cellXfs>
  <cellStyles count="22">
    <cellStyle name="Hypertextový odkaz 2" xfId="14" xr:uid="{00000000-0005-0000-0000-000000000000}"/>
    <cellStyle name="Hypertextový odkaz 3" xfId="15" xr:uid="{00000000-0005-0000-0000-000001000000}"/>
    <cellStyle name="Normální" xfId="0" builtinId="0"/>
    <cellStyle name="Normální 2" xfId="1" xr:uid="{00000000-0005-0000-0000-000003000000}"/>
    <cellStyle name="normální 2 2" xfId="2" xr:uid="{00000000-0005-0000-0000-000004000000}"/>
    <cellStyle name="normální 2 3" xfId="16" xr:uid="{00000000-0005-0000-0000-000005000000}"/>
    <cellStyle name="normální 3" xfId="3" xr:uid="{00000000-0005-0000-0000-000006000000}"/>
    <cellStyle name="Normální 3 2" xfId="17" xr:uid="{00000000-0005-0000-0000-000007000000}"/>
    <cellStyle name="normální 4" xfId="7" xr:uid="{00000000-0005-0000-0000-000008000000}"/>
    <cellStyle name="Normální 4 2" xfId="18" xr:uid="{00000000-0005-0000-0000-000009000000}"/>
    <cellStyle name="Normální 5" xfId="19" xr:uid="{00000000-0005-0000-0000-00000A000000}"/>
    <cellStyle name="Normální 6" xfId="20" xr:uid="{00000000-0005-0000-0000-00000B000000}"/>
    <cellStyle name="Normální 7" xfId="21" xr:uid="{00000000-0005-0000-0000-00000C000000}"/>
    <cellStyle name="normální_graf za pedagogy nový" xfId="5" xr:uid="{00000000-0005-0000-0000-00000D000000}"/>
    <cellStyle name="normální_Grafy" xfId="4" xr:uid="{00000000-0005-0000-0000-00000E000000}"/>
    <cellStyle name="normální_Kapitolní sešit grafy" xfId="6" xr:uid="{00000000-0005-0000-0000-00000F000000}"/>
    <cellStyle name="normální_maketa dle zákona" xfId="11" xr:uid="{00000000-0005-0000-0000-000010000000}"/>
    <cellStyle name="normální_MF-03-příloha 4 - SR 2009(19  8  2008)" xfId="9" xr:uid="{00000000-0005-0000-0000-000011000000}"/>
    <cellStyle name="normální_Příloha č 3 vzoru rozpis dopisu" xfId="10" xr:uid="{00000000-0005-0000-0000-000012000000}"/>
    <cellStyle name="normální_výhled pro MF z 18-8-08" xfId="12" xr:uid="{00000000-0005-0000-0000-000013000000}"/>
    <cellStyle name="normální_Vzor RO" xfId="13" xr:uid="{00000000-0005-0000-0000-000014000000}"/>
    <cellStyle name="Špatně" xfId="8" builtinId="27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0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hartsheet" Target="chartsheets/sheet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chartsheet" Target="chartsheets/sheet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80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Graf č. 1 Vývoj výdajů kapitoly 333 - MŠMT v letech 2005-2020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(schválený rozpočet v mld. Kč)</a:t>
            </a:r>
          </a:p>
        </c:rich>
      </c:tx>
      <c:layout>
        <c:manualLayout>
          <c:xMode val="edge"/>
          <c:yMode val="edge"/>
          <c:x val="0.16409771194158559"/>
          <c:y val="1.4814834486330019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0"/>
      <c:depthPercent val="100"/>
      <c:rAngAx val="0"/>
    </c:view3D>
    <c:floor>
      <c:thickness val="0"/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6.0057694026636792E-2"/>
          <c:y val="0.20185185185185189"/>
          <c:w val="0.72129945316032396"/>
          <c:h val="0.70971404890178202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'data ke G'!$A$5</c:f>
              <c:strCache>
                <c:ptCount val="1"/>
                <c:pt idx="0">
                  <c:v>Regionální školství </c:v>
                </c:pt>
              </c:strCache>
            </c:strRef>
          </c:tx>
          <c:invertIfNegative val="0"/>
          <c:cat>
            <c:strRef>
              <c:f>'data ke G'!$B$4:$Q$4</c:f>
              <c:strCache>
                <c:ptCount val="16"/>
                <c:pt idx="0">
                  <c:v>r. 2005</c:v>
                </c:pt>
                <c:pt idx="1">
                  <c:v>r. 2006</c:v>
                </c:pt>
                <c:pt idx="2">
                  <c:v>r. 2007</c:v>
                </c:pt>
                <c:pt idx="3">
                  <c:v>r. 2008</c:v>
                </c:pt>
                <c:pt idx="4">
                  <c:v>r. 2009</c:v>
                </c:pt>
                <c:pt idx="5">
                  <c:v>r. 2010</c:v>
                </c:pt>
                <c:pt idx="6">
                  <c:v>r. 2011</c:v>
                </c:pt>
                <c:pt idx="7">
                  <c:v>r. 2012</c:v>
                </c:pt>
                <c:pt idx="8">
                  <c:v>r. 2013</c:v>
                </c:pt>
                <c:pt idx="9">
                  <c:v>r. 2014</c:v>
                </c:pt>
                <c:pt idx="10">
                  <c:v>r. 2015</c:v>
                </c:pt>
                <c:pt idx="11">
                  <c:v>r. 2016</c:v>
                </c:pt>
                <c:pt idx="12">
                  <c:v>r. 2017</c:v>
                </c:pt>
                <c:pt idx="13">
                  <c:v>r. 2018</c:v>
                </c:pt>
                <c:pt idx="14">
                  <c:v>r. 2019</c:v>
                </c:pt>
                <c:pt idx="15">
                  <c:v>r. 2020 </c:v>
                </c:pt>
              </c:strCache>
            </c:strRef>
          </c:cat>
          <c:val>
            <c:numRef>
              <c:f>'data ke G'!$B$5:$Q$5</c:f>
              <c:numCache>
                <c:formatCode>0.0</c:formatCode>
                <c:ptCount val="16"/>
                <c:pt idx="0">
                  <c:v>71.63000000000001</c:v>
                </c:pt>
                <c:pt idx="1">
                  <c:v>75.570000000000007</c:v>
                </c:pt>
                <c:pt idx="2">
                  <c:v>77.992000000000004</c:v>
                </c:pt>
                <c:pt idx="3">
                  <c:v>79.800000000000011</c:v>
                </c:pt>
                <c:pt idx="4">
                  <c:v>84.4</c:v>
                </c:pt>
                <c:pt idx="5">
                  <c:v>83.5</c:v>
                </c:pt>
                <c:pt idx="6">
                  <c:v>82.8</c:v>
                </c:pt>
                <c:pt idx="7">
                  <c:v>85.5</c:v>
                </c:pt>
                <c:pt idx="8">
                  <c:v>85.2</c:v>
                </c:pt>
                <c:pt idx="9">
                  <c:v>86.772999999999996</c:v>
                </c:pt>
                <c:pt idx="10">
                  <c:v>90.194000000000003</c:v>
                </c:pt>
                <c:pt idx="11" formatCode="General">
                  <c:v>94.93</c:v>
                </c:pt>
                <c:pt idx="12" formatCode="General">
                  <c:v>103.65</c:v>
                </c:pt>
                <c:pt idx="13" formatCode="0.00">
                  <c:v>120.947</c:v>
                </c:pt>
                <c:pt idx="14" formatCode="0.00">
                  <c:v>143.723127562</c:v>
                </c:pt>
                <c:pt idx="15" formatCode="0.00">
                  <c:v>161.48208391700001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CB-4BE3-BE23-6149AF705BB4}"/>
            </c:ext>
          </c:extLst>
        </c:ser>
        <c:ser>
          <c:idx val="1"/>
          <c:order val="1"/>
          <c:tx>
            <c:strRef>
              <c:f>'data ke G'!$A$6</c:f>
              <c:strCache>
                <c:ptCount val="1"/>
                <c:pt idx="0">
                  <c:v>Vysoké školy</c:v>
                </c:pt>
              </c:strCache>
            </c:strRef>
          </c:tx>
          <c:invertIfNegative val="0"/>
          <c:cat>
            <c:strRef>
              <c:f>'data ke G'!$B$4:$Q$4</c:f>
              <c:strCache>
                <c:ptCount val="16"/>
                <c:pt idx="0">
                  <c:v>r. 2005</c:v>
                </c:pt>
                <c:pt idx="1">
                  <c:v>r. 2006</c:v>
                </c:pt>
                <c:pt idx="2">
                  <c:v>r. 2007</c:v>
                </c:pt>
                <c:pt idx="3">
                  <c:v>r. 2008</c:v>
                </c:pt>
                <c:pt idx="4">
                  <c:v>r. 2009</c:v>
                </c:pt>
                <c:pt idx="5">
                  <c:v>r. 2010</c:v>
                </c:pt>
                <c:pt idx="6">
                  <c:v>r. 2011</c:v>
                </c:pt>
                <c:pt idx="7">
                  <c:v>r. 2012</c:v>
                </c:pt>
                <c:pt idx="8">
                  <c:v>r. 2013</c:v>
                </c:pt>
                <c:pt idx="9">
                  <c:v>r. 2014</c:v>
                </c:pt>
                <c:pt idx="10">
                  <c:v>r. 2015</c:v>
                </c:pt>
                <c:pt idx="11">
                  <c:v>r. 2016</c:v>
                </c:pt>
                <c:pt idx="12">
                  <c:v>r. 2017</c:v>
                </c:pt>
                <c:pt idx="13">
                  <c:v>r. 2018</c:v>
                </c:pt>
                <c:pt idx="14">
                  <c:v>r. 2019</c:v>
                </c:pt>
                <c:pt idx="15">
                  <c:v>r. 2020 </c:v>
                </c:pt>
              </c:strCache>
            </c:strRef>
          </c:cat>
          <c:val>
            <c:numRef>
              <c:f>'data ke G'!$B$6:$Q$6</c:f>
              <c:numCache>
                <c:formatCode>0.0</c:formatCode>
                <c:ptCount val="16"/>
                <c:pt idx="0">
                  <c:v>20.134</c:v>
                </c:pt>
                <c:pt idx="1">
                  <c:v>22.213000000000001</c:v>
                </c:pt>
                <c:pt idx="2">
                  <c:v>23.575999999999997</c:v>
                </c:pt>
                <c:pt idx="3">
                  <c:v>24.1</c:v>
                </c:pt>
                <c:pt idx="4">
                  <c:v>24.6</c:v>
                </c:pt>
                <c:pt idx="5">
                  <c:v>23.4</c:v>
                </c:pt>
                <c:pt idx="6">
                  <c:v>22.4</c:v>
                </c:pt>
                <c:pt idx="7">
                  <c:v>21.2</c:v>
                </c:pt>
                <c:pt idx="8">
                  <c:v>21.8</c:v>
                </c:pt>
                <c:pt idx="9">
                  <c:v>21.771000000000001</c:v>
                </c:pt>
                <c:pt idx="10">
                  <c:v>21.492000000000001</c:v>
                </c:pt>
                <c:pt idx="11" formatCode="0.00">
                  <c:v>20.38</c:v>
                </c:pt>
                <c:pt idx="12" formatCode="0.00">
                  <c:v>21.63</c:v>
                </c:pt>
                <c:pt idx="13" formatCode="0.00">
                  <c:v>24.611999999999998</c:v>
                </c:pt>
                <c:pt idx="14" formatCode="0.00">
                  <c:v>26.52867698</c:v>
                </c:pt>
                <c:pt idx="15" formatCode="0.00">
                  <c:v>27.411676979999999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CB-4BE3-BE23-6149AF705BB4}"/>
            </c:ext>
          </c:extLst>
        </c:ser>
        <c:ser>
          <c:idx val="2"/>
          <c:order val="2"/>
          <c:tx>
            <c:strRef>
              <c:f>'data ke G'!$A$7</c:f>
              <c:strCache>
                <c:ptCount val="1"/>
                <c:pt idx="0">
                  <c:v>Výzkum a vývoj (bez spolufinancovaných programů)</c:v>
                </c:pt>
              </c:strCache>
            </c:strRef>
          </c:tx>
          <c:invertIfNegative val="0"/>
          <c:cat>
            <c:strRef>
              <c:f>'data ke G'!$B$4:$Q$4</c:f>
              <c:strCache>
                <c:ptCount val="16"/>
                <c:pt idx="0">
                  <c:v>r. 2005</c:v>
                </c:pt>
                <c:pt idx="1">
                  <c:v>r. 2006</c:v>
                </c:pt>
                <c:pt idx="2">
                  <c:v>r. 2007</c:v>
                </c:pt>
                <c:pt idx="3">
                  <c:v>r. 2008</c:v>
                </c:pt>
                <c:pt idx="4">
                  <c:v>r. 2009</c:v>
                </c:pt>
                <c:pt idx="5">
                  <c:v>r. 2010</c:v>
                </c:pt>
                <c:pt idx="6">
                  <c:v>r. 2011</c:v>
                </c:pt>
                <c:pt idx="7">
                  <c:v>r. 2012</c:v>
                </c:pt>
                <c:pt idx="8">
                  <c:v>r. 2013</c:v>
                </c:pt>
                <c:pt idx="9">
                  <c:v>r. 2014</c:v>
                </c:pt>
                <c:pt idx="10">
                  <c:v>r. 2015</c:v>
                </c:pt>
                <c:pt idx="11">
                  <c:v>r. 2016</c:v>
                </c:pt>
                <c:pt idx="12">
                  <c:v>r. 2017</c:v>
                </c:pt>
                <c:pt idx="13">
                  <c:v>r. 2018</c:v>
                </c:pt>
                <c:pt idx="14">
                  <c:v>r. 2019</c:v>
                </c:pt>
                <c:pt idx="15">
                  <c:v>r. 2020 </c:v>
                </c:pt>
              </c:strCache>
            </c:strRef>
          </c:cat>
          <c:val>
            <c:numRef>
              <c:f>'data ke G'!$B$7:$Q$7</c:f>
              <c:numCache>
                <c:formatCode>0.0</c:formatCode>
                <c:ptCount val="16"/>
                <c:pt idx="0">
                  <c:v>5.4779999999999998</c:v>
                </c:pt>
                <c:pt idx="1">
                  <c:v>6.766</c:v>
                </c:pt>
                <c:pt idx="2">
                  <c:v>8.0380000000000003</c:v>
                </c:pt>
                <c:pt idx="3">
                  <c:v>8.1999999999999993</c:v>
                </c:pt>
                <c:pt idx="4">
                  <c:v>8.9</c:v>
                </c:pt>
                <c:pt idx="5">
                  <c:v>8.8999999999999986</c:v>
                </c:pt>
                <c:pt idx="6">
                  <c:v>8.6000000000000014</c:v>
                </c:pt>
                <c:pt idx="7">
                  <c:v>8.3000000000000007</c:v>
                </c:pt>
                <c:pt idx="8">
                  <c:v>8.5720000000000027</c:v>
                </c:pt>
                <c:pt idx="9">
                  <c:v>10.145</c:v>
                </c:pt>
                <c:pt idx="10">
                  <c:v>10.626999999999999</c:v>
                </c:pt>
                <c:pt idx="11" formatCode="General">
                  <c:v>11.61</c:v>
                </c:pt>
                <c:pt idx="12" formatCode="General">
                  <c:v>12.09</c:v>
                </c:pt>
                <c:pt idx="13" formatCode="0.00">
                  <c:v>13.356999999999999</c:v>
                </c:pt>
                <c:pt idx="14" formatCode="0.00">
                  <c:v>13.322397022000001</c:v>
                </c:pt>
                <c:pt idx="15" formatCode="0.00">
                  <c:v>13.857427743000001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CB-4BE3-BE23-6149AF705BB4}"/>
            </c:ext>
          </c:extLst>
        </c:ser>
        <c:ser>
          <c:idx val="3"/>
          <c:order val="3"/>
          <c:tx>
            <c:strRef>
              <c:f>'data ke G'!$A$8</c:f>
              <c:strCache>
                <c:ptCount val="1"/>
                <c:pt idx="0">
                  <c:v>Ostatní výdaje (vč. oblasti mládeže a sportu)</c:v>
                </c:pt>
              </c:strCache>
            </c:strRef>
          </c:tx>
          <c:invertIfNegative val="0"/>
          <c:cat>
            <c:strRef>
              <c:f>'data ke G'!$B$4:$Q$4</c:f>
              <c:strCache>
                <c:ptCount val="16"/>
                <c:pt idx="0">
                  <c:v>r. 2005</c:v>
                </c:pt>
                <c:pt idx="1">
                  <c:v>r. 2006</c:v>
                </c:pt>
                <c:pt idx="2">
                  <c:v>r. 2007</c:v>
                </c:pt>
                <c:pt idx="3">
                  <c:v>r. 2008</c:v>
                </c:pt>
                <c:pt idx="4">
                  <c:v>r. 2009</c:v>
                </c:pt>
                <c:pt idx="5">
                  <c:v>r. 2010</c:v>
                </c:pt>
                <c:pt idx="6">
                  <c:v>r. 2011</c:v>
                </c:pt>
                <c:pt idx="7">
                  <c:v>r. 2012</c:v>
                </c:pt>
                <c:pt idx="8">
                  <c:v>r. 2013</c:v>
                </c:pt>
                <c:pt idx="9">
                  <c:v>r. 2014</c:v>
                </c:pt>
                <c:pt idx="10">
                  <c:v>r. 2015</c:v>
                </c:pt>
                <c:pt idx="11">
                  <c:v>r. 2016</c:v>
                </c:pt>
                <c:pt idx="12">
                  <c:v>r. 2017</c:v>
                </c:pt>
                <c:pt idx="13">
                  <c:v>r. 2018</c:v>
                </c:pt>
                <c:pt idx="14">
                  <c:v>r. 2019</c:v>
                </c:pt>
                <c:pt idx="15">
                  <c:v>r. 2020 </c:v>
                </c:pt>
              </c:strCache>
            </c:strRef>
          </c:cat>
          <c:val>
            <c:numRef>
              <c:f>'data ke G'!$B$8:$Q$8</c:f>
              <c:numCache>
                <c:formatCode>0.0</c:formatCode>
                <c:ptCount val="16"/>
                <c:pt idx="0">
                  <c:v>3.5819999999999932</c:v>
                </c:pt>
                <c:pt idx="1">
                  <c:v>3.4899999999999975</c:v>
                </c:pt>
                <c:pt idx="2">
                  <c:v>4.0380000000000011</c:v>
                </c:pt>
                <c:pt idx="3">
                  <c:v>4.2106269999999908</c:v>
                </c:pt>
                <c:pt idx="4">
                  <c:v>4.143000000000006</c:v>
                </c:pt>
                <c:pt idx="5">
                  <c:v>4.2660000000000053</c:v>
                </c:pt>
                <c:pt idx="6">
                  <c:v>4.4599999999999973</c:v>
                </c:pt>
                <c:pt idx="7">
                  <c:v>4.8509999999999991</c:v>
                </c:pt>
                <c:pt idx="8">
                  <c:v>4.8400000000000043</c:v>
                </c:pt>
                <c:pt idx="9">
                  <c:v>4.762999999999991</c:v>
                </c:pt>
                <c:pt idx="10">
                  <c:v>4.8049999999999935</c:v>
                </c:pt>
                <c:pt idx="11" formatCode="General">
                  <c:v>5.65</c:v>
                </c:pt>
                <c:pt idx="12" formatCode="0.00">
                  <c:v>7.8</c:v>
                </c:pt>
                <c:pt idx="13" formatCode="0.00">
                  <c:v>7.9009999999999998</c:v>
                </c:pt>
                <c:pt idx="14" formatCode="0.00">
                  <c:v>9.5154198860000001</c:v>
                </c:pt>
                <c:pt idx="15" formatCode="0.00">
                  <c:v>9.7305112610000002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2CB-4BE3-BE23-6149AF705BB4}"/>
            </c:ext>
          </c:extLst>
        </c:ser>
        <c:ser>
          <c:idx val="4"/>
          <c:order val="4"/>
          <c:tx>
            <c:strRef>
              <c:f>'data ke G'!$A$9</c:f>
              <c:strCache>
                <c:ptCount val="1"/>
                <c:pt idx="0">
                  <c:v>Výdaje státního rozpočtu            na spolufin. programy (vč. VaV)</c:v>
                </c:pt>
              </c:strCache>
            </c:strRef>
          </c:tx>
          <c:invertIfNegative val="0"/>
          <c:cat>
            <c:strRef>
              <c:f>'data ke G'!$B$4:$Q$4</c:f>
              <c:strCache>
                <c:ptCount val="16"/>
                <c:pt idx="0">
                  <c:v>r. 2005</c:v>
                </c:pt>
                <c:pt idx="1">
                  <c:v>r. 2006</c:v>
                </c:pt>
                <c:pt idx="2">
                  <c:v>r. 2007</c:v>
                </c:pt>
                <c:pt idx="3">
                  <c:v>r. 2008</c:v>
                </c:pt>
                <c:pt idx="4">
                  <c:v>r. 2009</c:v>
                </c:pt>
                <c:pt idx="5">
                  <c:v>r. 2010</c:v>
                </c:pt>
                <c:pt idx="6">
                  <c:v>r. 2011</c:v>
                </c:pt>
                <c:pt idx="7">
                  <c:v>r. 2012</c:v>
                </c:pt>
                <c:pt idx="8">
                  <c:v>r. 2013</c:v>
                </c:pt>
                <c:pt idx="9">
                  <c:v>r. 2014</c:v>
                </c:pt>
                <c:pt idx="10">
                  <c:v>r. 2015</c:v>
                </c:pt>
                <c:pt idx="11">
                  <c:v>r. 2016</c:v>
                </c:pt>
                <c:pt idx="12">
                  <c:v>r. 2017</c:v>
                </c:pt>
                <c:pt idx="13">
                  <c:v>r. 2018</c:v>
                </c:pt>
                <c:pt idx="14">
                  <c:v>r. 2019</c:v>
                </c:pt>
                <c:pt idx="15">
                  <c:v>r. 2020 </c:v>
                </c:pt>
              </c:strCache>
            </c:strRef>
          </c:cat>
          <c:val>
            <c:numRef>
              <c:f>'data ke G'!$B$9:$Q$9</c:f>
              <c:numCache>
                <c:formatCode>0.000</c:formatCode>
                <c:ptCount val="16"/>
                <c:pt idx="0">
                  <c:v>9.4E-2</c:v>
                </c:pt>
                <c:pt idx="1">
                  <c:v>0.42899999999999999</c:v>
                </c:pt>
                <c:pt idx="2" formatCode="0.0">
                  <c:v>1.5</c:v>
                </c:pt>
                <c:pt idx="3" formatCode="0.0">
                  <c:v>2.2999999999999998</c:v>
                </c:pt>
                <c:pt idx="4" formatCode="0.0">
                  <c:v>1.802</c:v>
                </c:pt>
                <c:pt idx="5" formatCode="0.0">
                  <c:v>3.1120000000000001</c:v>
                </c:pt>
                <c:pt idx="6" formatCode="0.0">
                  <c:v>2.8</c:v>
                </c:pt>
                <c:pt idx="7" formatCode="0.0">
                  <c:v>2.9</c:v>
                </c:pt>
                <c:pt idx="8" formatCode="0.0">
                  <c:v>2.2999999999999998</c:v>
                </c:pt>
                <c:pt idx="9" formatCode="0.0">
                  <c:v>1.542</c:v>
                </c:pt>
                <c:pt idx="10" formatCode="0.0">
                  <c:v>1.6890000000000001</c:v>
                </c:pt>
                <c:pt idx="11" formatCode="0.00">
                  <c:v>1.77</c:v>
                </c:pt>
                <c:pt idx="12" formatCode="0.00">
                  <c:v>2.82</c:v>
                </c:pt>
                <c:pt idx="13" formatCode="0.00">
                  <c:v>2.1909999999999998</c:v>
                </c:pt>
                <c:pt idx="14" formatCode="0.00">
                  <c:v>2.6110581700000002</c:v>
                </c:pt>
                <c:pt idx="15" formatCode="0.00">
                  <c:v>1.7969741529999999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2CB-4BE3-BE23-6149AF705BB4}"/>
            </c:ext>
          </c:extLst>
        </c:ser>
        <c:ser>
          <c:idx val="5"/>
          <c:order val="5"/>
          <c:tx>
            <c:strRef>
              <c:f>'data ke G'!$A$10</c:f>
              <c:strCache>
                <c:ptCount val="1"/>
                <c:pt idx="0">
                  <c:v>Výdaje z rozpočtu EU a FM             na spolufin. programy vč. VaV (v rozpočtu není plný podíl prostředků z EU s výjimkou roku 2013)</c:v>
                </c:pt>
              </c:strCache>
            </c:strRef>
          </c:tx>
          <c:invertIfNegative val="0"/>
          <c:cat>
            <c:strRef>
              <c:f>'data ke G'!$B$4:$Q$4</c:f>
              <c:strCache>
                <c:ptCount val="16"/>
                <c:pt idx="0">
                  <c:v>r. 2005</c:v>
                </c:pt>
                <c:pt idx="1">
                  <c:v>r. 2006</c:v>
                </c:pt>
                <c:pt idx="2">
                  <c:v>r. 2007</c:v>
                </c:pt>
                <c:pt idx="3">
                  <c:v>r. 2008</c:v>
                </c:pt>
                <c:pt idx="4">
                  <c:v>r. 2009</c:v>
                </c:pt>
                <c:pt idx="5">
                  <c:v>r. 2010</c:v>
                </c:pt>
                <c:pt idx="6">
                  <c:v>r. 2011</c:v>
                </c:pt>
                <c:pt idx="7">
                  <c:v>r. 2012</c:v>
                </c:pt>
                <c:pt idx="8">
                  <c:v>r. 2013</c:v>
                </c:pt>
                <c:pt idx="9">
                  <c:v>r. 2014</c:v>
                </c:pt>
                <c:pt idx="10">
                  <c:v>r. 2015</c:v>
                </c:pt>
                <c:pt idx="11">
                  <c:v>r. 2016</c:v>
                </c:pt>
                <c:pt idx="12">
                  <c:v>r. 2017</c:v>
                </c:pt>
                <c:pt idx="13">
                  <c:v>r. 2018</c:v>
                </c:pt>
                <c:pt idx="14">
                  <c:v>r. 2019</c:v>
                </c:pt>
                <c:pt idx="15">
                  <c:v>r. 2020 </c:v>
                </c:pt>
              </c:strCache>
            </c:strRef>
          </c:cat>
          <c:val>
            <c:numRef>
              <c:f>'data ke G'!$B$10:$Q$10</c:f>
              <c:numCache>
                <c:formatCode>General</c:formatCode>
                <c:ptCount val="16"/>
                <c:pt idx="0" formatCode="0.000">
                  <c:v>0.28199999999999997</c:v>
                </c:pt>
                <c:pt idx="1">
                  <c:v>0.432</c:v>
                </c:pt>
                <c:pt idx="2">
                  <c:v>6.556</c:v>
                </c:pt>
                <c:pt idx="3" formatCode="0.000">
                  <c:v>0.58937299999999992</c:v>
                </c:pt>
                <c:pt idx="4" formatCode="0.0">
                  <c:v>10.455</c:v>
                </c:pt>
                <c:pt idx="5" formatCode="0.000">
                  <c:v>2.0220000000000002</c:v>
                </c:pt>
                <c:pt idx="6" formatCode="0.00">
                  <c:v>6.04</c:v>
                </c:pt>
                <c:pt idx="7" formatCode="0.0">
                  <c:v>15.1</c:v>
                </c:pt>
                <c:pt idx="8" formatCode="0.0">
                  <c:v>17.7</c:v>
                </c:pt>
                <c:pt idx="9" formatCode="0.0">
                  <c:v>12.307</c:v>
                </c:pt>
                <c:pt idx="10" formatCode="0.0">
                  <c:v>7.0970000000000004</c:v>
                </c:pt>
                <c:pt idx="11" formatCode="0.00">
                  <c:v>8.0299999999999994</c:v>
                </c:pt>
                <c:pt idx="12" formatCode="0.00">
                  <c:v>8.5399999999999991</c:v>
                </c:pt>
                <c:pt idx="13" formatCode="0.00">
                  <c:v>7.1029999999999998</c:v>
                </c:pt>
                <c:pt idx="14" formatCode="0.00">
                  <c:v>10.058486744</c:v>
                </c:pt>
                <c:pt idx="15" formatCode="0.00">
                  <c:v>12.188326256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2CB-4BE3-BE23-6149AF705B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208089968"/>
        <c:axId val="208089184"/>
        <c:axId val="0"/>
      </c:bar3DChart>
      <c:catAx>
        <c:axId val="208089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20808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089184"/>
        <c:scaling>
          <c:orientation val="minMax"/>
          <c:min val="0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20808996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127953427520644"/>
          <c:y val="0.11993236933073079"/>
          <c:w val="0.18868795955265061"/>
          <c:h val="0.81081081559577395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/>
              <a:t>Graf č. 2 Vnitřní členění rozpočtu MŠMT do výdajových bloků v roce 2020</a:t>
            </a:r>
          </a:p>
        </c:rich>
      </c:tx>
      <c:layout>
        <c:manualLayout>
          <c:xMode val="edge"/>
          <c:yMode val="edge"/>
          <c:x val="0.13347268293096601"/>
          <c:y val="2.09125969005105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2373242652844497"/>
          <c:y val="0.28194671868548077"/>
          <c:w val="0.33333333333333331"/>
          <c:h val="0.57450628366247769"/>
        </c:manualLayout>
      </c:layout>
      <c:pieChart>
        <c:varyColors val="1"/>
        <c:ser>
          <c:idx val="0"/>
          <c:order val="0"/>
          <c:tx>
            <c:strRef>
              <c:f>'data ke G'!$A$24</c:f>
              <c:strCache>
                <c:ptCount val="1"/>
                <c:pt idx="0">
                  <c:v>Rozpočet na rok 2020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1"/>
          <c:dPt>
            <c:idx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A68-4F64-A5AC-B9DC01AB0B4E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6A68-4F64-A5AC-B9DC01AB0B4E}"/>
              </c:ext>
            </c:extLst>
          </c:dPt>
          <c:dPt>
            <c:idx val="2"/>
            <c:bubble3D val="0"/>
            <c:spPr>
              <a:pattFill prst="wdUpDiag">
                <a:fgClr>
                  <a:srgbClr val="0000FF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6A68-4F64-A5AC-B9DC01AB0B4E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6A68-4F64-A5AC-B9DC01AB0B4E}"/>
              </c:ext>
            </c:extLst>
          </c:dPt>
          <c:dPt>
            <c:idx val="4"/>
            <c:bubble3D val="0"/>
            <c:spPr>
              <a:pattFill prst="smGrid">
                <a:fgClr>
                  <a:srgbClr val="660066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6A68-4F64-A5AC-B9DC01AB0B4E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6A68-4F64-A5AC-B9DC01AB0B4E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C-6A68-4F64-A5AC-B9DC01AB0B4E}"/>
              </c:ext>
            </c:extLst>
          </c:dPt>
          <c:dLbls>
            <c:dLbl>
              <c:idx val="0"/>
              <c:layout>
                <c:manualLayout>
                  <c:x val="8.5974846894138229E-2"/>
                  <c:y val="-5.915454464062719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A68-4F64-A5AC-B9DC01AB0B4E}"/>
                </c:ext>
              </c:extLst>
            </c:dLbl>
            <c:dLbl>
              <c:idx val="1"/>
              <c:layout>
                <c:manualLayout>
                  <c:x val="-4.3779090113735791E-2"/>
                  <c:y val="2.440803517154610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A68-4F64-A5AC-B9DC01AB0B4E}"/>
                </c:ext>
              </c:extLst>
            </c:dLbl>
            <c:dLbl>
              <c:idx val="2"/>
              <c:layout>
                <c:manualLayout>
                  <c:x val="-7.8398867853117116E-2"/>
                  <c:y val="0.1031224614033512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A68-4F64-A5AC-B9DC01AB0B4E}"/>
                </c:ext>
              </c:extLst>
            </c:dLbl>
            <c:dLbl>
              <c:idx val="3"/>
              <c:layout>
                <c:manualLayout>
                  <c:x val="-7.0876552748234234E-2"/>
                  <c:y val="2.549923654980390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A68-4F64-A5AC-B9DC01AB0B4E}"/>
                </c:ext>
              </c:extLst>
            </c:dLbl>
            <c:dLbl>
              <c:idx val="4"/>
              <c:layout>
                <c:manualLayout>
                  <c:x val="-1.2291472970267434E-2"/>
                  <c:y val="-5.28578984661137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A68-4F64-A5AC-B9DC01AB0B4E}"/>
                </c:ext>
              </c:extLst>
            </c:dLbl>
            <c:dLbl>
              <c:idx val="5"/>
              <c:layout>
                <c:manualLayout>
                  <c:x val="0.17504437731447092"/>
                  <c:y val="-5.73306184828162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A68-4F64-A5AC-B9DC01AB0B4E}"/>
                </c:ext>
              </c:extLst>
            </c:dLbl>
            <c:dLbl>
              <c:idx val="6"/>
              <c:layout>
                <c:manualLayout>
                  <c:x val="0.24882285940672511"/>
                  <c:y val="2.321823696088621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A68-4F64-A5AC-B9DC01AB0B4E}"/>
                </c:ext>
              </c:extLst>
            </c:dLbl>
            <c:dLbl>
              <c:idx val="7"/>
              <c:layout>
                <c:manualLayout>
                  <c:x val="0.18310826771653543"/>
                  <c:y val="1.60228445412007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A68-4F64-A5AC-B9DC01AB0B4E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'data ke G'!$B$23:$H$23</c:f>
              <c:strCache>
                <c:ptCount val="7"/>
                <c:pt idx="0">
                  <c:v>Výdaje regionálního školství a PŘO</c:v>
                </c:pt>
                <c:pt idx="1">
                  <c:v>Vysoké školy </c:v>
                </c:pt>
                <c:pt idx="2">
                  <c:v>Výzkum a vývoj                        (bez spolufinancovaných programů z EU a FM)</c:v>
                </c:pt>
                <c:pt idx="3">
                  <c:v>Mládež a sport</c:v>
                </c:pt>
                <c:pt idx="4">
                  <c:v>Výdaje z rozpočtu EU a FM na spolufinancované programy (vč. VaV)</c:v>
                </c:pt>
                <c:pt idx="5">
                  <c:v>Výdaje státního rozpočtu na spolufinancované programy (vč. VaV)</c:v>
                </c:pt>
                <c:pt idx="6">
                  <c:v>Ostatní výdaje</c:v>
                </c:pt>
              </c:strCache>
            </c:strRef>
          </c:cat>
          <c:val>
            <c:numRef>
              <c:f>'data ke G'!$B$24:$H$24</c:f>
              <c:numCache>
                <c:formatCode>0.0</c:formatCode>
                <c:ptCount val="7"/>
                <c:pt idx="0">
                  <c:v>161.48208299999999</c:v>
                </c:pt>
                <c:pt idx="1">
                  <c:v>27.411676</c:v>
                </c:pt>
                <c:pt idx="2">
                  <c:v>13.857427743000001</c:v>
                </c:pt>
                <c:pt idx="3">
                  <c:v>7.4809999999999999</c:v>
                </c:pt>
                <c:pt idx="4">
                  <c:v>1.7969740000000001</c:v>
                </c:pt>
                <c:pt idx="5">
                  <c:v>12.188326526000001</c:v>
                </c:pt>
                <c:pt idx="6">
                  <c:v>2.2495159999999998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A68-4F64-A5AC-B9DC01AB0B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900-000000000000}">
  <sheetPr/>
  <sheetViews>
    <sheetView zoomScale="90" workbookViewId="0"/>
  </sheetViews>
  <pageMargins left="0.78740157480314965" right="0.59055118110236227" top="0.9" bottom="0.98425196850393704" header="0.62" footer="0.51181102362204722"/>
  <pageSetup paperSize="9" orientation="landscape" r:id="rId1"/>
  <headerFooter alignWithMargins="0">
    <oddHeader xml:space="preserve">&amp;R&amp;"Arial,Tučné"Graf č.1                 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A00-000000000000}">
  <sheetPr/>
  <sheetViews>
    <sheetView tabSelected="1" zoomScale="91" workbookViewId="0"/>
  </sheetViews>
  <pageMargins left="0.78740157480314965" right="0.59055118110236227" top="1.3779527559055118" bottom="0.98425196850393704" header="0.98425196850393704" footer="0.51181102362204722"/>
  <pageSetup paperSize="9" orientation="landscape" r:id="rId1"/>
  <headerFooter alignWithMargins="0">
    <oddHeader>&amp;R&amp;"Arial,Tučné"Graf č.2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2167" cy="5693833"/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0.39457</cdr:x>
      <cdr:y>0.28047</cdr:y>
    </cdr:from>
    <cdr:to>
      <cdr:x>0.49684</cdr:x>
      <cdr:y>0.45039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543300" y="156210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4725" cy="5254451"/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lukesova\Local%20Settings\Temporary%20Internet%20Files\OLK3F\MF%2003%20SR-2007-p&#345;&#237;loha%204%20z&#225;kona(8.9.06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AKESK\Local%20Settings\Temporary%20Internet%20Files\OLKD1\Kapitoly\RES2005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-1"/>
      <sheetName val="313-MPSV-2"/>
      <sheetName val="314-MV-1"/>
      <sheetName val="314-MV-2"/>
      <sheetName val="315-MŽP"/>
      <sheetName val="317-MMR"/>
      <sheetName val="321-GA"/>
      <sheetName val="322-MPO"/>
      <sheetName val="327-MD"/>
      <sheetName val="328-ČTÚ"/>
      <sheetName val="329-MZe"/>
      <sheetName val="334-MK-1"/>
      <sheetName val="334-MK-2"/>
      <sheetName val="335-MZd"/>
      <sheetName val="336-MSp"/>
      <sheetName val="338-MI"/>
      <sheetName val="343-ÚOOÚ"/>
      <sheetName val="344-ÚPV"/>
      <sheetName val="345-ČSÚ"/>
      <sheetName val="346-ČÚZK"/>
      <sheetName val="348-ČBÚ"/>
      <sheetName val="349-ERÚ"/>
      <sheetName val="353-ÚOHS"/>
      <sheetName val="358-ÚS"/>
      <sheetName val="361-AV"/>
      <sheetName val="372-RRTV"/>
      <sheetName val="374-SSHR"/>
      <sheetName val="375-SÚJB"/>
      <sheetName val="381-NKÚ"/>
      <sheetName val="396-SD"/>
      <sheetName val="397-OSFA"/>
      <sheetName val="398-VP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09"/>
      <sheetName val="713"/>
      <sheetName val="721"/>
      <sheetName val="1194"/>
      <sheetName val="1628"/>
      <sheetName val="1652"/>
      <sheetName val="1660"/>
      <sheetName val="1679"/>
      <sheetName val="1708"/>
      <sheetName val="2612"/>
      <sheetName val="4626"/>
      <sheetName val="4634"/>
      <sheetName val="4642"/>
      <sheetName val="4650"/>
      <sheetName val="4669"/>
      <sheetName val="4677"/>
      <sheetName val="2719"/>
      <sheetName val="2794"/>
      <sheetName val="3703"/>
      <sheetName val="3711"/>
      <sheetName val="3754"/>
      <sheetName val="23755"/>
      <sheetName val="33750"/>
      <sheetName val="3762"/>
      <sheetName val="6605"/>
      <sheetName val="7704"/>
      <sheetName val="7712"/>
      <sheetName val="7720"/>
      <sheetName val="7798"/>
      <sheetName val="641"/>
      <sheetName val="Sumář"/>
    </sheetNames>
    <sheetDataSet>
      <sheetData sheetId="0">
        <row r="48">
          <cell r="A48" t="str">
            <v>prosinec 2005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7"/>
  <sheetViews>
    <sheetView topLeftCell="A22" workbookViewId="0">
      <selection activeCell="G72" sqref="G72"/>
    </sheetView>
  </sheetViews>
  <sheetFormatPr defaultRowHeight="12.75" x14ac:dyDescent="0.25"/>
  <cols>
    <col min="1" max="1" width="5.28515625" style="33" customWidth="1"/>
    <col min="2" max="2" width="7.7109375" style="33" customWidth="1"/>
    <col min="3" max="3" width="6.7109375" style="37" customWidth="1"/>
    <col min="4" max="4" width="90.5703125" style="33" customWidth="1"/>
    <col min="5" max="5" width="20" style="33" bestFit="1" customWidth="1"/>
    <col min="6" max="6" width="17.28515625" style="33" bestFit="1" customWidth="1"/>
    <col min="7" max="7" width="153.28515625" style="33" bestFit="1" customWidth="1"/>
    <col min="8" max="9" width="9.140625" style="33"/>
    <col min="10" max="10" width="15.85546875" style="33" bestFit="1" customWidth="1"/>
    <col min="11" max="256" width="9.140625" style="33"/>
    <col min="257" max="257" width="5.28515625" style="33" customWidth="1"/>
    <col min="258" max="258" width="7.7109375" style="33" customWidth="1"/>
    <col min="259" max="259" width="6.7109375" style="33" customWidth="1"/>
    <col min="260" max="260" width="90.5703125" style="33" customWidth="1"/>
    <col min="261" max="261" width="20" style="33" bestFit="1" customWidth="1"/>
    <col min="262" max="262" width="12.42578125" style="33" bestFit="1" customWidth="1"/>
    <col min="263" max="263" width="153.28515625" style="33" bestFit="1" customWidth="1"/>
    <col min="264" max="265" width="9.140625" style="33"/>
    <col min="266" max="266" width="15.85546875" style="33" bestFit="1" customWidth="1"/>
    <col min="267" max="512" width="9.140625" style="33"/>
    <col min="513" max="513" width="5.28515625" style="33" customWidth="1"/>
    <col min="514" max="514" width="7.7109375" style="33" customWidth="1"/>
    <col min="515" max="515" width="6.7109375" style="33" customWidth="1"/>
    <col min="516" max="516" width="90.5703125" style="33" customWidth="1"/>
    <col min="517" max="517" width="20" style="33" bestFit="1" customWidth="1"/>
    <col min="518" max="518" width="12.42578125" style="33" bestFit="1" customWidth="1"/>
    <col min="519" max="519" width="153.28515625" style="33" bestFit="1" customWidth="1"/>
    <col min="520" max="521" width="9.140625" style="33"/>
    <col min="522" max="522" width="15.85546875" style="33" bestFit="1" customWidth="1"/>
    <col min="523" max="768" width="9.140625" style="33"/>
    <col min="769" max="769" width="5.28515625" style="33" customWidth="1"/>
    <col min="770" max="770" width="7.7109375" style="33" customWidth="1"/>
    <col min="771" max="771" width="6.7109375" style="33" customWidth="1"/>
    <col min="772" max="772" width="90.5703125" style="33" customWidth="1"/>
    <col min="773" max="773" width="20" style="33" bestFit="1" customWidth="1"/>
    <col min="774" max="774" width="12.42578125" style="33" bestFit="1" customWidth="1"/>
    <col min="775" max="775" width="153.28515625" style="33" bestFit="1" customWidth="1"/>
    <col min="776" max="777" width="9.140625" style="33"/>
    <col min="778" max="778" width="15.85546875" style="33" bestFit="1" customWidth="1"/>
    <col min="779" max="1024" width="9.140625" style="33"/>
    <col min="1025" max="1025" width="5.28515625" style="33" customWidth="1"/>
    <col min="1026" max="1026" width="7.7109375" style="33" customWidth="1"/>
    <col min="1027" max="1027" width="6.7109375" style="33" customWidth="1"/>
    <col min="1028" max="1028" width="90.5703125" style="33" customWidth="1"/>
    <col min="1029" max="1029" width="20" style="33" bestFit="1" customWidth="1"/>
    <col min="1030" max="1030" width="12.42578125" style="33" bestFit="1" customWidth="1"/>
    <col min="1031" max="1031" width="153.28515625" style="33" bestFit="1" customWidth="1"/>
    <col min="1032" max="1033" width="9.140625" style="33"/>
    <col min="1034" max="1034" width="15.85546875" style="33" bestFit="1" customWidth="1"/>
    <col min="1035" max="1280" width="9.140625" style="33"/>
    <col min="1281" max="1281" width="5.28515625" style="33" customWidth="1"/>
    <col min="1282" max="1282" width="7.7109375" style="33" customWidth="1"/>
    <col min="1283" max="1283" width="6.7109375" style="33" customWidth="1"/>
    <col min="1284" max="1284" width="90.5703125" style="33" customWidth="1"/>
    <col min="1285" max="1285" width="20" style="33" bestFit="1" customWidth="1"/>
    <col min="1286" max="1286" width="12.42578125" style="33" bestFit="1" customWidth="1"/>
    <col min="1287" max="1287" width="153.28515625" style="33" bestFit="1" customWidth="1"/>
    <col min="1288" max="1289" width="9.140625" style="33"/>
    <col min="1290" max="1290" width="15.85546875" style="33" bestFit="1" customWidth="1"/>
    <col min="1291" max="1536" width="9.140625" style="33"/>
    <col min="1537" max="1537" width="5.28515625" style="33" customWidth="1"/>
    <col min="1538" max="1538" width="7.7109375" style="33" customWidth="1"/>
    <col min="1539" max="1539" width="6.7109375" style="33" customWidth="1"/>
    <col min="1540" max="1540" width="90.5703125" style="33" customWidth="1"/>
    <col min="1541" max="1541" width="20" style="33" bestFit="1" customWidth="1"/>
    <col min="1542" max="1542" width="12.42578125" style="33" bestFit="1" customWidth="1"/>
    <col min="1543" max="1543" width="153.28515625" style="33" bestFit="1" customWidth="1"/>
    <col min="1544" max="1545" width="9.140625" style="33"/>
    <col min="1546" max="1546" width="15.85546875" style="33" bestFit="1" customWidth="1"/>
    <col min="1547" max="1792" width="9.140625" style="33"/>
    <col min="1793" max="1793" width="5.28515625" style="33" customWidth="1"/>
    <col min="1794" max="1794" width="7.7109375" style="33" customWidth="1"/>
    <col min="1795" max="1795" width="6.7109375" style="33" customWidth="1"/>
    <col min="1796" max="1796" width="90.5703125" style="33" customWidth="1"/>
    <col min="1797" max="1797" width="20" style="33" bestFit="1" customWidth="1"/>
    <col min="1798" max="1798" width="12.42578125" style="33" bestFit="1" customWidth="1"/>
    <col min="1799" max="1799" width="153.28515625" style="33" bestFit="1" customWidth="1"/>
    <col min="1800" max="1801" width="9.140625" style="33"/>
    <col min="1802" max="1802" width="15.85546875" style="33" bestFit="1" customWidth="1"/>
    <col min="1803" max="2048" width="9.140625" style="33"/>
    <col min="2049" max="2049" width="5.28515625" style="33" customWidth="1"/>
    <col min="2050" max="2050" width="7.7109375" style="33" customWidth="1"/>
    <col min="2051" max="2051" width="6.7109375" style="33" customWidth="1"/>
    <col min="2052" max="2052" width="90.5703125" style="33" customWidth="1"/>
    <col min="2053" max="2053" width="20" style="33" bestFit="1" customWidth="1"/>
    <col min="2054" max="2054" width="12.42578125" style="33" bestFit="1" customWidth="1"/>
    <col min="2055" max="2055" width="153.28515625" style="33" bestFit="1" customWidth="1"/>
    <col min="2056" max="2057" width="9.140625" style="33"/>
    <col min="2058" max="2058" width="15.85546875" style="33" bestFit="1" customWidth="1"/>
    <col min="2059" max="2304" width="9.140625" style="33"/>
    <col min="2305" max="2305" width="5.28515625" style="33" customWidth="1"/>
    <col min="2306" max="2306" width="7.7109375" style="33" customWidth="1"/>
    <col min="2307" max="2307" width="6.7109375" style="33" customWidth="1"/>
    <col min="2308" max="2308" width="90.5703125" style="33" customWidth="1"/>
    <col min="2309" max="2309" width="20" style="33" bestFit="1" customWidth="1"/>
    <col min="2310" max="2310" width="12.42578125" style="33" bestFit="1" customWidth="1"/>
    <col min="2311" max="2311" width="153.28515625" style="33" bestFit="1" customWidth="1"/>
    <col min="2312" max="2313" width="9.140625" style="33"/>
    <col min="2314" max="2314" width="15.85546875" style="33" bestFit="1" customWidth="1"/>
    <col min="2315" max="2560" width="9.140625" style="33"/>
    <col min="2561" max="2561" width="5.28515625" style="33" customWidth="1"/>
    <col min="2562" max="2562" width="7.7109375" style="33" customWidth="1"/>
    <col min="2563" max="2563" width="6.7109375" style="33" customWidth="1"/>
    <col min="2564" max="2564" width="90.5703125" style="33" customWidth="1"/>
    <col min="2565" max="2565" width="20" style="33" bestFit="1" customWidth="1"/>
    <col min="2566" max="2566" width="12.42578125" style="33" bestFit="1" customWidth="1"/>
    <col min="2567" max="2567" width="153.28515625" style="33" bestFit="1" customWidth="1"/>
    <col min="2568" max="2569" width="9.140625" style="33"/>
    <col min="2570" max="2570" width="15.85546875" style="33" bestFit="1" customWidth="1"/>
    <col min="2571" max="2816" width="9.140625" style="33"/>
    <col min="2817" max="2817" width="5.28515625" style="33" customWidth="1"/>
    <col min="2818" max="2818" width="7.7109375" style="33" customWidth="1"/>
    <col min="2819" max="2819" width="6.7109375" style="33" customWidth="1"/>
    <col min="2820" max="2820" width="90.5703125" style="33" customWidth="1"/>
    <col min="2821" max="2821" width="20" style="33" bestFit="1" customWidth="1"/>
    <col min="2822" max="2822" width="12.42578125" style="33" bestFit="1" customWidth="1"/>
    <col min="2823" max="2823" width="153.28515625" style="33" bestFit="1" customWidth="1"/>
    <col min="2824" max="2825" width="9.140625" style="33"/>
    <col min="2826" max="2826" width="15.85546875" style="33" bestFit="1" customWidth="1"/>
    <col min="2827" max="3072" width="9.140625" style="33"/>
    <col min="3073" max="3073" width="5.28515625" style="33" customWidth="1"/>
    <col min="3074" max="3074" width="7.7109375" style="33" customWidth="1"/>
    <col min="3075" max="3075" width="6.7109375" style="33" customWidth="1"/>
    <col min="3076" max="3076" width="90.5703125" style="33" customWidth="1"/>
    <col min="3077" max="3077" width="20" style="33" bestFit="1" customWidth="1"/>
    <col min="3078" max="3078" width="12.42578125" style="33" bestFit="1" customWidth="1"/>
    <col min="3079" max="3079" width="153.28515625" style="33" bestFit="1" customWidth="1"/>
    <col min="3080" max="3081" width="9.140625" style="33"/>
    <col min="3082" max="3082" width="15.85546875" style="33" bestFit="1" customWidth="1"/>
    <col min="3083" max="3328" width="9.140625" style="33"/>
    <col min="3329" max="3329" width="5.28515625" style="33" customWidth="1"/>
    <col min="3330" max="3330" width="7.7109375" style="33" customWidth="1"/>
    <col min="3331" max="3331" width="6.7109375" style="33" customWidth="1"/>
    <col min="3332" max="3332" width="90.5703125" style="33" customWidth="1"/>
    <col min="3333" max="3333" width="20" style="33" bestFit="1" customWidth="1"/>
    <col min="3334" max="3334" width="12.42578125" style="33" bestFit="1" customWidth="1"/>
    <col min="3335" max="3335" width="153.28515625" style="33" bestFit="1" customWidth="1"/>
    <col min="3336" max="3337" width="9.140625" style="33"/>
    <col min="3338" max="3338" width="15.85546875" style="33" bestFit="1" customWidth="1"/>
    <col min="3339" max="3584" width="9.140625" style="33"/>
    <col min="3585" max="3585" width="5.28515625" style="33" customWidth="1"/>
    <col min="3586" max="3586" width="7.7109375" style="33" customWidth="1"/>
    <col min="3587" max="3587" width="6.7109375" style="33" customWidth="1"/>
    <col min="3588" max="3588" width="90.5703125" style="33" customWidth="1"/>
    <col min="3589" max="3589" width="20" style="33" bestFit="1" customWidth="1"/>
    <col min="3590" max="3590" width="12.42578125" style="33" bestFit="1" customWidth="1"/>
    <col min="3591" max="3591" width="153.28515625" style="33" bestFit="1" customWidth="1"/>
    <col min="3592" max="3593" width="9.140625" style="33"/>
    <col min="3594" max="3594" width="15.85546875" style="33" bestFit="1" customWidth="1"/>
    <col min="3595" max="3840" width="9.140625" style="33"/>
    <col min="3841" max="3841" width="5.28515625" style="33" customWidth="1"/>
    <col min="3842" max="3842" width="7.7109375" style="33" customWidth="1"/>
    <col min="3843" max="3843" width="6.7109375" style="33" customWidth="1"/>
    <col min="3844" max="3844" width="90.5703125" style="33" customWidth="1"/>
    <col min="3845" max="3845" width="20" style="33" bestFit="1" customWidth="1"/>
    <col min="3846" max="3846" width="12.42578125" style="33" bestFit="1" customWidth="1"/>
    <col min="3847" max="3847" width="153.28515625" style="33" bestFit="1" customWidth="1"/>
    <col min="3848" max="3849" width="9.140625" style="33"/>
    <col min="3850" max="3850" width="15.85546875" style="33" bestFit="1" customWidth="1"/>
    <col min="3851" max="4096" width="9.140625" style="33"/>
    <col min="4097" max="4097" width="5.28515625" style="33" customWidth="1"/>
    <col min="4098" max="4098" width="7.7109375" style="33" customWidth="1"/>
    <col min="4099" max="4099" width="6.7109375" style="33" customWidth="1"/>
    <col min="4100" max="4100" width="90.5703125" style="33" customWidth="1"/>
    <col min="4101" max="4101" width="20" style="33" bestFit="1" customWidth="1"/>
    <col min="4102" max="4102" width="12.42578125" style="33" bestFit="1" customWidth="1"/>
    <col min="4103" max="4103" width="153.28515625" style="33" bestFit="1" customWidth="1"/>
    <col min="4104" max="4105" width="9.140625" style="33"/>
    <col min="4106" max="4106" width="15.85546875" style="33" bestFit="1" customWidth="1"/>
    <col min="4107" max="4352" width="9.140625" style="33"/>
    <col min="4353" max="4353" width="5.28515625" style="33" customWidth="1"/>
    <col min="4354" max="4354" width="7.7109375" style="33" customWidth="1"/>
    <col min="4355" max="4355" width="6.7109375" style="33" customWidth="1"/>
    <col min="4356" max="4356" width="90.5703125" style="33" customWidth="1"/>
    <col min="4357" max="4357" width="20" style="33" bestFit="1" customWidth="1"/>
    <col min="4358" max="4358" width="12.42578125" style="33" bestFit="1" customWidth="1"/>
    <col min="4359" max="4359" width="153.28515625" style="33" bestFit="1" customWidth="1"/>
    <col min="4360" max="4361" width="9.140625" style="33"/>
    <col min="4362" max="4362" width="15.85546875" style="33" bestFit="1" customWidth="1"/>
    <col min="4363" max="4608" width="9.140625" style="33"/>
    <col min="4609" max="4609" width="5.28515625" style="33" customWidth="1"/>
    <col min="4610" max="4610" width="7.7109375" style="33" customWidth="1"/>
    <col min="4611" max="4611" width="6.7109375" style="33" customWidth="1"/>
    <col min="4612" max="4612" width="90.5703125" style="33" customWidth="1"/>
    <col min="4613" max="4613" width="20" style="33" bestFit="1" customWidth="1"/>
    <col min="4614" max="4614" width="12.42578125" style="33" bestFit="1" customWidth="1"/>
    <col min="4615" max="4615" width="153.28515625" style="33" bestFit="1" customWidth="1"/>
    <col min="4616" max="4617" width="9.140625" style="33"/>
    <col min="4618" max="4618" width="15.85546875" style="33" bestFit="1" customWidth="1"/>
    <col min="4619" max="4864" width="9.140625" style="33"/>
    <col min="4865" max="4865" width="5.28515625" style="33" customWidth="1"/>
    <col min="4866" max="4866" width="7.7109375" style="33" customWidth="1"/>
    <col min="4867" max="4867" width="6.7109375" style="33" customWidth="1"/>
    <col min="4868" max="4868" width="90.5703125" style="33" customWidth="1"/>
    <col min="4869" max="4869" width="20" style="33" bestFit="1" customWidth="1"/>
    <col min="4870" max="4870" width="12.42578125" style="33" bestFit="1" customWidth="1"/>
    <col min="4871" max="4871" width="153.28515625" style="33" bestFit="1" customWidth="1"/>
    <col min="4872" max="4873" width="9.140625" style="33"/>
    <col min="4874" max="4874" width="15.85546875" style="33" bestFit="1" customWidth="1"/>
    <col min="4875" max="5120" width="9.140625" style="33"/>
    <col min="5121" max="5121" width="5.28515625" style="33" customWidth="1"/>
    <col min="5122" max="5122" width="7.7109375" style="33" customWidth="1"/>
    <col min="5123" max="5123" width="6.7109375" style="33" customWidth="1"/>
    <col min="5124" max="5124" width="90.5703125" style="33" customWidth="1"/>
    <col min="5125" max="5125" width="20" style="33" bestFit="1" customWidth="1"/>
    <col min="5126" max="5126" width="12.42578125" style="33" bestFit="1" customWidth="1"/>
    <col min="5127" max="5127" width="153.28515625" style="33" bestFit="1" customWidth="1"/>
    <col min="5128" max="5129" width="9.140625" style="33"/>
    <col min="5130" max="5130" width="15.85546875" style="33" bestFit="1" customWidth="1"/>
    <col min="5131" max="5376" width="9.140625" style="33"/>
    <col min="5377" max="5377" width="5.28515625" style="33" customWidth="1"/>
    <col min="5378" max="5378" width="7.7109375" style="33" customWidth="1"/>
    <col min="5379" max="5379" width="6.7109375" style="33" customWidth="1"/>
    <col min="5380" max="5380" width="90.5703125" style="33" customWidth="1"/>
    <col min="5381" max="5381" width="20" style="33" bestFit="1" customWidth="1"/>
    <col min="5382" max="5382" width="12.42578125" style="33" bestFit="1" customWidth="1"/>
    <col min="5383" max="5383" width="153.28515625" style="33" bestFit="1" customWidth="1"/>
    <col min="5384" max="5385" width="9.140625" style="33"/>
    <col min="5386" max="5386" width="15.85546875" style="33" bestFit="1" customWidth="1"/>
    <col min="5387" max="5632" width="9.140625" style="33"/>
    <col min="5633" max="5633" width="5.28515625" style="33" customWidth="1"/>
    <col min="5634" max="5634" width="7.7109375" style="33" customWidth="1"/>
    <col min="5635" max="5635" width="6.7109375" style="33" customWidth="1"/>
    <col min="5636" max="5636" width="90.5703125" style="33" customWidth="1"/>
    <col min="5637" max="5637" width="20" style="33" bestFit="1" customWidth="1"/>
    <col min="5638" max="5638" width="12.42578125" style="33" bestFit="1" customWidth="1"/>
    <col min="5639" max="5639" width="153.28515625" style="33" bestFit="1" customWidth="1"/>
    <col min="5640" max="5641" width="9.140625" style="33"/>
    <col min="5642" max="5642" width="15.85546875" style="33" bestFit="1" customWidth="1"/>
    <col min="5643" max="5888" width="9.140625" style="33"/>
    <col min="5889" max="5889" width="5.28515625" style="33" customWidth="1"/>
    <col min="5890" max="5890" width="7.7109375" style="33" customWidth="1"/>
    <col min="5891" max="5891" width="6.7109375" style="33" customWidth="1"/>
    <col min="5892" max="5892" width="90.5703125" style="33" customWidth="1"/>
    <col min="5893" max="5893" width="20" style="33" bestFit="1" customWidth="1"/>
    <col min="5894" max="5894" width="12.42578125" style="33" bestFit="1" customWidth="1"/>
    <col min="5895" max="5895" width="153.28515625" style="33" bestFit="1" customWidth="1"/>
    <col min="5896" max="5897" width="9.140625" style="33"/>
    <col min="5898" max="5898" width="15.85546875" style="33" bestFit="1" customWidth="1"/>
    <col min="5899" max="6144" width="9.140625" style="33"/>
    <col min="6145" max="6145" width="5.28515625" style="33" customWidth="1"/>
    <col min="6146" max="6146" width="7.7109375" style="33" customWidth="1"/>
    <col min="6147" max="6147" width="6.7109375" style="33" customWidth="1"/>
    <col min="6148" max="6148" width="90.5703125" style="33" customWidth="1"/>
    <col min="6149" max="6149" width="20" style="33" bestFit="1" customWidth="1"/>
    <col min="6150" max="6150" width="12.42578125" style="33" bestFit="1" customWidth="1"/>
    <col min="6151" max="6151" width="153.28515625" style="33" bestFit="1" customWidth="1"/>
    <col min="6152" max="6153" width="9.140625" style="33"/>
    <col min="6154" max="6154" width="15.85546875" style="33" bestFit="1" customWidth="1"/>
    <col min="6155" max="6400" width="9.140625" style="33"/>
    <col min="6401" max="6401" width="5.28515625" style="33" customWidth="1"/>
    <col min="6402" max="6402" width="7.7109375" style="33" customWidth="1"/>
    <col min="6403" max="6403" width="6.7109375" style="33" customWidth="1"/>
    <col min="6404" max="6404" width="90.5703125" style="33" customWidth="1"/>
    <col min="6405" max="6405" width="20" style="33" bestFit="1" customWidth="1"/>
    <col min="6406" max="6406" width="12.42578125" style="33" bestFit="1" customWidth="1"/>
    <col min="6407" max="6407" width="153.28515625" style="33" bestFit="1" customWidth="1"/>
    <col min="6408" max="6409" width="9.140625" style="33"/>
    <col min="6410" max="6410" width="15.85546875" style="33" bestFit="1" customWidth="1"/>
    <col min="6411" max="6656" width="9.140625" style="33"/>
    <col min="6657" max="6657" width="5.28515625" style="33" customWidth="1"/>
    <col min="6658" max="6658" width="7.7109375" style="33" customWidth="1"/>
    <col min="6659" max="6659" width="6.7109375" style="33" customWidth="1"/>
    <col min="6660" max="6660" width="90.5703125" style="33" customWidth="1"/>
    <col min="6661" max="6661" width="20" style="33" bestFit="1" customWidth="1"/>
    <col min="6662" max="6662" width="12.42578125" style="33" bestFit="1" customWidth="1"/>
    <col min="6663" max="6663" width="153.28515625" style="33" bestFit="1" customWidth="1"/>
    <col min="6664" max="6665" width="9.140625" style="33"/>
    <col min="6666" max="6666" width="15.85546875" style="33" bestFit="1" customWidth="1"/>
    <col min="6667" max="6912" width="9.140625" style="33"/>
    <col min="6913" max="6913" width="5.28515625" style="33" customWidth="1"/>
    <col min="6914" max="6914" width="7.7109375" style="33" customWidth="1"/>
    <col min="6915" max="6915" width="6.7109375" style="33" customWidth="1"/>
    <col min="6916" max="6916" width="90.5703125" style="33" customWidth="1"/>
    <col min="6917" max="6917" width="20" style="33" bestFit="1" customWidth="1"/>
    <col min="6918" max="6918" width="12.42578125" style="33" bestFit="1" customWidth="1"/>
    <col min="6919" max="6919" width="153.28515625" style="33" bestFit="1" customWidth="1"/>
    <col min="6920" max="6921" width="9.140625" style="33"/>
    <col min="6922" max="6922" width="15.85546875" style="33" bestFit="1" customWidth="1"/>
    <col min="6923" max="7168" width="9.140625" style="33"/>
    <col min="7169" max="7169" width="5.28515625" style="33" customWidth="1"/>
    <col min="7170" max="7170" width="7.7109375" style="33" customWidth="1"/>
    <col min="7171" max="7171" width="6.7109375" style="33" customWidth="1"/>
    <col min="7172" max="7172" width="90.5703125" style="33" customWidth="1"/>
    <col min="7173" max="7173" width="20" style="33" bestFit="1" customWidth="1"/>
    <col min="7174" max="7174" width="12.42578125" style="33" bestFit="1" customWidth="1"/>
    <col min="7175" max="7175" width="153.28515625" style="33" bestFit="1" customWidth="1"/>
    <col min="7176" max="7177" width="9.140625" style="33"/>
    <col min="7178" max="7178" width="15.85546875" style="33" bestFit="1" customWidth="1"/>
    <col min="7179" max="7424" width="9.140625" style="33"/>
    <col min="7425" max="7425" width="5.28515625" style="33" customWidth="1"/>
    <col min="7426" max="7426" width="7.7109375" style="33" customWidth="1"/>
    <col min="7427" max="7427" width="6.7109375" style="33" customWidth="1"/>
    <col min="7428" max="7428" width="90.5703125" style="33" customWidth="1"/>
    <col min="7429" max="7429" width="20" style="33" bestFit="1" customWidth="1"/>
    <col min="7430" max="7430" width="12.42578125" style="33" bestFit="1" customWidth="1"/>
    <col min="7431" max="7431" width="153.28515625" style="33" bestFit="1" customWidth="1"/>
    <col min="7432" max="7433" width="9.140625" style="33"/>
    <col min="7434" max="7434" width="15.85546875" style="33" bestFit="1" customWidth="1"/>
    <col min="7435" max="7680" width="9.140625" style="33"/>
    <col min="7681" max="7681" width="5.28515625" style="33" customWidth="1"/>
    <col min="7682" max="7682" width="7.7109375" style="33" customWidth="1"/>
    <col min="7683" max="7683" width="6.7109375" style="33" customWidth="1"/>
    <col min="7684" max="7684" width="90.5703125" style="33" customWidth="1"/>
    <col min="7685" max="7685" width="20" style="33" bestFit="1" customWidth="1"/>
    <col min="7686" max="7686" width="12.42578125" style="33" bestFit="1" customWidth="1"/>
    <col min="7687" max="7687" width="153.28515625" style="33" bestFit="1" customWidth="1"/>
    <col min="7688" max="7689" width="9.140625" style="33"/>
    <col min="7690" max="7690" width="15.85546875" style="33" bestFit="1" customWidth="1"/>
    <col min="7691" max="7936" width="9.140625" style="33"/>
    <col min="7937" max="7937" width="5.28515625" style="33" customWidth="1"/>
    <col min="7938" max="7938" width="7.7109375" style="33" customWidth="1"/>
    <col min="7939" max="7939" width="6.7109375" style="33" customWidth="1"/>
    <col min="7940" max="7940" width="90.5703125" style="33" customWidth="1"/>
    <col min="7941" max="7941" width="20" style="33" bestFit="1" customWidth="1"/>
    <col min="7942" max="7942" width="12.42578125" style="33" bestFit="1" customWidth="1"/>
    <col min="7943" max="7943" width="153.28515625" style="33" bestFit="1" customWidth="1"/>
    <col min="7944" max="7945" width="9.140625" style="33"/>
    <col min="7946" max="7946" width="15.85546875" style="33" bestFit="1" customWidth="1"/>
    <col min="7947" max="8192" width="9.140625" style="33"/>
    <col min="8193" max="8193" width="5.28515625" style="33" customWidth="1"/>
    <col min="8194" max="8194" width="7.7109375" style="33" customWidth="1"/>
    <col min="8195" max="8195" width="6.7109375" style="33" customWidth="1"/>
    <col min="8196" max="8196" width="90.5703125" style="33" customWidth="1"/>
    <col min="8197" max="8197" width="20" style="33" bestFit="1" customWidth="1"/>
    <col min="8198" max="8198" width="12.42578125" style="33" bestFit="1" customWidth="1"/>
    <col min="8199" max="8199" width="153.28515625" style="33" bestFit="1" customWidth="1"/>
    <col min="8200" max="8201" width="9.140625" style="33"/>
    <col min="8202" max="8202" width="15.85546875" style="33" bestFit="1" customWidth="1"/>
    <col min="8203" max="8448" width="9.140625" style="33"/>
    <col min="8449" max="8449" width="5.28515625" style="33" customWidth="1"/>
    <col min="8450" max="8450" width="7.7109375" style="33" customWidth="1"/>
    <col min="8451" max="8451" width="6.7109375" style="33" customWidth="1"/>
    <col min="8452" max="8452" width="90.5703125" style="33" customWidth="1"/>
    <col min="8453" max="8453" width="20" style="33" bestFit="1" customWidth="1"/>
    <col min="8454" max="8454" width="12.42578125" style="33" bestFit="1" customWidth="1"/>
    <col min="8455" max="8455" width="153.28515625" style="33" bestFit="1" customWidth="1"/>
    <col min="8456" max="8457" width="9.140625" style="33"/>
    <col min="8458" max="8458" width="15.85546875" style="33" bestFit="1" customWidth="1"/>
    <col min="8459" max="8704" width="9.140625" style="33"/>
    <col min="8705" max="8705" width="5.28515625" style="33" customWidth="1"/>
    <col min="8706" max="8706" width="7.7109375" style="33" customWidth="1"/>
    <col min="8707" max="8707" width="6.7109375" style="33" customWidth="1"/>
    <col min="8708" max="8708" width="90.5703125" style="33" customWidth="1"/>
    <col min="8709" max="8709" width="20" style="33" bestFit="1" customWidth="1"/>
    <col min="8710" max="8710" width="12.42578125" style="33" bestFit="1" customWidth="1"/>
    <col min="8711" max="8711" width="153.28515625" style="33" bestFit="1" customWidth="1"/>
    <col min="8712" max="8713" width="9.140625" style="33"/>
    <col min="8714" max="8714" width="15.85546875" style="33" bestFit="1" customWidth="1"/>
    <col min="8715" max="8960" width="9.140625" style="33"/>
    <col min="8961" max="8961" width="5.28515625" style="33" customWidth="1"/>
    <col min="8962" max="8962" width="7.7109375" style="33" customWidth="1"/>
    <col min="8963" max="8963" width="6.7109375" style="33" customWidth="1"/>
    <col min="8964" max="8964" width="90.5703125" style="33" customWidth="1"/>
    <col min="8965" max="8965" width="20" style="33" bestFit="1" customWidth="1"/>
    <col min="8966" max="8966" width="12.42578125" style="33" bestFit="1" customWidth="1"/>
    <col min="8967" max="8967" width="153.28515625" style="33" bestFit="1" customWidth="1"/>
    <col min="8968" max="8969" width="9.140625" style="33"/>
    <col min="8970" max="8970" width="15.85546875" style="33" bestFit="1" customWidth="1"/>
    <col min="8971" max="9216" width="9.140625" style="33"/>
    <col min="9217" max="9217" width="5.28515625" style="33" customWidth="1"/>
    <col min="9218" max="9218" width="7.7109375" style="33" customWidth="1"/>
    <col min="9219" max="9219" width="6.7109375" style="33" customWidth="1"/>
    <col min="9220" max="9220" width="90.5703125" style="33" customWidth="1"/>
    <col min="9221" max="9221" width="20" style="33" bestFit="1" customWidth="1"/>
    <col min="9222" max="9222" width="12.42578125" style="33" bestFit="1" customWidth="1"/>
    <col min="9223" max="9223" width="153.28515625" style="33" bestFit="1" customWidth="1"/>
    <col min="9224" max="9225" width="9.140625" style="33"/>
    <col min="9226" max="9226" width="15.85546875" style="33" bestFit="1" customWidth="1"/>
    <col min="9227" max="9472" width="9.140625" style="33"/>
    <col min="9473" max="9473" width="5.28515625" style="33" customWidth="1"/>
    <col min="9474" max="9474" width="7.7109375" style="33" customWidth="1"/>
    <col min="9475" max="9475" width="6.7109375" style="33" customWidth="1"/>
    <col min="9476" max="9476" width="90.5703125" style="33" customWidth="1"/>
    <col min="9477" max="9477" width="20" style="33" bestFit="1" customWidth="1"/>
    <col min="9478" max="9478" width="12.42578125" style="33" bestFit="1" customWidth="1"/>
    <col min="9479" max="9479" width="153.28515625" style="33" bestFit="1" customWidth="1"/>
    <col min="9480" max="9481" width="9.140625" style="33"/>
    <col min="9482" max="9482" width="15.85546875" style="33" bestFit="1" customWidth="1"/>
    <col min="9483" max="9728" width="9.140625" style="33"/>
    <col min="9729" max="9729" width="5.28515625" style="33" customWidth="1"/>
    <col min="9730" max="9730" width="7.7109375" style="33" customWidth="1"/>
    <col min="9731" max="9731" width="6.7109375" style="33" customWidth="1"/>
    <col min="9732" max="9732" width="90.5703125" style="33" customWidth="1"/>
    <col min="9733" max="9733" width="20" style="33" bestFit="1" customWidth="1"/>
    <col min="9734" max="9734" width="12.42578125" style="33" bestFit="1" customWidth="1"/>
    <col min="9735" max="9735" width="153.28515625" style="33" bestFit="1" customWidth="1"/>
    <col min="9736" max="9737" width="9.140625" style="33"/>
    <col min="9738" max="9738" width="15.85546875" style="33" bestFit="1" customWidth="1"/>
    <col min="9739" max="9984" width="9.140625" style="33"/>
    <col min="9985" max="9985" width="5.28515625" style="33" customWidth="1"/>
    <col min="9986" max="9986" width="7.7109375" style="33" customWidth="1"/>
    <col min="9987" max="9987" width="6.7109375" style="33" customWidth="1"/>
    <col min="9988" max="9988" width="90.5703125" style="33" customWidth="1"/>
    <col min="9989" max="9989" width="20" style="33" bestFit="1" customWidth="1"/>
    <col min="9990" max="9990" width="12.42578125" style="33" bestFit="1" customWidth="1"/>
    <col min="9991" max="9991" width="153.28515625" style="33" bestFit="1" customWidth="1"/>
    <col min="9992" max="9993" width="9.140625" style="33"/>
    <col min="9994" max="9994" width="15.85546875" style="33" bestFit="1" customWidth="1"/>
    <col min="9995" max="10240" width="9.140625" style="33"/>
    <col min="10241" max="10241" width="5.28515625" style="33" customWidth="1"/>
    <col min="10242" max="10242" width="7.7109375" style="33" customWidth="1"/>
    <col min="10243" max="10243" width="6.7109375" style="33" customWidth="1"/>
    <col min="10244" max="10244" width="90.5703125" style="33" customWidth="1"/>
    <col min="10245" max="10245" width="20" style="33" bestFit="1" customWidth="1"/>
    <col min="10246" max="10246" width="12.42578125" style="33" bestFit="1" customWidth="1"/>
    <col min="10247" max="10247" width="153.28515625" style="33" bestFit="1" customWidth="1"/>
    <col min="10248" max="10249" width="9.140625" style="33"/>
    <col min="10250" max="10250" width="15.85546875" style="33" bestFit="1" customWidth="1"/>
    <col min="10251" max="10496" width="9.140625" style="33"/>
    <col min="10497" max="10497" width="5.28515625" style="33" customWidth="1"/>
    <col min="10498" max="10498" width="7.7109375" style="33" customWidth="1"/>
    <col min="10499" max="10499" width="6.7109375" style="33" customWidth="1"/>
    <col min="10500" max="10500" width="90.5703125" style="33" customWidth="1"/>
    <col min="10501" max="10501" width="20" style="33" bestFit="1" customWidth="1"/>
    <col min="10502" max="10502" width="12.42578125" style="33" bestFit="1" customWidth="1"/>
    <col min="10503" max="10503" width="153.28515625" style="33" bestFit="1" customWidth="1"/>
    <col min="10504" max="10505" width="9.140625" style="33"/>
    <col min="10506" max="10506" width="15.85546875" style="33" bestFit="1" customWidth="1"/>
    <col min="10507" max="10752" width="9.140625" style="33"/>
    <col min="10753" max="10753" width="5.28515625" style="33" customWidth="1"/>
    <col min="10754" max="10754" width="7.7109375" style="33" customWidth="1"/>
    <col min="10755" max="10755" width="6.7109375" style="33" customWidth="1"/>
    <col min="10756" max="10756" width="90.5703125" style="33" customWidth="1"/>
    <col min="10757" max="10757" width="20" style="33" bestFit="1" customWidth="1"/>
    <col min="10758" max="10758" width="12.42578125" style="33" bestFit="1" customWidth="1"/>
    <col min="10759" max="10759" width="153.28515625" style="33" bestFit="1" customWidth="1"/>
    <col min="10760" max="10761" width="9.140625" style="33"/>
    <col min="10762" max="10762" width="15.85546875" style="33" bestFit="1" customWidth="1"/>
    <col min="10763" max="11008" width="9.140625" style="33"/>
    <col min="11009" max="11009" width="5.28515625" style="33" customWidth="1"/>
    <col min="11010" max="11010" width="7.7109375" style="33" customWidth="1"/>
    <col min="11011" max="11011" width="6.7109375" style="33" customWidth="1"/>
    <col min="11012" max="11012" width="90.5703125" style="33" customWidth="1"/>
    <col min="11013" max="11013" width="20" style="33" bestFit="1" customWidth="1"/>
    <col min="11014" max="11014" width="12.42578125" style="33" bestFit="1" customWidth="1"/>
    <col min="11015" max="11015" width="153.28515625" style="33" bestFit="1" customWidth="1"/>
    <col min="11016" max="11017" width="9.140625" style="33"/>
    <col min="11018" max="11018" width="15.85546875" style="33" bestFit="1" customWidth="1"/>
    <col min="11019" max="11264" width="9.140625" style="33"/>
    <col min="11265" max="11265" width="5.28515625" style="33" customWidth="1"/>
    <col min="11266" max="11266" width="7.7109375" style="33" customWidth="1"/>
    <col min="11267" max="11267" width="6.7109375" style="33" customWidth="1"/>
    <col min="11268" max="11268" width="90.5703125" style="33" customWidth="1"/>
    <col min="11269" max="11269" width="20" style="33" bestFit="1" customWidth="1"/>
    <col min="11270" max="11270" width="12.42578125" style="33" bestFit="1" customWidth="1"/>
    <col min="11271" max="11271" width="153.28515625" style="33" bestFit="1" customWidth="1"/>
    <col min="11272" max="11273" width="9.140625" style="33"/>
    <col min="11274" max="11274" width="15.85546875" style="33" bestFit="1" customWidth="1"/>
    <col min="11275" max="11520" width="9.140625" style="33"/>
    <col min="11521" max="11521" width="5.28515625" style="33" customWidth="1"/>
    <col min="11522" max="11522" width="7.7109375" style="33" customWidth="1"/>
    <col min="11523" max="11523" width="6.7109375" style="33" customWidth="1"/>
    <col min="11524" max="11524" width="90.5703125" style="33" customWidth="1"/>
    <col min="11525" max="11525" width="20" style="33" bestFit="1" customWidth="1"/>
    <col min="11526" max="11526" width="12.42578125" style="33" bestFit="1" customWidth="1"/>
    <col min="11527" max="11527" width="153.28515625" style="33" bestFit="1" customWidth="1"/>
    <col min="11528" max="11529" width="9.140625" style="33"/>
    <col min="11530" max="11530" width="15.85546875" style="33" bestFit="1" customWidth="1"/>
    <col min="11531" max="11776" width="9.140625" style="33"/>
    <col min="11777" max="11777" width="5.28515625" style="33" customWidth="1"/>
    <col min="11778" max="11778" width="7.7109375" style="33" customWidth="1"/>
    <col min="11779" max="11779" width="6.7109375" style="33" customWidth="1"/>
    <col min="11780" max="11780" width="90.5703125" style="33" customWidth="1"/>
    <col min="11781" max="11781" width="20" style="33" bestFit="1" customWidth="1"/>
    <col min="11782" max="11782" width="12.42578125" style="33" bestFit="1" customWidth="1"/>
    <col min="11783" max="11783" width="153.28515625" style="33" bestFit="1" customWidth="1"/>
    <col min="11784" max="11785" width="9.140625" style="33"/>
    <col min="11786" max="11786" width="15.85546875" style="33" bestFit="1" customWidth="1"/>
    <col min="11787" max="12032" width="9.140625" style="33"/>
    <col min="12033" max="12033" width="5.28515625" style="33" customWidth="1"/>
    <col min="12034" max="12034" width="7.7109375" style="33" customWidth="1"/>
    <col min="12035" max="12035" width="6.7109375" style="33" customWidth="1"/>
    <col min="12036" max="12036" width="90.5703125" style="33" customWidth="1"/>
    <col min="12037" max="12037" width="20" style="33" bestFit="1" customWidth="1"/>
    <col min="12038" max="12038" width="12.42578125" style="33" bestFit="1" customWidth="1"/>
    <col min="12039" max="12039" width="153.28515625" style="33" bestFit="1" customWidth="1"/>
    <col min="12040" max="12041" width="9.140625" style="33"/>
    <col min="12042" max="12042" width="15.85546875" style="33" bestFit="1" customWidth="1"/>
    <col min="12043" max="12288" width="9.140625" style="33"/>
    <col min="12289" max="12289" width="5.28515625" style="33" customWidth="1"/>
    <col min="12290" max="12290" width="7.7109375" style="33" customWidth="1"/>
    <col min="12291" max="12291" width="6.7109375" style="33" customWidth="1"/>
    <col min="12292" max="12292" width="90.5703125" style="33" customWidth="1"/>
    <col min="12293" max="12293" width="20" style="33" bestFit="1" customWidth="1"/>
    <col min="12294" max="12294" width="12.42578125" style="33" bestFit="1" customWidth="1"/>
    <col min="12295" max="12295" width="153.28515625" style="33" bestFit="1" customWidth="1"/>
    <col min="12296" max="12297" width="9.140625" style="33"/>
    <col min="12298" max="12298" width="15.85546875" style="33" bestFit="1" customWidth="1"/>
    <col min="12299" max="12544" width="9.140625" style="33"/>
    <col min="12545" max="12545" width="5.28515625" style="33" customWidth="1"/>
    <col min="12546" max="12546" width="7.7109375" style="33" customWidth="1"/>
    <col min="12547" max="12547" width="6.7109375" style="33" customWidth="1"/>
    <col min="12548" max="12548" width="90.5703125" style="33" customWidth="1"/>
    <col min="12549" max="12549" width="20" style="33" bestFit="1" customWidth="1"/>
    <col min="12550" max="12550" width="12.42578125" style="33" bestFit="1" customWidth="1"/>
    <col min="12551" max="12551" width="153.28515625" style="33" bestFit="1" customWidth="1"/>
    <col min="12552" max="12553" width="9.140625" style="33"/>
    <col min="12554" max="12554" width="15.85546875" style="33" bestFit="1" customWidth="1"/>
    <col min="12555" max="12800" width="9.140625" style="33"/>
    <col min="12801" max="12801" width="5.28515625" style="33" customWidth="1"/>
    <col min="12802" max="12802" width="7.7109375" style="33" customWidth="1"/>
    <col min="12803" max="12803" width="6.7109375" style="33" customWidth="1"/>
    <col min="12804" max="12804" width="90.5703125" style="33" customWidth="1"/>
    <col min="12805" max="12805" width="20" style="33" bestFit="1" customWidth="1"/>
    <col min="12806" max="12806" width="12.42578125" style="33" bestFit="1" customWidth="1"/>
    <col min="12807" max="12807" width="153.28515625" style="33" bestFit="1" customWidth="1"/>
    <col min="12808" max="12809" width="9.140625" style="33"/>
    <col min="12810" max="12810" width="15.85546875" style="33" bestFit="1" customWidth="1"/>
    <col min="12811" max="13056" width="9.140625" style="33"/>
    <col min="13057" max="13057" width="5.28515625" style="33" customWidth="1"/>
    <col min="13058" max="13058" width="7.7109375" style="33" customWidth="1"/>
    <col min="13059" max="13059" width="6.7109375" style="33" customWidth="1"/>
    <col min="13060" max="13060" width="90.5703125" style="33" customWidth="1"/>
    <col min="13061" max="13061" width="20" style="33" bestFit="1" customWidth="1"/>
    <col min="13062" max="13062" width="12.42578125" style="33" bestFit="1" customWidth="1"/>
    <col min="13063" max="13063" width="153.28515625" style="33" bestFit="1" customWidth="1"/>
    <col min="13064" max="13065" width="9.140625" style="33"/>
    <col min="13066" max="13066" width="15.85546875" style="33" bestFit="1" customWidth="1"/>
    <col min="13067" max="13312" width="9.140625" style="33"/>
    <col min="13313" max="13313" width="5.28515625" style="33" customWidth="1"/>
    <col min="13314" max="13314" width="7.7109375" style="33" customWidth="1"/>
    <col min="13315" max="13315" width="6.7109375" style="33" customWidth="1"/>
    <col min="13316" max="13316" width="90.5703125" style="33" customWidth="1"/>
    <col min="13317" max="13317" width="20" style="33" bestFit="1" customWidth="1"/>
    <col min="13318" max="13318" width="12.42578125" style="33" bestFit="1" customWidth="1"/>
    <col min="13319" max="13319" width="153.28515625" style="33" bestFit="1" customWidth="1"/>
    <col min="13320" max="13321" width="9.140625" style="33"/>
    <col min="13322" max="13322" width="15.85546875" style="33" bestFit="1" customWidth="1"/>
    <col min="13323" max="13568" width="9.140625" style="33"/>
    <col min="13569" max="13569" width="5.28515625" style="33" customWidth="1"/>
    <col min="13570" max="13570" width="7.7109375" style="33" customWidth="1"/>
    <col min="13571" max="13571" width="6.7109375" style="33" customWidth="1"/>
    <col min="13572" max="13572" width="90.5703125" style="33" customWidth="1"/>
    <col min="13573" max="13573" width="20" style="33" bestFit="1" customWidth="1"/>
    <col min="13574" max="13574" width="12.42578125" style="33" bestFit="1" customWidth="1"/>
    <col min="13575" max="13575" width="153.28515625" style="33" bestFit="1" customWidth="1"/>
    <col min="13576" max="13577" width="9.140625" style="33"/>
    <col min="13578" max="13578" width="15.85546875" style="33" bestFit="1" customWidth="1"/>
    <col min="13579" max="13824" width="9.140625" style="33"/>
    <col min="13825" max="13825" width="5.28515625" style="33" customWidth="1"/>
    <col min="13826" max="13826" width="7.7109375" style="33" customWidth="1"/>
    <col min="13827" max="13827" width="6.7109375" style="33" customWidth="1"/>
    <col min="13828" max="13828" width="90.5703125" style="33" customWidth="1"/>
    <col min="13829" max="13829" width="20" style="33" bestFit="1" customWidth="1"/>
    <col min="13830" max="13830" width="12.42578125" style="33" bestFit="1" customWidth="1"/>
    <col min="13831" max="13831" width="153.28515625" style="33" bestFit="1" customWidth="1"/>
    <col min="13832" max="13833" width="9.140625" style="33"/>
    <col min="13834" max="13834" width="15.85546875" style="33" bestFit="1" customWidth="1"/>
    <col min="13835" max="14080" width="9.140625" style="33"/>
    <col min="14081" max="14081" width="5.28515625" style="33" customWidth="1"/>
    <col min="14082" max="14082" width="7.7109375" style="33" customWidth="1"/>
    <col min="14083" max="14083" width="6.7109375" style="33" customWidth="1"/>
    <col min="14084" max="14084" width="90.5703125" style="33" customWidth="1"/>
    <col min="14085" max="14085" width="20" style="33" bestFit="1" customWidth="1"/>
    <col min="14086" max="14086" width="12.42578125" style="33" bestFit="1" customWidth="1"/>
    <col min="14087" max="14087" width="153.28515625" style="33" bestFit="1" customWidth="1"/>
    <col min="14088" max="14089" width="9.140625" style="33"/>
    <col min="14090" max="14090" width="15.85546875" style="33" bestFit="1" customWidth="1"/>
    <col min="14091" max="14336" width="9.140625" style="33"/>
    <col min="14337" max="14337" width="5.28515625" style="33" customWidth="1"/>
    <col min="14338" max="14338" width="7.7109375" style="33" customWidth="1"/>
    <col min="14339" max="14339" width="6.7109375" style="33" customWidth="1"/>
    <col min="14340" max="14340" width="90.5703125" style="33" customWidth="1"/>
    <col min="14341" max="14341" width="20" style="33" bestFit="1" customWidth="1"/>
    <col min="14342" max="14342" width="12.42578125" style="33" bestFit="1" customWidth="1"/>
    <col min="14343" max="14343" width="153.28515625" style="33" bestFit="1" customWidth="1"/>
    <col min="14344" max="14345" width="9.140625" style="33"/>
    <col min="14346" max="14346" width="15.85546875" style="33" bestFit="1" customWidth="1"/>
    <col min="14347" max="14592" width="9.140625" style="33"/>
    <col min="14593" max="14593" width="5.28515625" style="33" customWidth="1"/>
    <col min="14594" max="14594" width="7.7109375" style="33" customWidth="1"/>
    <col min="14595" max="14595" width="6.7109375" style="33" customWidth="1"/>
    <col min="14596" max="14596" width="90.5703125" style="33" customWidth="1"/>
    <col min="14597" max="14597" width="20" style="33" bestFit="1" customWidth="1"/>
    <col min="14598" max="14598" width="12.42578125" style="33" bestFit="1" customWidth="1"/>
    <col min="14599" max="14599" width="153.28515625" style="33" bestFit="1" customWidth="1"/>
    <col min="14600" max="14601" width="9.140625" style="33"/>
    <col min="14602" max="14602" width="15.85546875" style="33" bestFit="1" customWidth="1"/>
    <col min="14603" max="14848" width="9.140625" style="33"/>
    <col min="14849" max="14849" width="5.28515625" style="33" customWidth="1"/>
    <col min="14850" max="14850" width="7.7109375" style="33" customWidth="1"/>
    <col min="14851" max="14851" width="6.7109375" style="33" customWidth="1"/>
    <col min="14852" max="14852" width="90.5703125" style="33" customWidth="1"/>
    <col min="14853" max="14853" width="20" style="33" bestFit="1" customWidth="1"/>
    <col min="14854" max="14854" width="12.42578125" style="33" bestFit="1" customWidth="1"/>
    <col min="14855" max="14855" width="153.28515625" style="33" bestFit="1" customWidth="1"/>
    <col min="14856" max="14857" width="9.140625" style="33"/>
    <col min="14858" max="14858" width="15.85546875" style="33" bestFit="1" customWidth="1"/>
    <col min="14859" max="15104" width="9.140625" style="33"/>
    <col min="15105" max="15105" width="5.28515625" style="33" customWidth="1"/>
    <col min="15106" max="15106" width="7.7109375" style="33" customWidth="1"/>
    <col min="15107" max="15107" width="6.7109375" style="33" customWidth="1"/>
    <col min="15108" max="15108" width="90.5703125" style="33" customWidth="1"/>
    <col min="15109" max="15109" width="20" style="33" bestFit="1" customWidth="1"/>
    <col min="15110" max="15110" width="12.42578125" style="33" bestFit="1" customWidth="1"/>
    <col min="15111" max="15111" width="153.28515625" style="33" bestFit="1" customWidth="1"/>
    <col min="15112" max="15113" width="9.140625" style="33"/>
    <col min="15114" max="15114" width="15.85546875" style="33" bestFit="1" customWidth="1"/>
    <col min="15115" max="15360" width="9.140625" style="33"/>
    <col min="15361" max="15361" width="5.28515625" style="33" customWidth="1"/>
    <col min="15362" max="15362" width="7.7109375" style="33" customWidth="1"/>
    <col min="15363" max="15363" width="6.7109375" style="33" customWidth="1"/>
    <col min="15364" max="15364" width="90.5703125" style="33" customWidth="1"/>
    <col min="15365" max="15365" width="20" style="33" bestFit="1" customWidth="1"/>
    <col min="15366" max="15366" width="12.42578125" style="33" bestFit="1" customWidth="1"/>
    <col min="15367" max="15367" width="153.28515625" style="33" bestFit="1" customWidth="1"/>
    <col min="15368" max="15369" width="9.140625" style="33"/>
    <col min="15370" max="15370" width="15.85546875" style="33" bestFit="1" customWidth="1"/>
    <col min="15371" max="15616" width="9.140625" style="33"/>
    <col min="15617" max="15617" width="5.28515625" style="33" customWidth="1"/>
    <col min="15618" max="15618" width="7.7109375" style="33" customWidth="1"/>
    <col min="15619" max="15619" width="6.7109375" style="33" customWidth="1"/>
    <col min="15620" max="15620" width="90.5703125" style="33" customWidth="1"/>
    <col min="15621" max="15621" width="20" style="33" bestFit="1" customWidth="1"/>
    <col min="15622" max="15622" width="12.42578125" style="33" bestFit="1" customWidth="1"/>
    <col min="15623" max="15623" width="153.28515625" style="33" bestFit="1" customWidth="1"/>
    <col min="15624" max="15625" width="9.140625" style="33"/>
    <col min="15626" max="15626" width="15.85546875" style="33" bestFit="1" customWidth="1"/>
    <col min="15627" max="15872" width="9.140625" style="33"/>
    <col min="15873" max="15873" width="5.28515625" style="33" customWidth="1"/>
    <col min="15874" max="15874" width="7.7109375" style="33" customWidth="1"/>
    <col min="15875" max="15875" width="6.7109375" style="33" customWidth="1"/>
    <col min="15876" max="15876" width="90.5703125" style="33" customWidth="1"/>
    <col min="15877" max="15877" width="20" style="33" bestFit="1" customWidth="1"/>
    <col min="15878" max="15878" width="12.42578125" style="33" bestFit="1" customWidth="1"/>
    <col min="15879" max="15879" width="153.28515625" style="33" bestFit="1" customWidth="1"/>
    <col min="15880" max="15881" width="9.140625" style="33"/>
    <col min="15882" max="15882" width="15.85546875" style="33" bestFit="1" customWidth="1"/>
    <col min="15883" max="16128" width="9.140625" style="33"/>
    <col min="16129" max="16129" width="5.28515625" style="33" customWidth="1"/>
    <col min="16130" max="16130" width="7.7109375" style="33" customWidth="1"/>
    <col min="16131" max="16131" width="6.7109375" style="33" customWidth="1"/>
    <col min="16132" max="16132" width="90.5703125" style="33" customWidth="1"/>
    <col min="16133" max="16133" width="20" style="33" bestFit="1" customWidth="1"/>
    <col min="16134" max="16134" width="12.42578125" style="33" bestFit="1" customWidth="1"/>
    <col min="16135" max="16135" width="153.28515625" style="33" bestFit="1" customWidth="1"/>
    <col min="16136" max="16137" width="9.140625" style="33"/>
    <col min="16138" max="16138" width="15.85546875" style="33" bestFit="1" customWidth="1"/>
    <col min="16139" max="16384" width="9.140625" style="33"/>
  </cols>
  <sheetData>
    <row r="1" spans="1:6" ht="18" x14ac:dyDescent="0.25">
      <c r="A1" s="31" t="s">
        <v>403</v>
      </c>
      <c r="B1" s="31"/>
      <c r="C1" s="32"/>
      <c r="E1" s="32"/>
    </row>
    <row r="2" spans="1:6" ht="12.75" customHeight="1" x14ac:dyDescent="0.25">
      <c r="A2" s="34" t="s">
        <v>179</v>
      </c>
      <c r="B2" s="34"/>
      <c r="C2" s="34"/>
      <c r="E2" s="37"/>
    </row>
    <row r="3" spans="1:6" ht="12.75" customHeight="1" x14ac:dyDescent="0.25">
      <c r="A3" s="133" t="s">
        <v>31</v>
      </c>
      <c r="B3" s="133"/>
      <c r="C3" s="134"/>
      <c r="E3" s="37"/>
    </row>
    <row r="4" spans="1:6" ht="15" x14ac:dyDescent="0.2">
      <c r="A4" s="36"/>
      <c r="B4" s="36"/>
      <c r="D4" s="38"/>
      <c r="E4" s="39"/>
    </row>
    <row r="5" spans="1:6" s="38" customFormat="1" ht="16.5" customHeight="1" x14ac:dyDescent="0.2">
      <c r="A5" s="135" t="s">
        <v>32</v>
      </c>
      <c r="B5" s="136"/>
      <c r="C5" s="136"/>
      <c r="D5" s="137"/>
      <c r="E5" s="138"/>
    </row>
    <row r="6" spans="1:6" s="40" customFormat="1" ht="27" customHeight="1" x14ac:dyDescent="0.25">
      <c r="A6" s="139"/>
      <c r="B6" s="140" t="s">
        <v>33</v>
      </c>
      <c r="C6" s="141"/>
      <c r="D6" s="142"/>
      <c r="E6" s="143">
        <v>12282724856</v>
      </c>
    </row>
    <row r="7" spans="1:6" s="40" customFormat="1" ht="27" customHeight="1" x14ac:dyDescent="0.25">
      <c r="A7" s="139"/>
      <c r="B7" s="144" t="s">
        <v>34</v>
      </c>
      <c r="C7" s="145"/>
      <c r="D7" s="146"/>
      <c r="E7" s="143">
        <v>226467000210</v>
      </c>
    </row>
    <row r="8" spans="1:6" s="38" customFormat="1" ht="16.5" customHeight="1" x14ac:dyDescent="0.25">
      <c r="A8" s="139" t="s">
        <v>35</v>
      </c>
      <c r="B8" s="147"/>
      <c r="C8" s="147"/>
      <c r="D8" s="148"/>
      <c r="E8" s="149"/>
      <c r="F8" s="40"/>
    </row>
    <row r="9" spans="1:6" s="38" customFormat="1" ht="16.5" customHeight="1" x14ac:dyDescent="0.25">
      <c r="A9" s="150"/>
      <c r="B9" s="151" t="s">
        <v>180</v>
      </c>
      <c r="C9" s="152"/>
      <c r="D9" s="153"/>
      <c r="E9" s="149">
        <v>700000</v>
      </c>
      <c r="F9" s="40"/>
    </row>
    <row r="10" spans="1:6" s="38" customFormat="1" ht="14.25" customHeight="1" x14ac:dyDescent="0.25">
      <c r="A10" s="150"/>
      <c r="B10" s="151" t="s">
        <v>36</v>
      </c>
      <c r="C10" s="152"/>
      <c r="D10" s="153"/>
      <c r="E10" s="149">
        <v>12282024856</v>
      </c>
      <c r="F10" s="40"/>
    </row>
    <row r="11" spans="1:6" s="38" customFormat="1" ht="14.25" customHeight="1" x14ac:dyDescent="0.25">
      <c r="A11" s="150"/>
      <c r="B11" s="154" t="s">
        <v>37</v>
      </c>
      <c r="C11" s="153" t="s">
        <v>38</v>
      </c>
      <c r="D11" s="442"/>
      <c r="E11" s="149">
        <v>12126207286</v>
      </c>
      <c r="F11" s="40"/>
    </row>
    <row r="12" spans="1:6" s="38" customFormat="1" ht="14.25" customHeight="1" x14ac:dyDescent="0.25">
      <c r="A12" s="150"/>
      <c r="B12" s="155"/>
      <c r="C12" s="153" t="s">
        <v>39</v>
      </c>
      <c r="D12" s="153"/>
      <c r="E12" s="149">
        <v>62118970</v>
      </c>
      <c r="F12" s="40"/>
    </row>
    <row r="13" spans="1:6" s="38" customFormat="1" ht="14.25" customHeight="1" x14ac:dyDescent="0.25">
      <c r="A13" s="150"/>
      <c r="B13" s="156"/>
      <c r="C13" s="153" t="s">
        <v>40</v>
      </c>
      <c r="D13" s="153"/>
      <c r="E13" s="149">
        <v>93698600</v>
      </c>
      <c r="F13" s="40"/>
    </row>
    <row r="14" spans="1:6" s="38" customFormat="1" ht="16.5" customHeight="1" x14ac:dyDescent="0.25">
      <c r="A14" s="139" t="s">
        <v>41</v>
      </c>
      <c r="B14" s="147"/>
      <c r="C14" s="147"/>
      <c r="D14" s="148"/>
      <c r="E14" s="149"/>
      <c r="F14" s="40"/>
    </row>
    <row r="15" spans="1:6" s="40" customFormat="1" ht="27" customHeight="1" x14ac:dyDescent="0.25">
      <c r="A15" s="139"/>
      <c r="B15" s="140" t="s">
        <v>42</v>
      </c>
      <c r="C15" s="141"/>
      <c r="D15" s="142"/>
      <c r="E15" s="143">
        <v>48370124924</v>
      </c>
    </row>
    <row r="16" spans="1:6" s="38" customFormat="1" ht="14.25" customHeight="1" x14ac:dyDescent="0.25">
      <c r="A16" s="150"/>
      <c r="B16" s="154" t="s">
        <v>37</v>
      </c>
      <c r="C16" s="153" t="s">
        <v>43</v>
      </c>
      <c r="D16" s="442"/>
      <c r="E16" s="149">
        <v>27411676980</v>
      </c>
      <c r="F16" s="40"/>
    </row>
    <row r="17" spans="1:6" s="38" customFormat="1" ht="14.25" customHeight="1" x14ac:dyDescent="0.25">
      <c r="A17" s="150"/>
      <c r="B17" s="156"/>
      <c r="C17" s="153" t="s">
        <v>44</v>
      </c>
      <c r="D17" s="153"/>
      <c r="E17" s="149">
        <v>20958447944</v>
      </c>
      <c r="F17" s="40"/>
    </row>
    <row r="18" spans="1:6" s="40" customFormat="1" ht="27" customHeight="1" x14ac:dyDescent="0.25">
      <c r="A18" s="139"/>
      <c r="B18" s="140" t="s">
        <v>45</v>
      </c>
      <c r="C18" s="141"/>
      <c r="D18" s="142"/>
      <c r="E18" s="143">
        <v>161482083817</v>
      </c>
    </row>
    <row r="19" spans="1:6" s="40" customFormat="1" ht="27" customHeight="1" x14ac:dyDescent="0.25">
      <c r="A19" s="139"/>
      <c r="B19" s="140" t="s">
        <v>46</v>
      </c>
      <c r="C19" s="141"/>
      <c r="D19" s="142"/>
      <c r="E19" s="143">
        <v>276266938</v>
      </c>
    </row>
    <row r="20" spans="1:6" s="40" customFormat="1" ht="27" customHeight="1" x14ac:dyDescent="0.25">
      <c r="A20" s="139"/>
      <c r="B20" s="140" t="s">
        <v>404</v>
      </c>
      <c r="C20" s="141"/>
      <c r="D20" s="142"/>
      <c r="E20" s="143">
        <v>0</v>
      </c>
    </row>
    <row r="21" spans="1:6" s="38" customFormat="1" ht="14.25" customHeight="1" x14ac:dyDescent="0.25">
      <c r="A21" s="139"/>
      <c r="B21" s="140" t="s">
        <v>47</v>
      </c>
      <c r="C21" s="141"/>
      <c r="D21" s="142"/>
      <c r="E21" s="143">
        <v>7204727784</v>
      </c>
      <c r="F21" s="40"/>
    </row>
    <row r="22" spans="1:6" s="38" customFormat="1" ht="14.25" customHeight="1" x14ac:dyDescent="0.25">
      <c r="A22" s="150"/>
      <c r="B22" s="154" t="s">
        <v>37</v>
      </c>
      <c r="C22" s="153" t="s">
        <v>48</v>
      </c>
      <c r="D22" s="442"/>
      <c r="E22" s="149">
        <v>1948071203</v>
      </c>
      <c r="F22" s="40"/>
    </row>
    <row r="23" spans="1:6" s="40" customFormat="1" ht="27" customHeight="1" x14ac:dyDescent="0.25">
      <c r="A23" s="150"/>
      <c r="B23" s="156"/>
      <c r="C23" s="153" t="s">
        <v>49</v>
      </c>
      <c r="D23" s="153"/>
      <c r="E23" s="143">
        <v>5256656581</v>
      </c>
      <c r="F23" s="266"/>
    </row>
    <row r="24" spans="1:6" s="40" customFormat="1" ht="27" customHeight="1" x14ac:dyDescent="0.25">
      <c r="A24" s="139"/>
      <c r="B24" s="610" t="s">
        <v>50</v>
      </c>
      <c r="C24" s="611"/>
      <c r="D24" s="612"/>
      <c r="E24" s="143">
        <v>6884280208</v>
      </c>
    </row>
    <row r="25" spans="1:6" s="38" customFormat="1" ht="16.5" customHeight="1" x14ac:dyDescent="0.25">
      <c r="A25" s="139"/>
      <c r="B25" s="140" t="s">
        <v>51</v>
      </c>
      <c r="C25" s="141"/>
      <c r="D25" s="142"/>
      <c r="E25" s="143">
        <v>2249516539</v>
      </c>
      <c r="F25" s="40"/>
    </row>
    <row r="26" spans="1:6" s="38" customFormat="1" ht="14.25" customHeight="1" x14ac:dyDescent="0.25">
      <c r="A26" s="139" t="s">
        <v>52</v>
      </c>
      <c r="B26" s="147"/>
      <c r="C26" s="147"/>
      <c r="D26" s="148"/>
      <c r="E26" s="149"/>
      <c r="F26" s="40"/>
    </row>
    <row r="27" spans="1:6" s="38" customFormat="1" ht="16.5" customHeight="1" x14ac:dyDescent="0.25">
      <c r="A27" s="150"/>
      <c r="B27" s="151" t="s">
        <v>53</v>
      </c>
      <c r="C27" s="152"/>
      <c r="D27" s="153"/>
      <c r="E27" s="149">
        <v>986277291</v>
      </c>
      <c r="F27" s="40"/>
    </row>
    <row r="28" spans="1:6" s="38" customFormat="1" ht="14.25" customHeight="1" x14ac:dyDescent="0.25">
      <c r="A28" s="150"/>
      <c r="B28" s="151" t="s">
        <v>181</v>
      </c>
      <c r="C28" s="152"/>
      <c r="D28" s="153"/>
      <c r="E28" s="149">
        <v>330951397</v>
      </c>
      <c r="F28" s="40"/>
    </row>
    <row r="29" spans="1:6" s="38" customFormat="1" ht="14.25" customHeight="1" x14ac:dyDescent="0.25">
      <c r="A29" s="150"/>
      <c r="B29" s="151" t="s">
        <v>54</v>
      </c>
      <c r="C29" s="152"/>
      <c r="D29" s="153"/>
      <c r="E29" s="149">
        <v>18266463</v>
      </c>
      <c r="F29" s="40"/>
    </row>
    <row r="30" spans="1:6" s="38" customFormat="1" ht="15.75" customHeight="1" x14ac:dyDescent="0.25">
      <c r="A30" s="150"/>
      <c r="B30" s="151" t="s">
        <v>405</v>
      </c>
      <c r="C30" s="152"/>
      <c r="D30" s="153"/>
      <c r="E30" s="149">
        <v>136983597</v>
      </c>
      <c r="F30" s="40"/>
    </row>
    <row r="31" spans="1:6" s="38" customFormat="1" ht="15.75" customHeight="1" x14ac:dyDescent="0.25">
      <c r="A31" s="150"/>
      <c r="B31" s="607" t="s">
        <v>406</v>
      </c>
      <c r="C31" s="608"/>
      <c r="D31" s="609"/>
      <c r="E31" s="149">
        <v>776339116</v>
      </c>
      <c r="F31" s="40"/>
    </row>
    <row r="32" spans="1:6" s="38" customFormat="1" ht="14.25" customHeight="1" x14ac:dyDescent="0.25">
      <c r="A32" s="150"/>
      <c r="B32" s="607" t="s">
        <v>182</v>
      </c>
      <c r="C32" s="613"/>
      <c r="D32" s="614"/>
      <c r="E32" s="149">
        <v>20958447944</v>
      </c>
      <c r="F32" s="40"/>
    </row>
    <row r="33" spans="1:6" s="38" customFormat="1" ht="16.5" customHeight="1" x14ac:dyDescent="0.25">
      <c r="A33" s="150"/>
      <c r="B33" s="154" t="s">
        <v>37</v>
      </c>
      <c r="C33" s="153" t="s">
        <v>55</v>
      </c>
      <c r="D33" s="153"/>
      <c r="E33" s="149">
        <v>14446977081</v>
      </c>
      <c r="F33" s="40"/>
    </row>
    <row r="34" spans="1:6" s="38" customFormat="1" ht="16.5" customHeight="1" x14ac:dyDescent="0.25">
      <c r="A34" s="150"/>
      <c r="B34" s="155"/>
      <c r="C34" s="157" t="s">
        <v>37</v>
      </c>
      <c r="D34" s="153" t="s">
        <v>183</v>
      </c>
      <c r="E34" s="149">
        <v>9581467851</v>
      </c>
      <c r="F34" s="40"/>
    </row>
    <row r="35" spans="1:6" s="38" customFormat="1" ht="16.5" customHeight="1" x14ac:dyDescent="0.25">
      <c r="A35" s="150"/>
      <c r="B35" s="158"/>
      <c r="C35" s="159"/>
      <c r="D35" s="153" t="s">
        <v>184</v>
      </c>
      <c r="E35" s="149">
        <v>4865509230</v>
      </c>
      <c r="F35" s="40"/>
    </row>
    <row r="36" spans="1:6" s="38" customFormat="1" ht="16.5" customHeight="1" x14ac:dyDescent="0.25">
      <c r="A36" s="150"/>
      <c r="B36" s="156"/>
      <c r="C36" s="153" t="s">
        <v>185</v>
      </c>
      <c r="D36" s="160"/>
      <c r="E36" s="149">
        <v>6511470863</v>
      </c>
      <c r="F36" s="40"/>
    </row>
    <row r="37" spans="1:6" s="38" customFormat="1" ht="16.5" customHeight="1" x14ac:dyDescent="0.25">
      <c r="A37" s="150"/>
      <c r="B37" s="151" t="s">
        <v>186</v>
      </c>
      <c r="C37" s="152"/>
      <c r="D37" s="153"/>
      <c r="E37" s="149">
        <v>1980201230</v>
      </c>
      <c r="F37" s="40"/>
    </row>
    <row r="38" spans="1:6" s="38" customFormat="1" ht="15.75" customHeight="1" x14ac:dyDescent="0.25">
      <c r="A38" s="150"/>
      <c r="B38" s="151" t="s">
        <v>187</v>
      </c>
      <c r="C38" s="152"/>
      <c r="D38" s="153"/>
      <c r="E38" s="149">
        <v>1165308000</v>
      </c>
      <c r="F38" s="40"/>
    </row>
    <row r="39" spans="1:6" s="38" customFormat="1" ht="16.5" customHeight="1" x14ac:dyDescent="0.25">
      <c r="A39" s="150"/>
      <c r="B39" s="607" t="s">
        <v>188</v>
      </c>
      <c r="C39" s="608"/>
      <c r="D39" s="609"/>
      <c r="E39" s="149">
        <v>7706843813</v>
      </c>
      <c r="F39" s="40"/>
    </row>
    <row r="40" spans="1:6" s="38" customFormat="1" ht="15.75" customHeight="1" x14ac:dyDescent="0.25">
      <c r="A40" s="150"/>
      <c r="B40" s="151" t="s">
        <v>189</v>
      </c>
      <c r="C40" s="152"/>
      <c r="D40" s="153"/>
      <c r="E40" s="149">
        <v>1286979700</v>
      </c>
      <c r="F40" s="40"/>
    </row>
    <row r="41" spans="1:6" s="38" customFormat="1" ht="16.5" customHeight="1" x14ac:dyDescent="0.25">
      <c r="A41" s="150"/>
      <c r="B41" s="607" t="s">
        <v>56</v>
      </c>
      <c r="C41" s="608"/>
      <c r="D41" s="609"/>
      <c r="E41" s="149">
        <v>112000000</v>
      </c>
      <c r="F41" s="40"/>
    </row>
    <row r="42" spans="1:6" s="38" customFormat="1" ht="14.25" customHeight="1" x14ac:dyDescent="0.25">
      <c r="A42" s="150"/>
      <c r="B42" s="151" t="s">
        <v>57</v>
      </c>
      <c r="C42" s="152"/>
      <c r="D42" s="153"/>
      <c r="E42" s="149">
        <v>8132000</v>
      </c>
      <c r="F42" s="40"/>
    </row>
    <row r="43" spans="1:6" s="38" customFormat="1" ht="14.25" customHeight="1" x14ac:dyDescent="0.25">
      <c r="A43" s="150"/>
      <c r="B43" s="151" t="s">
        <v>58</v>
      </c>
      <c r="C43" s="152"/>
      <c r="D43" s="153"/>
      <c r="E43" s="149">
        <v>3697000</v>
      </c>
      <c r="F43" s="40"/>
    </row>
    <row r="44" spans="1:6" s="38" customFormat="1" ht="14.25" customHeight="1" x14ac:dyDescent="0.25">
      <c r="A44" s="150"/>
      <c r="B44" s="151" t="s">
        <v>59</v>
      </c>
      <c r="C44" s="152"/>
      <c r="D44" s="153"/>
      <c r="E44" s="149">
        <v>19875000</v>
      </c>
      <c r="F44" s="40"/>
    </row>
    <row r="45" spans="1:6" s="38" customFormat="1" ht="15.75" customHeight="1" x14ac:dyDescent="0.25">
      <c r="A45" s="150"/>
      <c r="B45" s="151" t="s">
        <v>60</v>
      </c>
      <c r="C45" s="152"/>
      <c r="D45" s="153"/>
      <c r="E45" s="149">
        <v>70000</v>
      </c>
      <c r="F45" s="40"/>
    </row>
    <row r="46" spans="1:6" s="38" customFormat="1" ht="14.25" customHeight="1" x14ac:dyDescent="0.25">
      <c r="A46" s="150"/>
      <c r="B46" s="607" t="s">
        <v>61</v>
      </c>
      <c r="C46" s="608"/>
      <c r="D46" s="609"/>
      <c r="E46" s="149">
        <v>13914248193</v>
      </c>
      <c r="F46" s="40"/>
    </row>
    <row r="47" spans="1:6" s="38" customFormat="1" ht="14.25" customHeight="1" x14ac:dyDescent="0.25">
      <c r="A47" s="150"/>
      <c r="B47" s="154" t="s">
        <v>37</v>
      </c>
      <c r="C47" s="153" t="s">
        <v>62</v>
      </c>
      <c r="D47" s="442"/>
      <c r="E47" s="149">
        <v>1788040907</v>
      </c>
      <c r="F47" s="40"/>
    </row>
    <row r="48" spans="1:6" s="38" customFormat="1" ht="15.75" customHeight="1" x14ac:dyDescent="0.25">
      <c r="A48" s="150"/>
      <c r="B48" s="156"/>
      <c r="C48" s="153" t="s">
        <v>63</v>
      </c>
      <c r="D48" s="153"/>
      <c r="E48" s="149">
        <v>12126207286</v>
      </c>
      <c r="F48" s="40"/>
    </row>
    <row r="49" spans="1:6" s="38" customFormat="1" ht="14.25" customHeight="1" x14ac:dyDescent="0.25">
      <c r="A49" s="150"/>
      <c r="B49" s="607" t="s">
        <v>64</v>
      </c>
      <c r="C49" s="608"/>
      <c r="D49" s="609"/>
      <c r="E49" s="149">
        <v>71052216</v>
      </c>
      <c r="F49" s="40"/>
    </row>
    <row r="50" spans="1:6" s="38" customFormat="1" ht="14.25" customHeight="1" x14ac:dyDescent="0.25">
      <c r="A50" s="150"/>
      <c r="B50" s="154" t="s">
        <v>37</v>
      </c>
      <c r="C50" s="153" t="s">
        <v>62</v>
      </c>
      <c r="D50" s="442"/>
      <c r="E50" s="149">
        <v>8933246</v>
      </c>
      <c r="F50" s="40"/>
    </row>
    <row r="51" spans="1:6" s="38" customFormat="1" ht="15.75" customHeight="1" x14ac:dyDescent="0.25">
      <c r="A51" s="150"/>
      <c r="B51" s="156"/>
      <c r="C51" s="153" t="s">
        <v>65</v>
      </c>
      <c r="D51" s="153"/>
      <c r="E51" s="138">
        <v>62118970</v>
      </c>
      <c r="F51" s="40"/>
    </row>
    <row r="52" spans="1:6" s="38" customFormat="1" ht="15" x14ac:dyDescent="0.2">
      <c r="A52" s="161"/>
      <c r="B52" s="161" t="s">
        <v>66</v>
      </c>
      <c r="C52" s="162"/>
      <c r="D52" s="163"/>
      <c r="E52" s="138">
        <v>6406136268</v>
      </c>
    </row>
    <row r="53" spans="1:6" s="38" customFormat="1" ht="12.75" customHeight="1" x14ac:dyDescent="0.2">
      <c r="A53" s="41" t="s">
        <v>67</v>
      </c>
      <c r="B53" s="42"/>
      <c r="C53" s="42"/>
      <c r="D53" s="43"/>
      <c r="E53" s="44"/>
    </row>
    <row r="54" spans="1:6" s="38" customFormat="1" ht="12.75" customHeight="1" x14ac:dyDescent="0.2">
      <c r="A54" s="41" t="s">
        <v>68</v>
      </c>
      <c r="B54" s="45"/>
      <c r="C54" s="45"/>
      <c r="D54" s="36"/>
      <c r="E54" s="44"/>
    </row>
    <row r="55" spans="1:6" s="38" customFormat="1" ht="12.75" customHeight="1" x14ac:dyDescent="0.2">
      <c r="A55" s="41" t="s">
        <v>69</v>
      </c>
      <c r="B55" s="45"/>
      <c r="C55" s="45"/>
      <c r="D55" s="36"/>
      <c r="E55" s="44"/>
    </row>
    <row r="56" spans="1:6" s="38" customFormat="1" ht="12.75" customHeight="1" x14ac:dyDescent="0.2">
      <c r="A56" s="41" t="s">
        <v>70</v>
      </c>
      <c r="B56" s="45"/>
      <c r="C56" s="45"/>
      <c r="D56" s="36"/>
      <c r="E56" s="44"/>
    </row>
    <row r="57" spans="1:6" ht="14.25" x14ac:dyDescent="0.25">
      <c r="A57" s="41" t="s">
        <v>71</v>
      </c>
      <c r="B57" s="45"/>
      <c r="C57" s="45"/>
      <c r="D57" s="36"/>
    </row>
  </sheetData>
  <mergeCells count="7">
    <mergeCell ref="B49:D49"/>
    <mergeCell ref="B31:D31"/>
    <mergeCell ref="B24:D24"/>
    <mergeCell ref="B32:D32"/>
    <mergeCell ref="B39:D39"/>
    <mergeCell ref="B41:D41"/>
    <mergeCell ref="B46:D46"/>
  </mergeCells>
  <printOptions horizontalCentered="1"/>
  <pageMargins left="0.70866141732283472" right="0.70866141732283472" top="0.78740157480314965" bottom="0.78740157480314965" header="0.51181102362204722" footer="0.31496062992125984"/>
  <pageSetup paperSize="9" scale="66" orientation="portrait" r:id="rId1"/>
  <headerFooter alignWithMargins="0">
    <oddHeader xml:space="preserve">&amp;RKapitola A
&amp;"-,Tučné"Tabulka č. 1&amp;"-,Obyčejné"
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0000"/>
    <pageSetUpPr fitToPage="1"/>
  </sheetPr>
  <dimension ref="A1:S28"/>
  <sheetViews>
    <sheetView zoomScale="90" zoomScaleNormal="90" workbookViewId="0">
      <selection activeCell="M43" sqref="M43"/>
    </sheetView>
  </sheetViews>
  <sheetFormatPr defaultRowHeight="12.75" x14ac:dyDescent="0.2"/>
  <cols>
    <col min="1" max="1" width="57.7109375" style="2" customWidth="1"/>
    <col min="2" max="2" width="11.42578125" style="2" bestFit="1" customWidth="1"/>
    <col min="3" max="3" width="10.5703125" style="2" bestFit="1" customWidth="1"/>
    <col min="4" max="4" width="8.42578125" style="2" bestFit="1" customWidth="1"/>
    <col min="5" max="5" width="10.28515625" style="2" bestFit="1" customWidth="1"/>
    <col min="6" max="6" width="9.28515625" style="2" bestFit="1" customWidth="1"/>
    <col min="7" max="7" width="10.42578125" style="2" bestFit="1" customWidth="1"/>
    <col min="8" max="8" width="8.42578125" style="2" bestFit="1" customWidth="1"/>
    <col min="9" max="9" width="8.85546875" style="2" bestFit="1" customWidth="1"/>
    <col min="10" max="10" width="9" style="2" bestFit="1" customWidth="1"/>
    <col min="11" max="11" width="9.140625" style="2"/>
    <col min="12" max="12" width="10.42578125" style="2" bestFit="1" customWidth="1"/>
    <col min="13" max="15" width="10.7109375" style="2" customWidth="1"/>
    <col min="16" max="16" width="11.140625" style="2" bestFit="1" customWidth="1"/>
    <col min="17" max="17" width="16.140625" style="2" customWidth="1"/>
    <col min="18" max="18" width="11.140625" style="2" customWidth="1"/>
    <col min="19" max="252" width="9.140625" style="2"/>
    <col min="253" max="253" width="39.5703125" style="2" customWidth="1"/>
    <col min="254" max="254" width="11.42578125" style="2" bestFit="1" customWidth="1"/>
    <col min="255" max="255" width="10.5703125" style="2" bestFit="1" customWidth="1"/>
    <col min="256" max="256" width="8.42578125" style="2" bestFit="1" customWidth="1"/>
    <col min="257" max="257" width="10.28515625" style="2" bestFit="1" customWidth="1"/>
    <col min="258" max="258" width="9.28515625" style="2" bestFit="1" customWidth="1"/>
    <col min="259" max="259" width="10.42578125" style="2" bestFit="1" customWidth="1"/>
    <col min="260" max="260" width="8.42578125" style="2" bestFit="1" customWidth="1"/>
    <col min="261" max="261" width="8.85546875" style="2" bestFit="1" customWidth="1"/>
    <col min="262" max="262" width="9" style="2" bestFit="1" customWidth="1"/>
    <col min="263" max="263" width="9.140625" style="2"/>
    <col min="264" max="264" width="10.42578125" style="2" bestFit="1" customWidth="1"/>
    <col min="265" max="265" width="11.5703125" style="2" bestFit="1" customWidth="1"/>
    <col min="266" max="508" width="9.140625" style="2"/>
    <col min="509" max="509" width="39.5703125" style="2" customWidth="1"/>
    <col min="510" max="510" width="11.42578125" style="2" bestFit="1" customWidth="1"/>
    <col min="511" max="511" width="10.5703125" style="2" bestFit="1" customWidth="1"/>
    <col min="512" max="512" width="8.42578125" style="2" bestFit="1" customWidth="1"/>
    <col min="513" max="513" width="10.28515625" style="2" bestFit="1" customWidth="1"/>
    <col min="514" max="514" width="9.28515625" style="2" bestFit="1" customWidth="1"/>
    <col min="515" max="515" width="10.42578125" style="2" bestFit="1" customWidth="1"/>
    <col min="516" max="516" width="8.42578125" style="2" bestFit="1" customWidth="1"/>
    <col min="517" max="517" width="8.85546875" style="2" bestFit="1" customWidth="1"/>
    <col min="518" max="518" width="9" style="2" bestFit="1" customWidth="1"/>
    <col min="519" max="519" width="9.140625" style="2"/>
    <col min="520" max="520" width="10.42578125" style="2" bestFit="1" customWidth="1"/>
    <col min="521" max="521" width="11.5703125" style="2" bestFit="1" customWidth="1"/>
    <col min="522" max="764" width="9.140625" style="2"/>
    <col min="765" max="765" width="39.5703125" style="2" customWidth="1"/>
    <col min="766" max="766" width="11.42578125" style="2" bestFit="1" customWidth="1"/>
    <col min="767" max="767" width="10.5703125" style="2" bestFit="1" customWidth="1"/>
    <col min="768" max="768" width="8.42578125" style="2" bestFit="1" customWidth="1"/>
    <col min="769" max="769" width="10.28515625" style="2" bestFit="1" customWidth="1"/>
    <col min="770" max="770" width="9.28515625" style="2" bestFit="1" customWidth="1"/>
    <col min="771" max="771" width="10.42578125" style="2" bestFit="1" customWidth="1"/>
    <col min="772" max="772" width="8.42578125" style="2" bestFit="1" customWidth="1"/>
    <col min="773" max="773" width="8.85546875" style="2" bestFit="1" customWidth="1"/>
    <col min="774" max="774" width="9" style="2" bestFit="1" customWidth="1"/>
    <col min="775" max="775" width="9.140625" style="2"/>
    <col min="776" max="776" width="10.42578125" style="2" bestFit="1" customWidth="1"/>
    <col min="777" max="777" width="11.5703125" style="2" bestFit="1" customWidth="1"/>
    <col min="778" max="1020" width="9.140625" style="2"/>
    <col min="1021" max="1021" width="39.5703125" style="2" customWidth="1"/>
    <col min="1022" max="1022" width="11.42578125" style="2" bestFit="1" customWidth="1"/>
    <col min="1023" max="1023" width="10.5703125" style="2" bestFit="1" customWidth="1"/>
    <col min="1024" max="1024" width="8.42578125" style="2" bestFit="1" customWidth="1"/>
    <col min="1025" max="1025" width="10.28515625" style="2" bestFit="1" customWidth="1"/>
    <col min="1026" max="1026" width="9.28515625" style="2" bestFit="1" customWidth="1"/>
    <col min="1027" max="1027" width="10.42578125" style="2" bestFit="1" customWidth="1"/>
    <col min="1028" max="1028" width="8.42578125" style="2" bestFit="1" customWidth="1"/>
    <col min="1029" max="1029" width="8.85546875" style="2" bestFit="1" customWidth="1"/>
    <col min="1030" max="1030" width="9" style="2" bestFit="1" customWidth="1"/>
    <col min="1031" max="1031" width="9.140625" style="2"/>
    <col min="1032" max="1032" width="10.42578125" style="2" bestFit="1" customWidth="1"/>
    <col min="1033" max="1033" width="11.5703125" style="2" bestFit="1" customWidth="1"/>
    <col min="1034" max="1276" width="9.140625" style="2"/>
    <col min="1277" max="1277" width="39.5703125" style="2" customWidth="1"/>
    <col min="1278" max="1278" width="11.42578125" style="2" bestFit="1" customWidth="1"/>
    <col min="1279" max="1279" width="10.5703125" style="2" bestFit="1" customWidth="1"/>
    <col min="1280" max="1280" width="8.42578125" style="2" bestFit="1" customWidth="1"/>
    <col min="1281" max="1281" width="10.28515625" style="2" bestFit="1" customWidth="1"/>
    <col min="1282" max="1282" width="9.28515625" style="2" bestFit="1" customWidth="1"/>
    <col min="1283" max="1283" width="10.42578125" style="2" bestFit="1" customWidth="1"/>
    <col min="1284" max="1284" width="8.42578125" style="2" bestFit="1" customWidth="1"/>
    <col min="1285" max="1285" width="8.85546875" style="2" bestFit="1" customWidth="1"/>
    <col min="1286" max="1286" width="9" style="2" bestFit="1" customWidth="1"/>
    <col min="1287" max="1287" width="9.140625" style="2"/>
    <col min="1288" max="1288" width="10.42578125" style="2" bestFit="1" customWidth="1"/>
    <col min="1289" max="1289" width="11.5703125" style="2" bestFit="1" customWidth="1"/>
    <col min="1290" max="1532" width="9.140625" style="2"/>
    <col min="1533" max="1533" width="39.5703125" style="2" customWidth="1"/>
    <col min="1534" max="1534" width="11.42578125" style="2" bestFit="1" customWidth="1"/>
    <col min="1535" max="1535" width="10.5703125" style="2" bestFit="1" customWidth="1"/>
    <col min="1536" max="1536" width="8.42578125" style="2" bestFit="1" customWidth="1"/>
    <col min="1537" max="1537" width="10.28515625" style="2" bestFit="1" customWidth="1"/>
    <col min="1538" max="1538" width="9.28515625" style="2" bestFit="1" customWidth="1"/>
    <col min="1539" max="1539" width="10.42578125" style="2" bestFit="1" customWidth="1"/>
    <col min="1540" max="1540" width="8.42578125" style="2" bestFit="1" customWidth="1"/>
    <col min="1541" max="1541" width="8.85546875" style="2" bestFit="1" customWidth="1"/>
    <col min="1542" max="1542" width="9" style="2" bestFit="1" customWidth="1"/>
    <col min="1543" max="1543" width="9.140625" style="2"/>
    <col min="1544" max="1544" width="10.42578125" style="2" bestFit="1" customWidth="1"/>
    <col min="1545" max="1545" width="11.5703125" style="2" bestFit="1" customWidth="1"/>
    <col min="1546" max="1788" width="9.140625" style="2"/>
    <col min="1789" max="1789" width="39.5703125" style="2" customWidth="1"/>
    <col min="1790" max="1790" width="11.42578125" style="2" bestFit="1" customWidth="1"/>
    <col min="1791" max="1791" width="10.5703125" style="2" bestFit="1" customWidth="1"/>
    <col min="1792" max="1792" width="8.42578125" style="2" bestFit="1" customWidth="1"/>
    <col min="1793" max="1793" width="10.28515625" style="2" bestFit="1" customWidth="1"/>
    <col min="1794" max="1794" width="9.28515625" style="2" bestFit="1" customWidth="1"/>
    <col min="1795" max="1795" width="10.42578125" style="2" bestFit="1" customWidth="1"/>
    <col min="1796" max="1796" width="8.42578125" style="2" bestFit="1" customWidth="1"/>
    <col min="1797" max="1797" width="8.85546875" style="2" bestFit="1" customWidth="1"/>
    <col min="1798" max="1798" width="9" style="2" bestFit="1" customWidth="1"/>
    <col min="1799" max="1799" width="9.140625" style="2"/>
    <col min="1800" max="1800" width="10.42578125" style="2" bestFit="1" customWidth="1"/>
    <col min="1801" max="1801" width="11.5703125" style="2" bestFit="1" customWidth="1"/>
    <col min="1802" max="2044" width="9.140625" style="2"/>
    <col min="2045" max="2045" width="39.5703125" style="2" customWidth="1"/>
    <col min="2046" max="2046" width="11.42578125" style="2" bestFit="1" customWidth="1"/>
    <col min="2047" max="2047" width="10.5703125" style="2" bestFit="1" customWidth="1"/>
    <col min="2048" max="2048" width="8.42578125" style="2" bestFit="1" customWidth="1"/>
    <col min="2049" max="2049" width="10.28515625" style="2" bestFit="1" customWidth="1"/>
    <col min="2050" max="2050" width="9.28515625" style="2" bestFit="1" customWidth="1"/>
    <col min="2051" max="2051" width="10.42578125" style="2" bestFit="1" customWidth="1"/>
    <col min="2052" max="2052" width="8.42578125" style="2" bestFit="1" customWidth="1"/>
    <col min="2053" max="2053" width="8.85546875" style="2" bestFit="1" customWidth="1"/>
    <col min="2054" max="2054" width="9" style="2" bestFit="1" customWidth="1"/>
    <col min="2055" max="2055" width="9.140625" style="2"/>
    <col min="2056" max="2056" width="10.42578125" style="2" bestFit="1" customWidth="1"/>
    <col min="2057" max="2057" width="11.5703125" style="2" bestFit="1" customWidth="1"/>
    <col min="2058" max="2300" width="9.140625" style="2"/>
    <col min="2301" max="2301" width="39.5703125" style="2" customWidth="1"/>
    <col min="2302" max="2302" width="11.42578125" style="2" bestFit="1" customWidth="1"/>
    <col min="2303" max="2303" width="10.5703125" style="2" bestFit="1" customWidth="1"/>
    <col min="2304" max="2304" width="8.42578125" style="2" bestFit="1" customWidth="1"/>
    <col min="2305" max="2305" width="10.28515625" style="2" bestFit="1" customWidth="1"/>
    <col min="2306" max="2306" width="9.28515625" style="2" bestFit="1" customWidth="1"/>
    <col min="2307" max="2307" width="10.42578125" style="2" bestFit="1" customWidth="1"/>
    <col min="2308" max="2308" width="8.42578125" style="2" bestFit="1" customWidth="1"/>
    <col min="2309" max="2309" width="8.85546875" style="2" bestFit="1" customWidth="1"/>
    <col min="2310" max="2310" width="9" style="2" bestFit="1" customWidth="1"/>
    <col min="2311" max="2311" width="9.140625" style="2"/>
    <col min="2312" max="2312" width="10.42578125" style="2" bestFit="1" customWidth="1"/>
    <col min="2313" max="2313" width="11.5703125" style="2" bestFit="1" customWidth="1"/>
    <col min="2314" max="2556" width="9.140625" style="2"/>
    <col min="2557" max="2557" width="39.5703125" style="2" customWidth="1"/>
    <col min="2558" max="2558" width="11.42578125" style="2" bestFit="1" customWidth="1"/>
    <col min="2559" max="2559" width="10.5703125" style="2" bestFit="1" customWidth="1"/>
    <col min="2560" max="2560" width="8.42578125" style="2" bestFit="1" customWidth="1"/>
    <col min="2561" max="2561" width="10.28515625" style="2" bestFit="1" customWidth="1"/>
    <col min="2562" max="2562" width="9.28515625" style="2" bestFit="1" customWidth="1"/>
    <col min="2563" max="2563" width="10.42578125" style="2" bestFit="1" customWidth="1"/>
    <col min="2564" max="2564" width="8.42578125" style="2" bestFit="1" customWidth="1"/>
    <col min="2565" max="2565" width="8.85546875" style="2" bestFit="1" customWidth="1"/>
    <col min="2566" max="2566" width="9" style="2" bestFit="1" customWidth="1"/>
    <col min="2567" max="2567" width="9.140625" style="2"/>
    <col min="2568" max="2568" width="10.42578125" style="2" bestFit="1" customWidth="1"/>
    <col min="2569" max="2569" width="11.5703125" style="2" bestFit="1" customWidth="1"/>
    <col min="2570" max="2812" width="9.140625" style="2"/>
    <col min="2813" max="2813" width="39.5703125" style="2" customWidth="1"/>
    <col min="2814" max="2814" width="11.42578125" style="2" bestFit="1" customWidth="1"/>
    <col min="2815" max="2815" width="10.5703125" style="2" bestFit="1" customWidth="1"/>
    <col min="2816" max="2816" width="8.42578125" style="2" bestFit="1" customWidth="1"/>
    <col min="2817" max="2817" width="10.28515625" style="2" bestFit="1" customWidth="1"/>
    <col min="2818" max="2818" width="9.28515625" style="2" bestFit="1" customWidth="1"/>
    <col min="2819" max="2819" width="10.42578125" style="2" bestFit="1" customWidth="1"/>
    <col min="2820" max="2820" width="8.42578125" style="2" bestFit="1" customWidth="1"/>
    <col min="2821" max="2821" width="8.85546875" style="2" bestFit="1" customWidth="1"/>
    <col min="2822" max="2822" width="9" style="2" bestFit="1" customWidth="1"/>
    <col min="2823" max="2823" width="9.140625" style="2"/>
    <col min="2824" max="2824" width="10.42578125" style="2" bestFit="1" customWidth="1"/>
    <col min="2825" max="2825" width="11.5703125" style="2" bestFit="1" customWidth="1"/>
    <col min="2826" max="3068" width="9.140625" style="2"/>
    <col min="3069" max="3069" width="39.5703125" style="2" customWidth="1"/>
    <col min="3070" max="3070" width="11.42578125" style="2" bestFit="1" customWidth="1"/>
    <col min="3071" max="3071" width="10.5703125" style="2" bestFit="1" customWidth="1"/>
    <col min="3072" max="3072" width="8.42578125" style="2" bestFit="1" customWidth="1"/>
    <col min="3073" max="3073" width="10.28515625" style="2" bestFit="1" customWidth="1"/>
    <col min="3074" max="3074" width="9.28515625" style="2" bestFit="1" customWidth="1"/>
    <col min="3075" max="3075" width="10.42578125" style="2" bestFit="1" customWidth="1"/>
    <col min="3076" max="3076" width="8.42578125" style="2" bestFit="1" customWidth="1"/>
    <col min="3077" max="3077" width="8.85546875" style="2" bestFit="1" customWidth="1"/>
    <col min="3078" max="3078" width="9" style="2" bestFit="1" customWidth="1"/>
    <col min="3079" max="3079" width="9.140625" style="2"/>
    <col min="3080" max="3080" width="10.42578125" style="2" bestFit="1" customWidth="1"/>
    <col min="3081" max="3081" width="11.5703125" style="2" bestFit="1" customWidth="1"/>
    <col min="3082" max="3324" width="9.140625" style="2"/>
    <col min="3325" max="3325" width="39.5703125" style="2" customWidth="1"/>
    <col min="3326" max="3326" width="11.42578125" style="2" bestFit="1" customWidth="1"/>
    <col min="3327" max="3327" width="10.5703125" style="2" bestFit="1" customWidth="1"/>
    <col min="3328" max="3328" width="8.42578125" style="2" bestFit="1" customWidth="1"/>
    <col min="3329" max="3329" width="10.28515625" style="2" bestFit="1" customWidth="1"/>
    <col min="3330" max="3330" width="9.28515625" style="2" bestFit="1" customWidth="1"/>
    <col min="3331" max="3331" width="10.42578125" style="2" bestFit="1" customWidth="1"/>
    <col min="3332" max="3332" width="8.42578125" style="2" bestFit="1" customWidth="1"/>
    <col min="3333" max="3333" width="8.85546875" style="2" bestFit="1" customWidth="1"/>
    <col min="3334" max="3334" width="9" style="2" bestFit="1" customWidth="1"/>
    <col min="3335" max="3335" width="9.140625" style="2"/>
    <col min="3336" max="3336" width="10.42578125" style="2" bestFit="1" customWidth="1"/>
    <col min="3337" max="3337" width="11.5703125" style="2" bestFit="1" customWidth="1"/>
    <col min="3338" max="3580" width="9.140625" style="2"/>
    <col min="3581" max="3581" width="39.5703125" style="2" customWidth="1"/>
    <col min="3582" max="3582" width="11.42578125" style="2" bestFit="1" customWidth="1"/>
    <col min="3583" max="3583" width="10.5703125" style="2" bestFit="1" customWidth="1"/>
    <col min="3584" max="3584" width="8.42578125" style="2" bestFit="1" customWidth="1"/>
    <col min="3585" max="3585" width="10.28515625" style="2" bestFit="1" customWidth="1"/>
    <col min="3586" max="3586" width="9.28515625" style="2" bestFit="1" customWidth="1"/>
    <col min="3587" max="3587" width="10.42578125" style="2" bestFit="1" customWidth="1"/>
    <col min="3588" max="3588" width="8.42578125" style="2" bestFit="1" customWidth="1"/>
    <col min="3589" max="3589" width="8.85546875" style="2" bestFit="1" customWidth="1"/>
    <col min="3590" max="3590" width="9" style="2" bestFit="1" customWidth="1"/>
    <col min="3591" max="3591" width="9.140625" style="2"/>
    <col min="3592" max="3592" width="10.42578125" style="2" bestFit="1" customWidth="1"/>
    <col min="3593" max="3593" width="11.5703125" style="2" bestFit="1" customWidth="1"/>
    <col min="3594" max="3836" width="9.140625" style="2"/>
    <col min="3837" max="3837" width="39.5703125" style="2" customWidth="1"/>
    <col min="3838" max="3838" width="11.42578125" style="2" bestFit="1" customWidth="1"/>
    <col min="3839" max="3839" width="10.5703125" style="2" bestFit="1" customWidth="1"/>
    <col min="3840" max="3840" width="8.42578125" style="2" bestFit="1" customWidth="1"/>
    <col min="3841" max="3841" width="10.28515625" style="2" bestFit="1" customWidth="1"/>
    <col min="3842" max="3842" width="9.28515625" style="2" bestFit="1" customWidth="1"/>
    <col min="3843" max="3843" width="10.42578125" style="2" bestFit="1" customWidth="1"/>
    <col min="3844" max="3844" width="8.42578125" style="2" bestFit="1" customWidth="1"/>
    <col min="3845" max="3845" width="8.85546875" style="2" bestFit="1" customWidth="1"/>
    <col min="3846" max="3846" width="9" style="2" bestFit="1" customWidth="1"/>
    <col min="3847" max="3847" width="9.140625" style="2"/>
    <col min="3848" max="3848" width="10.42578125" style="2" bestFit="1" customWidth="1"/>
    <col min="3849" max="3849" width="11.5703125" style="2" bestFit="1" customWidth="1"/>
    <col min="3850" max="4092" width="9.140625" style="2"/>
    <col min="4093" max="4093" width="39.5703125" style="2" customWidth="1"/>
    <col min="4094" max="4094" width="11.42578125" style="2" bestFit="1" customWidth="1"/>
    <col min="4095" max="4095" width="10.5703125" style="2" bestFit="1" customWidth="1"/>
    <col min="4096" max="4096" width="8.42578125" style="2" bestFit="1" customWidth="1"/>
    <col min="4097" max="4097" width="10.28515625" style="2" bestFit="1" customWidth="1"/>
    <col min="4098" max="4098" width="9.28515625" style="2" bestFit="1" customWidth="1"/>
    <col min="4099" max="4099" width="10.42578125" style="2" bestFit="1" customWidth="1"/>
    <col min="4100" max="4100" width="8.42578125" style="2" bestFit="1" customWidth="1"/>
    <col min="4101" max="4101" width="8.85546875" style="2" bestFit="1" customWidth="1"/>
    <col min="4102" max="4102" width="9" style="2" bestFit="1" customWidth="1"/>
    <col min="4103" max="4103" width="9.140625" style="2"/>
    <col min="4104" max="4104" width="10.42578125" style="2" bestFit="1" customWidth="1"/>
    <col min="4105" max="4105" width="11.5703125" style="2" bestFit="1" customWidth="1"/>
    <col min="4106" max="4348" width="9.140625" style="2"/>
    <col min="4349" max="4349" width="39.5703125" style="2" customWidth="1"/>
    <col min="4350" max="4350" width="11.42578125" style="2" bestFit="1" customWidth="1"/>
    <col min="4351" max="4351" width="10.5703125" style="2" bestFit="1" customWidth="1"/>
    <col min="4352" max="4352" width="8.42578125" style="2" bestFit="1" customWidth="1"/>
    <col min="4353" max="4353" width="10.28515625" style="2" bestFit="1" customWidth="1"/>
    <col min="4354" max="4354" width="9.28515625" style="2" bestFit="1" customWidth="1"/>
    <col min="4355" max="4355" width="10.42578125" style="2" bestFit="1" customWidth="1"/>
    <col min="4356" max="4356" width="8.42578125" style="2" bestFit="1" customWidth="1"/>
    <col min="4357" max="4357" width="8.85546875" style="2" bestFit="1" customWidth="1"/>
    <col min="4358" max="4358" width="9" style="2" bestFit="1" customWidth="1"/>
    <col min="4359" max="4359" width="9.140625" style="2"/>
    <col min="4360" max="4360" width="10.42578125" style="2" bestFit="1" customWidth="1"/>
    <col min="4361" max="4361" width="11.5703125" style="2" bestFit="1" customWidth="1"/>
    <col min="4362" max="4604" width="9.140625" style="2"/>
    <col min="4605" max="4605" width="39.5703125" style="2" customWidth="1"/>
    <col min="4606" max="4606" width="11.42578125" style="2" bestFit="1" customWidth="1"/>
    <col min="4607" max="4607" width="10.5703125" style="2" bestFit="1" customWidth="1"/>
    <col min="4608" max="4608" width="8.42578125" style="2" bestFit="1" customWidth="1"/>
    <col min="4609" max="4609" width="10.28515625" style="2" bestFit="1" customWidth="1"/>
    <col min="4610" max="4610" width="9.28515625" style="2" bestFit="1" customWidth="1"/>
    <col min="4611" max="4611" width="10.42578125" style="2" bestFit="1" customWidth="1"/>
    <col min="4612" max="4612" width="8.42578125" style="2" bestFit="1" customWidth="1"/>
    <col min="4613" max="4613" width="8.85546875" style="2" bestFit="1" customWidth="1"/>
    <col min="4614" max="4614" width="9" style="2" bestFit="1" customWidth="1"/>
    <col min="4615" max="4615" width="9.140625" style="2"/>
    <col min="4616" max="4616" width="10.42578125" style="2" bestFit="1" customWidth="1"/>
    <col min="4617" max="4617" width="11.5703125" style="2" bestFit="1" customWidth="1"/>
    <col min="4618" max="4860" width="9.140625" style="2"/>
    <col min="4861" max="4861" width="39.5703125" style="2" customWidth="1"/>
    <col min="4862" max="4862" width="11.42578125" style="2" bestFit="1" customWidth="1"/>
    <col min="4863" max="4863" width="10.5703125" style="2" bestFit="1" customWidth="1"/>
    <col min="4864" max="4864" width="8.42578125" style="2" bestFit="1" customWidth="1"/>
    <col min="4865" max="4865" width="10.28515625" style="2" bestFit="1" customWidth="1"/>
    <col min="4866" max="4866" width="9.28515625" style="2" bestFit="1" customWidth="1"/>
    <col min="4867" max="4867" width="10.42578125" style="2" bestFit="1" customWidth="1"/>
    <col min="4868" max="4868" width="8.42578125" style="2" bestFit="1" customWidth="1"/>
    <col min="4869" max="4869" width="8.85546875" style="2" bestFit="1" customWidth="1"/>
    <col min="4870" max="4870" width="9" style="2" bestFit="1" customWidth="1"/>
    <col min="4871" max="4871" width="9.140625" style="2"/>
    <col min="4872" max="4872" width="10.42578125" style="2" bestFit="1" customWidth="1"/>
    <col min="4873" max="4873" width="11.5703125" style="2" bestFit="1" customWidth="1"/>
    <col min="4874" max="5116" width="9.140625" style="2"/>
    <col min="5117" max="5117" width="39.5703125" style="2" customWidth="1"/>
    <col min="5118" max="5118" width="11.42578125" style="2" bestFit="1" customWidth="1"/>
    <col min="5119" max="5119" width="10.5703125" style="2" bestFit="1" customWidth="1"/>
    <col min="5120" max="5120" width="8.42578125" style="2" bestFit="1" customWidth="1"/>
    <col min="5121" max="5121" width="10.28515625" style="2" bestFit="1" customWidth="1"/>
    <col min="5122" max="5122" width="9.28515625" style="2" bestFit="1" customWidth="1"/>
    <col min="5123" max="5123" width="10.42578125" style="2" bestFit="1" customWidth="1"/>
    <col min="5124" max="5124" width="8.42578125" style="2" bestFit="1" customWidth="1"/>
    <col min="5125" max="5125" width="8.85546875" style="2" bestFit="1" customWidth="1"/>
    <col min="5126" max="5126" width="9" style="2" bestFit="1" customWidth="1"/>
    <col min="5127" max="5127" width="9.140625" style="2"/>
    <col min="5128" max="5128" width="10.42578125" style="2" bestFit="1" customWidth="1"/>
    <col min="5129" max="5129" width="11.5703125" style="2" bestFit="1" customWidth="1"/>
    <col min="5130" max="5372" width="9.140625" style="2"/>
    <col min="5373" max="5373" width="39.5703125" style="2" customWidth="1"/>
    <col min="5374" max="5374" width="11.42578125" style="2" bestFit="1" customWidth="1"/>
    <col min="5375" max="5375" width="10.5703125" style="2" bestFit="1" customWidth="1"/>
    <col min="5376" max="5376" width="8.42578125" style="2" bestFit="1" customWidth="1"/>
    <col min="5377" max="5377" width="10.28515625" style="2" bestFit="1" customWidth="1"/>
    <col min="5378" max="5378" width="9.28515625" style="2" bestFit="1" customWidth="1"/>
    <col min="5379" max="5379" width="10.42578125" style="2" bestFit="1" customWidth="1"/>
    <col min="5380" max="5380" width="8.42578125" style="2" bestFit="1" customWidth="1"/>
    <col min="5381" max="5381" width="8.85546875" style="2" bestFit="1" customWidth="1"/>
    <col min="5382" max="5382" width="9" style="2" bestFit="1" customWidth="1"/>
    <col min="5383" max="5383" width="9.140625" style="2"/>
    <col min="5384" max="5384" width="10.42578125" style="2" bestFit="1" customWidth="1"/>
    <col min="5385" max="5385" width="11.5703125" style="2" bestFit="1" customWidth="1"/>
    <col min="5386" max="5628" width="9.140625" style="2"/>
    <col min="5629" max="5629" width="39.5703125" style="2" customWidth="1"/>
    <col min="5630" max="5630" width="11.42578125" style="2" bestFit="1" customWidth="1"/>
    <col min="5631" max="5631" width="10.5703125" style="2" bestFit="1" customWidth="1"/>
    <col min="5632" max="5632" width="8.42578125" style="2" bestFit="1" customWidth="1"/>
    <col min="5633" max="5633" width="10.28515625" style="2" bestFit="1" customWidth="1"/>
    <col min="5634" max="5634" width="9.28515625" style="2" bestFit="1" customWidth="1"/>
    <col min="5635" max="5635" width="10.42578125" style="2" bestFit="1" customWidth="1"/>
    <col min="5636" max="5636" width="8.42578125" style="2" bestFit="1" customWidth="1"/>
    <col min="5637" max="5637" width="8.85546875" style="2" bestFit="1" customWidth="1"/>
    <col min="5638" max="5638" width="9" style="2" bestFit="1" customWidth="1"/>
    <col min="5639" max="5639" width="9.140625" style="2"/>
    <col min="5640" max="5640" width="10.42578125" style="2" bestFit="1" customWidth="1"/>
    <col min="5641" max="5641" width="11.5703125" style="2" bestFit="1" customWidth="1"/>
    <col min="5642" max="5884" width="9.140625" style="2"/>
    <col min="5885" max="5885" width="39.5703125" style="2" customWidth="1"/>
    <col min="5886" max="5886" width="11.42578125" style="2" bestFit="1" customWidth="1"/>
    <col min="5887" max="5887" width="10.5703125" style="2" bestFit="1" customWidth="1"/>
    <col min="5888" max="5888" width="8.42578125" style="2" bestFit="1" customWidth="1"/>
    <col min="5889" max="5889" width="10.28515625" style="2" bestFit="1" customWidth="1"/>
    <col min="5890" max="5890" width="9.28515625" style="2" bestFit="1" customWidth="1"/>
    <col min="5891" max="5891" width="10.42578125" style="2" bestFit="1" customWidth="1"/>
    <col min="5892" max="5892" width="8.42578125" style="2" bestFit="1" customWidth="1"/>
    <col min="5893" max="5893" width="8.85546875" style="2" bestFit="1" customWidth="1"/>
    <col min="5894" max="5894" width="9" style="2" bestFit="1" customWidth="1"/>
    <col min="5895" max="5895" width="9.140625" style="2"/>
    <col min="5896" max="5896" width="10.42578125" style="2" bestFit="1" customWidth="1"/>
    <col min="5897" max="5897" width="11.5703125" style="2" bestFit="1" customWidth="1"/>
    <col min="5898" max="6140" width="9.140625" style="2"/>
    <col min="6141" max="6141" width="39.5703125" style="2" customWidth="1"/>
    <col min="6142" max="6142" width="11.42578125" style="2" bestFit="1" customWidth="1"/>
    <col min="6143" max="6143" width="10.5703125" style="2" bestFit="1" customWidth="1"/>
    <col min="6144" max="6144" width="8.42578125" style="2" bestFit="1" customWidth="1"/>
    <col min="6145" max="6145" width="10.28515625" style="2" bestFit="1" customWidth="1"/>
    <col min="6146" max="6146" width="9.28515625" style="2" bestFit="1" customWidth="1"/>
    <col min="6147" max="6147" width="10.42578125" style="2" bestFit="1" customWidth="1"/>
    <col min="6148" max="6148" width="8.42578125" style="2" bestFit="1" customWidth="1"/>
    <col min="6149" max="6149" width="8.85546875" style="2" bestFit="1" customWidth="1"/>
    <col min="6150" max="6150" width="9" style="2" bestFit="1" customWidth="1"/>
    <col min="6151" max="6151" width="9.140625" style="2"/>
    <col min="6152" max="6152" width="10.42578125" style="2" bestFit="1" customWidth="1"/>
    <col min="6153" max="6153" width="11.5703125" style="2" bestFit="1" customWidth="1"/>
    <col min="6154" max="6396" width="9.140625" style="2"/>
    <col min="6397" max="6397" width="39.5703125" style="2" customWidth="1"/>
    <col min="6398" max="6398" width="11.42578125" style="2" bestFit="1" customWidth="1"/>
    <col min="6399" max="6399" width="10.5703125" style="2" bestFit="1" customWidth="1"/>
    <col min="6400" max="6400" width="8.42578125" style="2" bestFit="1" customWidth="1"/>
    <col min="6401" max="6401" width="10.28515625" style="2" bestFit="1" customWidth="1"/>
    <col min="6402" max="6402" width="9.28515625" style="2" bestFit="1" customWidth="1"/>
    <col min="6403" max="6403" width="10.42578125" style="2" bestFit="1" customWidth="1"/>
    <col min="6404" max="6404" width="8.42578125" style="2" bestFit="1" customWidth="1"/>
    <col min="6405" max="6405" width="8.85546875" style="2" bestFit="1" customWidth="1"/>
    <col min="6406" max="6406" width="9" style="2" bestFit="1" customWidth="1"/>
    <col min="6407" max="6407" width="9.140625" style="2"/>
    <col min="6408" max="6408" width="10.42578125" style="2" bestFit="1" customWidth="1"/>
    <col min="6409" max="6409" width="11.5703125" style="2" bestFit="1" customWidth="1"/>
    <col min="6410" max="6652" width="9.140625" style="2"/>
    <col min="6653" max="6653" width="39.5703125" style="2" customWidth="1"/>
    <col min="6654" max="6654" width="11.42578125" style="2" bestFit="1" customWidth="1"/>
    <col min="6655" max="6655" width="10.5703125" style="2" bestFit="1" customWidth="1"/>
    <col min="6656" max="6656" width="8.42578125" style="2" bestFit="1" customWidth="1"/>
    <col min="6657" max="6657" width="10.28515625" style="2" bestFit="1" customWidth="1"/>
    <col min="6658" max="6658" width="9.28515625" style="2" bestFit="1" customWidth="1"/>
    <col min="6659" max="6659" width="10.42578125" style="2" bestFit="1" customWidth="1"/>
    <col min="6660" max="6660" width="8.42578125" style="2" bestFit="1" customWidth="1"/>
    <col min="6661" max="6661" width="8.85546875" style="2" bestFit="1" customWidth="1"/>
    <col min="6662" max="6662" width="9" style="2" bestFit="1" customWidth="1"/>
    <col min="6663" max="6663" width="9.140625" style="2"/>
    <col min="6664" max="6664" width="10.42578125" style="2" bestFit="1" customWidth="1"/>
    <col min="6665" max="6665" width="11.5703125" style="2" bestFit="1" customWidth="1"/>
    <col min="6666" max="6908" width="9.140625" style="2"/>
    <col min="6909" max="6909" width="39.5703125" style="2" customWidth="1"/>
    <col min="6910" max="6910" width="11.42578125" style="2" bestFit="1" customWidth="1"/>
    <col min="6911" max="6911" width="10.5703125" style="2" bestFit="1" customWidth="1"/>
    <col min="6912" max="6912" width="8.42578125" style="2" bestFit="1" customWidth="1"/>
    <col min="6913" max="6913" width="10.28515625" style="2" bestFit="1" customWidth="1"/>
    <col min="6914" max="6914" width="9.28515625" style="2" bestFit="1" customWidth="1"/>
    <col min="6915" max="6915" width="10.42578125" style="2" bestFit="1" customWidth="1"/>
    <col min="6916" max="6916" width="8.42578125" style="2" bestFit="1" customWidth="1"/>
    <col min="6917" max="6917" width="8.85546875" style="2" bestFit="1" customWidth="1"/>
    <col min="6918" max="6918" width="9" style="2" bestFit="1" customWidth="1"/>
    <col min="6919" max="6919" width="9.140625" style="2"/>
    <col min="6920" max="6920" width="10.42578125" style="2" bestFit="1" customWidth="1"/>
    <col min="6921" max="6921" width="11.5703125" style="2" bestFit="1" customWidth="1"/>
    <col min="6922" max="7164" width="9.140625" style="2"/>
    <col min="7165" max="7165" width="39.5703125" style="2" customWidth="1"/>
    <col min="7166" max="7166" width="11.42578125" style="2" bestFit="1" customWidth="1"/>
    <col min="7167" max="7167" width="10.5703125" style="2" bestFit="1" customWidth="1"/>
    <col min="7168" max="7168" width="8.42578125" style="2" bestFit="1" customWidth="1"/>
    <col min="7169" max="7169" width="10.28515625" style="2" bestFit="1" customWidth="1"/>
    <col min="7170" max="7170" width="9.28515625" style="2" bestFit="1" customWidth="1"/>
    <col min="7171" max="7171" width="10.42578125" style="2" bestFit="1" customWidth="1"/>
    <col min="7172" max="7172" width="8.42578125" style="2" bestFit="1" customWidth="1"/>
    <col min="7173" max="7173" width="8.85546875" style="2" bestFit="1" customWidth="1"/>
    <col min="7174" max="7174" width="9" style="2" bestFit="1" customWidth="1"/>
    <col min="7175" max="7175" width="9.140625" style="2"/>
    <col min="7176" max="7176" width="10.42578125" style="2" bestFit="1" customWidth="1"/>
    <col min="7177" max="7177" width="11.5703125" style="2" bestFit="1" customWidth="1"/>
    <col min="7178" max="7420" width="9.140625" style="2"/>
    <col min="7421" max="7421" width="39.5703125" style="2" customWidth="1"/>
    <col min="7422" max="7422" width="11.42578125" style="2" bestFit="1" customWidth="1"/>
    <col min="7423" max="7423" width="10.5703125" style="2" bestFit="1" customWidth="1"/>
    <col min="7424" max="7424" width="8.42578125" style="2" bestFit="1" customWidth="1"/>
    <col min="7425" max="7425" width="10.28515625" style="2" bestFit="1" customWidth="1"/>
    <col min="7426" max="7426" width="9.28515625" style="2" bestFit="1" customWidth="1"/>
    <col min="7427" max="7427" width="10.42578125" style="2" bestFit="1" customWidth="1"/>
    <col min="7428" max="7428" width="8.42578125" style="2" bestFit="1" customWidth="1"/>
    <col min="7429" max="7429" width="8.85546875" style="2" bestFit="1" customWidth="1"/>
    <col min="7430" max="7430" width="9" style="2" bestFit="1" customWidth="1"/>
    <col min="7431" max="7431" width="9.140625" style="2"/>
    <col min="7432" max="7432" width="10.42578125" style="2" bestFit="1" customWidth="1"/>
    <col min="7433" max="7433" width="11.5703125" style="2" bestFit="1" customWidth="1"/>
    <col min="7434" max="7676" width="9.140625" style="2"/>
    <col min="7677" max="7677" width="39.5703125" style="2" customWidth="1"/>
    <col min="7678" max="7678" width="11.42578125" style="2" bestFit="1" customWidth="1"/>
    <col min="7679" max="7679" width="10.5703125" style="2" bestFit="1" customWidth="1"/>
    <col min="7680" max="7680" width="8.42578125" style="2" bestFit="1" customWidth="1"/>
    <col min="7681" max="7681" width="10.28515625" style="2" bestFit="1" customWidth="1"/>
    <col min="7682" max="7682" width="9.28515625" style="2" bestFit="1" customWidth="1"/>
    <col min="7683" max="7683" width="10.42578125" style="2" bestFit="1" customWidth="1"/>
    <col min="7684" max="7684" width="8.42578125" style="2" bestFit="1" customWidth="1"/>
    <col min="7685" max="7685" width="8.85546875" style="2" bestFit="1" customWidth="1"/>
    <col min="7686" max="7686" width="9" style="2" bestFit="1" customWidth="1"/>
    <col min="7687" max="7687" width="9.140625" style="2"/>
    <col min="7688" max="7688" width="10.42578125" style="2" bestFit="1" customWidth="1"/>
    <col min="7689" max="7689" width="11.5703125" style="2" bestFit="1" customWidth="1"/>
    <col min="7690" max="7932" width="9.140625" style="2"/>
    <col min="7933" max="7933" width="39.5703125" style="2" customWidth="1"/>
    <col min="7934" max="7934" width="11.42578125" style="2" bestFit="1" customWidth="1"/>
    <col min="7935" max="7935" width="10.5703125" style="2" bestFit="1" customWidth="1"/>
    <col min="7936" max="7936" width="8.42578125" style="2" bestFit="1" customWidth="1"/>
    <col min="7937" max="7937" width="10.28515625" style="2" bestFit="1" customWidth="1"/>
    <col min="7938" max="7938" width="9.28515625" style="2" bestFit="1" customWidth="1"/>
    <col min="7939" max="7939" width="10.42578125" style="2" bestFit="1" customWidth="1"/>
    <col min="7940" max="7940" width="8.42578125" style="2" bestFit="1" customWidth="1"/>
    <col min="7941" max="7941" width="8.85546875" style="2" bestFit="1" customWidth="1"/>
    <col min="7942" max="7942" width="9" style="2" bestFit="1" customWidth="1"/>
    <col min="7943" max="7943" width="9.140625" style="2"/>
    <col min="7944" max="7944" width="10.42578125" style="2" bestFit="1" customWidth="1"/>
    <col min="7945" max="7945" width="11.5703125" style="2" bestFit="1" customWidth="1"/>
    <col min="7946" max="8188" width="9.140625" style="2"/>
    <col min="8189" max="8189" width="39.5703125" style="2" customWidth="1"/>
    <col min="8190" max="8190" width="11.42578125" style="2" bestFit="1" customWidth="1"/>
    <col min="8191" max="8191" width="10.5703125" style="2" bestFit="1" customWidth="1"/>
    <col min="8192" max="8192" width="8.42578125" style="2" bestFit="1" customWidth="1"/>
    <col min="8193" max="8193" width="10.28515625" style="2" bestFit="1" customWidth="1"/>
    <col min="8194" max="8194" width="9.28515625" style="2" bestFit="1" customWidth="1"/>
    <col min="8195" max="8195" width="10.42578125" style="2" bestFit="1" customWidth="1"/>
    <col min="8196" max="8196" width="8.42578125" style="2" bestFit="1" customWidth="1"/>
    <col min="8197" max="8197" width="8.85546875" style="2" bestFit="1" customWidth="1"/>
    <col min="8198" max="8198" width="9" style="2" bestFit="1" customWidth="1"/>
    <col min="8199" max="8199" width="9.140625" style="2"/>
    <col min="8200" max="8200" width="10.42578125" style="2" bestFit="1" customWidth="1"/>
    <col min="8201" max="8201" width="11.5703125" style="2" bestFit="1" customWidth="1"/>
    <col min="8202" max="8444" width="9.140625" style="2"/>
    <col min="8445" max="8445" width="39.5703125" style="2" customWidth="1"/>
    <col min="8446" max="8446" width="11.42578125" style="2" bestFit="1" customWidth="1"/>
    <col min="8447" max="8447" width="10.5703125" style="2" bestFit="1" customWidth="1"/>
    <col min="8448" max="8448" width="8.42578125" style="2" bestFit="1" customWidth="1"/>
    <col min="8449" max="8449" width="10.28515625" style="2" bestFit="1" customWidth="1"/>
    <col min="8450" max="8450" width="9.28515625" style="2" bestFit="1" customWidth="1"/>
    <col min="8451" max="8451" width="10.42578125" style="2" bestFit="1" customWidth="1"/>
    <col min="8452" max="8452" width="8.42578125" style="2" bestFit="1" customWidth="1"/>
    <col min="8453" max="8453" width="8.85546875" style="2" bestFit="1" customWidth="1"/>
    <col min="8454" max="8454" width="9" style="2" bestFit="1" customWidth="1"/>
    <col min="8455" max="8455" width="9.140625" style="2"/>
    <col min="8456" max="8456" width="10.42578125" style="2" bestFit="1" customWidth="1"/>
    <col min="8457" max="8457" width="11.5703125" style="2" bestFit="1" customWidth="1"/>
    <col min="8458" max="8700" width="9.140625" style="2"/>
    <col min="8701" max="8701" width="39.5703125" style="2" customWidth="1"/>
    <col min="8702" max="8702" width="11.42578125" style="2" bestFit="1" customWidth="1"/>
    <col min="8703" max="8703" width="10.5703125" style="2" bestFit="1" customWidth="1"/>
    <col min="8704" max="8704" width="8.42578125" style="2" bestFit="1" customWidth="1"/>
    <col min="8705" max="8705" width="10.28515625" style="2" bestFit="1" customWidth="1"/>
    <col min="8706" max="8706" width="9.28515625" style="2" bestFit="1" customWidth="1"/>
    <col min="8707" max="8707" width="10.42578125" style="2" bestFit="1" customWidth="1"/>
    <col min="8708" max="8708" width="8.42578125" style="2" bestFit="1" customWidth="1"/>
    <col min="8709" max="8709" width="8.85546875" style="2" bestFit="1" customWidth="1"/>
    <col min="8710" max="8710" width="9" style="2" bestFit="1" customWidth="1"/>
    <col min="8711" max="8711" width="9.140625" style="2"/>
    <col min="8712" max="8712" width="10.42578125" style="2" bestFit="1" customWidth="1"/>
    <col min="8713" max="8713" width="11.5703125" style="2" bestFit="1" customWidth="1"/>
    <col min="8714" max="8956" width="9.140625" style="2"/>
    <col min="8957" max="8957" width="39.5703125" style="2" customWidth="1"/>
    <col min="8958" max="8958" width="11.42578125" style="2" bestFit="1" customWidth="1"/>
    <col min="8959" max="8959" width="10.5703125" style="2" bestFit="1" customWidth="1"/>
    <col min="8960" max="8960" width="8.42578125" style="2" bestFit="1" customWidth="1"/>
    <col min="8961" max="8961" width="10.28515625" style="2" bestFit="1" customWidth="1"/>
    <col min="8962" max="8962" width="9.28515625" style="2" bestFit="1" customWidth="1"/>
    <col min="8963" max="8963" width="10.42578125" style="2" bestFit="1" customWidth="1"/>
    <col min="8964" max="8964" width="8.42578125" style="2" bestFit="1" customWidth="1"/>
    <col min="8965" max="8965" width="8.85546875" style="2" bestFit="1" customWidth="1"/>
    <col min="8966" max="8966" width="9" style="2" bestFit="1" customWidth="1"/>
    <col min="8967" max="8967" width="9.140625" style="2"/>
    <col min="8968" max="8968" width="10.42578125" style="2" bestFit="1" customWidth="1"/>
    <col min="8969" max="8969" width="11.5703125" style="2" bestFit="1" customWidth="1"/>
    <col min="8970" max="9212" width="9.140625" style="2"/>
    <col min="9213" max="9213" width="39.5703125" style="2" customWidth="1"/>
    <col min="9214" max="9214" width="11.42578125" style="2" bestFit="1" customWidth="1"/>
    <col min="9215" max="9215" width="10.5703125" style="2" bestFit="1" customWidth="1"/>
    <col min="9216" max="9216" width="8.42578125" style="2" bestFit="1" customWidth="1"/>
    <col min="9217" max="9217" width="10.28515625" style="2" bestFit="1" customWidth="1"/>
    <col min="9218" max="9218" width="9.28515625" style="2" bestFit="1" customWidth="1"/>
    <col min="9219" max="9219" width="10.42578125" style="2" bestFit="1" customWidth="1"/>
    <col min="9220" max="9220" width="8.42578125" style="2" bestFit="1" customWidth="1"/>
    <col min="9221" max="9221" width="8.85546875" style="2" bestFit="1" customWidth="1"/>
    <col min="9222" max="9222" width="9" style="2" bestFit="1" customWidth="1"/>
    <col min="9223" max="9223" width="9.140625" style="2"/>
    <col min="9224" max="9224" width="10.42578125" style="2" bestFit="1" customWidth="1"/>
    <col min="9225" max="9225" width="11.5703125" style="2" bestFit="1" customWidth="1"/>
    <col min="9226" max="9468" width="9.140625" style="2"/>
    <col min="9469" max="9469" width="39.5703125" style="2" customWidth="1"/>
    <col min="9470" max="9470" width="11.42578125" style="2" bestFit="1" customWidth="1"/>
    <col min="9471" max="9471" width="10.5703125" style="2" bestFit="1" customWidth="1"/>
    <col min="9472" max="9472" width="8.42578125" style="2" bestFit="1" customWidth="1"/>
    <col min="9473" max="9473" width="10.28515625" style="2" bestFit="1" customWidth="1"/>
    <col min="9474" max="9474" width="9.28515625" style="2" bestFit="1" customWidth="1"/>
    <col min="9475" max="9475" width="10.42578125" style="2" bestFit="1" customWidth="1"/>
    <col min="9476" max="9476" width="8.42578125" style="2" bestFit="1" customWidth="1"/>
    <col min="9477" max="9477" width="8.85546875" style="2" bestFit="1" customWidth="1"/>
    <col min="9478" max="9478" width="9" style="2" bestFit="1" customWidth="1"/>
    <col min="9479" max="9479" width="9.140625" style="2"/>
    <col min="9480" max="9480" width="10.42578125" style="2" bestFit="1" customWidth="1"/>
    <col min="9481" max="9481" width="11.5703125" style="2" bestFit="1" customWidth="1"/>
    <col min="9482" max="9724" width="9.140625" style="2"/>
    <col min="9725" max="9725" width="39.5703125" style="2" customWidth="1"/>
    <col min="9726" max="9726" width="11.42578125" style="2" bestFit="1" customWidth="1"/>
    <col min="9727" max="9727" width="10.5703125" style="2" bestFit="1" customWidth="1"/>
    <col min="9728" max="9728" width="8.42578125" style="2" bestFit="1" customWidth="1"/>
    <col min="9729" max="9729" width="10.28515625" style="2" bestFit="1" customWidth="1"/>
    <col min="9730" max="9730" width="9.28515625" style="2" bestFit="1" customWidth="1"/>
    <col min="9731" max="9731" width="10.42578125" style="2" bestFit="1" customWidth="1"/>
    <col min="9732" max="9732" width="8.42578125" style="2" bestFit="1" customWidth="1"/>
    <col min="9733" max="9733" width="8.85546875" style="2" bestFit="1" customWidth="1"/>
    <col min="9734" max="9734" width="9" style="2" bestFit="1" customWidth="1"/>
    <col min="9735" max="9735" width="9.140625" style="2"/>
    <col min="9736" max="9736" width="10.42578125" style="2" bestFit="1" customWidth="1"/>
    <col min="9737" max="9737" width="11.5703125" style="2" bestFit="1" customWidth="1"/>
    <col min="9738" max="9980" width="9.140625" style="2"/>
    <col min="9981" max="9981" width="39.5703125" style="2" customWidth="1"/>
    <col min="9982" max="9982" width="11.42578125" style="2" bestFit="1" customWidth="1"/>
    <col min="9983" max="9983" width="10.5703125" style="2" bestFit="1" customWidth="1"/>
    <col min="9984" max="9984" width="8.42578125" style="2" bestFit="1" customWidth="1"/>
    <col min="9985" max="9985" width="10.28515625" style="2" bestFit="1" customWidth="1"/>
    <col min="9986" max="9986" width="9.28515625" style="2" bestFit="1" customWidth="1"/>
    <col min="9987" max="9987" width="10.42578125" style="2" bestFit="1" customWidth="1"/>
    <col min="9988" max="9988" width="8.42578125" style="2" bestFit="1" customWidth="1"/>
    <col min="9989" max="9989" width="8.85546875" style="2" bestFit="1" customWidth="1"/>
    <col min="9990" max="9990" width="9" style="2" bestFit="1" customWidth="1"/>
    <col min="9991" max="9991" width="9.140625" style="2"/>
    <col min="9992" max="9992" width="10.42578125" style="2" bestFit="1" customWidth="1"/>
    <col min="9993" max="9993" width="11.5703125" style="2" bestFit="1" customWidth="1"/>
    <col min="9994" max="10236" width="9.140625" style="2"/>
    <col min="10237" max="10237" width="39.5703125" style="2" customWidth="1"/>
    <col min="10238" max="10238" width="11.42578125" style="2" bestFit="1" customWidth="1"/>
    <col min="10239" max="10239" width="10.5703125" style="2" bestFit="1" customWidth="1"/>
    <col min="10240" max="10240" width="8.42578125" style="2" bestFit="1" customWidth="1"/>
    <col min="10241" max="10241" width="10.28515625" style="2" bestFit="1" customWidth="1"/>
    <col min="10242" max="10242" width="9.28515625" style="2" bestFit="1" customWidth="1"/>
    <col min="10243" max="10243" width="10.42578125" style="2" bestFit="1" customWidth="1"/>
    <col min="10244" max="10244" width="8.42578125" style="2" bestFit="1" customWidth="1"/>
    <col min="10245" max="10245" width="8.85546875" style="2" bestFit="1" customWidth="1"/>
    <col min="10246" max="10246" width="9" style="2" bestFit="1" customWidth="1"/>
    <col min="10247" max="10247" width="9.140625" style="2"/>
    <col min="10248" max="10248" width="10.42578125" style="2" bestFit="1" customWidth="1"/>
    <col min="10249" max="10249" width="11.5703125" style="2" bestFit="1" customWidth="1"/>
    <col min="10250" max="10492" width="9.140625" style="2"/>
    <col min="10493" max="10493" width="39.5703125" style="2" customWidth="1"/>
    <col min="10494" max="10494" width="11.42578125" style="2" bestFit="1" customWidth="1"/>
    <col min="10495" max="10495" width="10.5703125" style="2" bestFit="1" customWidth="1"/>
    <col min="10496" max="10496" width="8.42578125" style="2" bestFit="1" customWidth="1"/>
    <col min="10497" max="10497" width="10.28515625" style="2" bestFit="1" customWidth="1"/>
    <col min="10498" max="10498" width="9.28515625" style="2" bestFit="1" customWidth="1"/>
    <col min="10499" max="10499" width="10.42578125" style="2" bestFit="1" customWidth="1"/>
    <col min="10500" max="10500" width="8.42578125" style="2" bestFit="1" customWidth="1"/>
    <col min="10501" max="10501" width="8.85546875" style="2" bestFit="1" customWidth="1"/>
    <col min="10502" max="10502" width="9" style="2" bestFit="1" customWidth="1"/>
    <col min="10503" max="10503" width="9.140625" style="2"/>
    <col min="10504" max="10504" width="10.42578125" style="2" bestFit="1" customWidth="1"/>
    <col min="10505" max="10505" width="11.5703125" style="2" bestFit="1" customWidth="1"/>
    <col min="10506" max="10748" width="9.140625" style="2"/>
    <col min="10749" max="10749" width="39.5703125" style="2" customWidth="1"/>
    <col min="10750" max="10750" width="11.42578125" style="2" bestFit="1" customWidth="1"/>
    <col min="10751" max="10751" width="10.5703125" style="2" bestFit="1" customWidth="1"/>
    <col min="10752" max="10752" width="8.42578125" style="2" bestFit="1" customWidth="1"/>
    <col min="10753" max="10753" width="10.28515625" style="2" bestFit="1" customWidth="1"/>
    <col min="10754" max="10754" width="9.28515625" style="2" bestFit="1" customWidth="1"/>
    <col min="10755" max="10755" width="10.42578125" style="2" bestFit="1" customWidth="1"/>
    <col min="10756" max="10756" width="8.42578125" style="2" bestFit="1" customWidth="1"/>
    <col min="10757" max="10757" width="8.85546875" style="2" bestFit="1" customWidth="1"/>
    <col min="10758" max="10758" width="9" style="2" bestFit="1" customWidth="1"/>
    <col min="10759" max="10759" width="9.140625" style="2"/>
    <col min="10760" max="10760" width="10.42578125" style="2" bestFit="1" customWidth="1"/>
    <col min="10761" max="10761" width="11.5703125" style="2" bestFit="1" customWidth="1"/>
    <col min="10762" max="11004" width="9.140625" style="2"/>
    <col min="11005" max="11005" width="39.5703125" style="2" customWidth="1"/>
    <col min="11006" max="11006" width="11.42578125" style="2" bestFit="1" customWidth="1"/>
    <col min="11007" max="11007" width="10.5703125" style="2" bestFit="1" customWidth="1"/>
    <col min="11008" max="11008" width="8.42578125" style="2" bestFit="1" customWidth="1"/>
    <col min="11009" max="11009" width="10.28515625" style="2" bestFit="1" customWidth="1"/>
    <col min="11010" max="11010" width="9.28515625" style="2" bestFit="1" customWidth="1"/>
    <col min="11011" max="11011" width="10.42578125" style="2" bestFit="1" customWidth="1"/>
    <col min="11012" max="11012" width="8.42578125" style="2" bestFit="1" customWidth="1"/>
    <col min="11013" max="11013" width="8.85546875" style="2" bestFit="1" customWidth="1"/>
    <col min="11014" max="11014" width="9" style="2" bestFit="1" customWidth="1"/>
    <col min="11015" max="11015" width="9.140625" style="2"/>
    <col min="11016" max="11016" width="10.42578125" style="2" bestFit="1" customWidth="1"/>
    <col min="11017" max="11017" width="11.5703125" style="2" bestFit="1" customWidth="1"/>
    <col min="11018" max="11260" width="9.140625" style="2"/>
    <col min="11261" max="11261" width="39.5703125" style="2" customWidth="1"/>
    <col min="11262" max="11262" width="11.42578125" style="2" bestFit="1" customWidth="1"/>
    <col min="11263" max="11263" width="10.5703125" style="2" bestFit="1" customWidth="1"/>
    <col min="11264" max="11264" width="8.42578125" style="2" bestFit="1" customWidth="1"/>
    <col min="11265" max="11265" width="10.28515625" style="2" bestFit="1" customWidth="1"/>
    <col min="11266" max="11266" width="9.28515625" style="2" bestFit="1" customWidth="1"/>
    <col min="11267" max="11267" width="10.42578125" style="2" bestFit="1" customWidth="1"/>
    <col min="11268" max="11268" width="8.42578125" style="2" bestFit="1" customWidth="1"/>
    <col min="11269" max="11269" width="8.85546875" style="2" bestFit="1" customWidth="1"/>
    <col min="11270" max="11270" width="9" style="2" bestFit="1" customWidth="1"/>
    <col min="11271" max="11271" width="9.140625" style="2"/>
    <col min="11272" max="11272" width="10.42578125" style="2" bestFit="1" customWidth="1"/>
    <col min="11273" max="11273" width="11.5703125" style="2" bestFit="1" customWidth="1"/>
    <col min="11274" max="11516" width="9.140625" style="2"/>
    <col min="11517" max="11517" width="39.5703125" style="2" customWidth="1"/>
    <col min="11518" max="11518" width="11.42578125" style="2" bestFit="1" customWidth="1"/>
    <col min="11519" max="11519" width="10.5703125" style="2" bestFit="1" customWidth="1"/>
    <col min="11520" max="11520" width="8.42578125" style="2" bestFit="1" customWidth="1"/>
    <col min="11521" max="11521" width="10.28515625" style="2" bestFit="1" customWidth="1"/>
    <col min="11522" max="11522" width="9.28515625" style="2" bestFit="1" customWidth="1"/>
    <col min="11523" max="11523" width="10.42578125" style="2" bestFit="1" customWidth="1"/>
    <col min="11524" max="11524" width="8.42578125" style="2" bestFit="1" customWidth="1"/>
    <col min="11525" max="11525" width="8.85546875" style="2" bestFit="1" customWidth="1"/>
    <col min="11526" max="11526" width="9" style="2" bestFit="1" customWidth="1"/>
    <col min="11527" max="11527" width="9.140625" style="2"/>
    <col min="11528" max="11528" width="10.42578125" style="2" bestFit="1" customWidth="1"/>
    <col min="11529" max="11529" width="11.5703125" style="2" bestFit="1" customWidth="1"/>
    <col min="11530" max="11772" width="9.140625" style="2"/>
    <col min="11773" max="11773" width="39.5703125" style="2" customWidth="1"/>
    <col min="11774" max="11774" width="11.42578125" style="2" bestFit="1" customWidth="1"/>
    <col min="11775" max="11775" width="10.5703125" style="2" bestFit="1" customWidth="1"/>
    <col min="11776" max="11776" width="8.42578125" style="2" bestFit="1" customWidth="1"/>
    <col min="11777" max="11777" width="10.28515625" style="2" bestFit="1" customWidth="1"/>
    <col min="11778" max="11778" width="9.28515625" style="2" bestFit="1" customWidth="1"/>
    <col min="11779" max="11779" width="10.42578125" style="2" bestFit="1" customWidth="1"/>
    <col min="11780" max="11780" width="8.42578125" style="2" bestFit="1" customWidth="1"/>
    <col min="11781" max="11781" width="8.85546875" style="2" bestFit="1" customWidth="1"/>
    <col min="11782" max="11782" width="9" style="2" bestFit="1" customWidth="1"/>
    <col min="11783" max="11783" width="9.140625" style="2"/>
    <col min="11784" max="11784" width="10.42578125" style="2" bestFit="1" customWidth="1"/>
    <col min="11785" max="11785" width="11.5703125" style="2" bestFit="1" customWidth="1"/>
    <col min="11786" max="12028" width="9.140625" style="2"/>
    <col min="12029" max="12029" width="39.5703125" style="2" customWidth="1"/>
    <col min="12030" max="12030" width="11.42578125" style="2" bestFit="1" customWidth="1"/>
    <col min="12031" max="12031" width="10.5703125" style="2" bestFit="1" customWidth="1"/>
    <col min="12032" max="12032" width="8.42578125" style="2" bestFit="1" customWidth="1"/>
    <col min="12033" max="12033" width="10.28515625" style="2" bestFit="1" customWidth="1"/>
    <col min="12034" max="12034" width="9.28515625" style="2" bestFit="1" customWidth="1"/>
    <col min="12035" max="12035" width="10.42578125" style="2" bestFit="1" customWidth="1"/>
    <col min="12036" max="12036" width="8.42578125" style="2" bestFit="1" customWidth="1"/>
    <col min="12037" max="12037" width="8.85546875" style="2" bestFit="1" customWidth="1"/>
    <col min="12038" max="12038" width="9" style="2" bestFit="1" customWidth="1"/>
    <col min="12039" max="12039" width="9.140625" style="2"/>
    <col min="12040" max="12040" width="10.42578125" style="2" bestFit="1" customWidth="1"/>
    <col min="12041" max="12041" width="11.5703125" style="2" bestFit="1" customWidth="1"/>
    <col min="12042" max="12284" width="9.140625" style="2"/>
    <col min="12285" max="12285" width="39.5703125" style="2" customWidth="1"/>
    <col min="12286" max="12286" width="11.42578125" style="2" bestFit="1" customWidth="1"/>
    <col min="12287" max="12287" width="10.5703125" style="2" bestFit="1" customWidth="1"/>
    <col min="12288" max="12288" width="8.42578125" style="2" bestFit="1" customWidth="1"/>
    <col min="12289" max="12289" width="10.28515625" style="2" bestFit="1" customWidth="1"/>
    <col min="12290" max="12290" width="9.28515625" style="2" bestFit="1" customWidth="1"/>
    <col min="12291" max="12291" width="10.42578125" style="2" bestFit="1" customWidth="1"/>
    <col min="12292" max="12292" width="8.42578125" style="2" bestFit="1" customWidth="1"/>
    <col min="12293" max="12293" width="8.85546875" style="2" bestFit="1" customWidth="1"/>
    <col min="12294" max="12294" width="9" style="2" bestFit="1" customWidth="1"/>
    <col min="12295" max="12295" width="9.140625" style="2"/>
    <col min="12296" max="12296" width="10.42578125" style="2" bestFit="1" customWidth="1"/>
    <col min="12297" max="12297" width="11.5703125" style="2" bestFit="1" customWidth="1"/>
    <col min="12298" max="12540" width="9.140625" style="2"/>
    <col min="12541" max="12541" width="39.5703125" style="2" customWidth="1"/>
    <col min="12542" max="12542" width="11.42578125" style="2" bestFit="1" customWidth="1"/>
    <col min="12543" max="12543" width="10.5703125" style="2" bestFit="1" customWidth="1"/>
    <col min="12544" max="12544" width="8.42578125" style="2" bestFit="1" customWidth="1"/>
    <col min="12545" max="12545" width="10.28515625" style="2" bestFit="1" customWidth="1"/>
    <col min="12546" max="12546" width="9.28515625" style="2" bestFit="1" customWidth="1"/>
    <col min="12547" max="12547" width="10.42578125" style="2" bestFit="1" customWidth="1"/>
    <col min="12548" max="12548" width="8.42578125" style="2" bestFit="1" customWidth="1"/>
    <col min="12549" max="12549" width="8.85546875" style="2" bestFit="1" customWidth="1"/>
    <col min="12550" max="12550" width="9" style="2" bestFit="1" customWidth="1"/>
    <col min="12551" max="12551" width="9.140625" style="2"/>
    <col min="12552" max="12552" width="10.42578125" style="2" bestFit="1" customWidth="1"/>
    <col min="12553" max="12553" width="11.5703125" style="2" bestFit="1" customWidth="1"/>
    <col min="12554" max="12796" width="9.140625" style="2"/>
    <col min="12797" max="12797" width="39.5703125" style="2" customWidth="1"/>
    <col min="12798" max="12798" width="11.42578125" style="2" bestFit="1" customWidth="1"/>
    <col min="12799" max="12799" width="10.5703125" style="2" bestFit="1" customWidth="1"/>
    <col min="12800" max="12800" width="8.42578125" style="2" bestFit="1" customWidth="1"/>
    <col min="12801" max="12801" width="10.28515625" style="2" bestFit="1" customWidth="1"/>
    <col min="12802" max="12802" width="9.28515625" style="2" bestFit="1" customWidth="1"/>
    <col min="12803" max="12803" width="10.42578125" style="2" bestFit="1" customWidth="1"/>
    <col min="12804" max="12804" width="8.42578125" style="2" bestFit="1" customWidth="1"/>
    <col min="12805" max="12805" width="8.85546875" style="2" bestFit="1" customWidth="1"/>
    <col min="12806" max="12806" width="9" style="2" bestFit="1" customWidth="1"/>
    <col min="12807" max="12807" width="9.140625" style="2"/>
    <col min="12808" max="12808" width="10.42578125" style="2" bestFit="1" customWidth="1"/>
    <col min="12809" max="12809" width="11.5703125" style="2" bestFit="1" customWidth="1"/>
    <col min="12810" max="13052" width="9.140625" style="2"/>
    <col min="13053" max="13053" width="39.5703125" style="2" customWidth="1"/>
    <col min="13054" max="13054" width="11.42578125" style="2" bestFit="1" customWidth="1"/>
    <col min="13055" max="13055" width="10.5703125" style="2" bestFit="1" customWidth="1"/>
    <col min="13056" max="13056" width="8.42578125" style="2" bestFit="1" customWidth="1"/>
    <col min="13057" max="13057" width="10.28515625" style="2" bestFit="1" customWidth="1"/>
    <col min="13058" max="13058" width="9.28515625" style="2" bestFit="1" customWidth="1"/>
    <col min="13059" max="13059" width="10.42578125" style="2" bestFit="1" customWidth="1"/>
    <col min="13060" max="13060" width="8.42578125" style="2" bestFit="1" customWidth="1"/>
    <col min="13061" max="13061" width="8.85546875" style="2" bestFit="1" customWidth="1"/>
    <col min="13062" max="13062" width="9" style="2" bestFit="1" customWidth="1"/>
    <col min="13063" max="13063" width="9.140625" style="2"/>
    <col min="13064" max="13064" width="10.42578125" style="2" bestFit="1" customWidth="1"/>
    <col min="13065" max="13065" width="11.5703125" style="2" bestFit="1" customWidth="1"/>
    <col min="13066" max="13308" width="9.140625" style="2"/>
    <col min="13309" max="13309" width="39.5703125" style="2" customWidth="1"/>
    <col min="13310" max="13310" width="11.42578125" style="2" bestFit="1" customWidth="1"/>
    <col min="13311" max="13311" width="10.5703125" style="2" bestFit="1" customWidth="1"/>
    <col min="13312" max="13312" width="8.42578125" style="2" bestFit="1" customWidth="1"/>
    <col min="13313" max="13313" width="10.28515625" style="2" bestFit="1" customWidth="1"/>
    <col min="13314" max="13314" width="9.28515625" style="2" bestFit="1" customWidth="1"/>
    <col min="13315" max="13315" width="10.42578125" style="2" bestFit="1" customWidth="1"/>
    <col min="13316" max="13316" width="8.42578125" style="2" bestFit="1" customWidth="1"/>
    <col min="13317" max="13317" width="8.85546875" style="2" bestFit="1" customWidth="1"/>
    <col min="13318" max="13318" width="9" style="2" bestFit="1" customWidth="1"/>
    <col min="13319" max="13319" width="9.140625" style="2"/>
    <col min="13320" max="13320" width="10.42578125" style="2" bestFit="1" customWidth="1"/>
    <col min="13321" max="13321" width="11.5703125" style="2" bestFit="1" customWidth="1"/>
    <col min="13322" max="13564" width="9.140625" style="2"/>
    <col min="13565" max="13565" width="39.5703125" style="2" customWidth="1"/>
    <col min="13566" max="13566" width="11.42578125" style="2" bestFit="1" customWidth="1"/>
    <col min="13567" max="13567" width="10.5703125" style="2" bestFit="1" customWidth="1"/>
    <col min="13568" max="13568" width="8.42578125" style="2" bestFit="1" customWidth="1"/>
    <col min="13569" max="13569" width="10.28515625" style="2" bestFit="1" customWidth="1"/>
    <col min="13570" max="13570" width="9.28515625" style="2" bestFit="1" customWidth="1"/>
    <col min="13571" max="13571" width="10.42578125" style="2" bestFit="1" customWidth="1"/>
    <col min="13572" max="13572" width="8.42578125" style="2" bestFit="1" customWidth="1"/>
    <col min="13573" max="13573" width="8.85546875" style="2" bestFit="1" customWidth="1"/>
    <col min="13574" max="13574" width="9" style="2" bestFit="1" customWidth="1"/>
    <col min="13575" max="13575" width="9.140625" style="2"/>
    <col min="13576" max="13576" width="10.42578125" style="2" bestFit="1" customWidth="1"/>
    <col min="13577" max="13577" width="11.5703125" style="2" bestFit="1" customWidth="1"/>
    <col min="13578" max="13820" width="9.140625" style="2"/>
    <col min="13821" max="13821" width="39.5703125" style="2" customWidth="1"/>
    <col min="13822" max="13822" width="11.42578125" style="2" bestFit="1" customWidth="1"/>
    <col min="13823" max="13823" width="10.5703125" style="2" bestFit="1" customWidth="1"/>
    <col min="13824" max="13824" width="8.42578125" style="2" bestFit="1" customWidth="1"/>
    <col min="13825" max="13825" width="10.28515625" style="2" bestFit="1" customWidth="1"/>
    <col min="13826" max="13826" width="9.28515625" style="2" bestFit="1" customWidth="1"/>
    <col min="13827" max="13827" width="10.42578125" style="2" bestFit="1" customWidth="1"/>
    <col min="13828" max="13828" width="8.42578125" style="2" bestFit="1" customWidth="1"/>
    <col min="13829" max="13829" width="8.85546875" style="2" bestFit="1" customWidth="1"/>
    <col min="13830" max="13830" width="9" style="2" bestFit="1" customWidth="1"/>
    <col min="13831" max="13831" width="9.140625" style="2"/>
    <col min="13832" max="13832" width="10.42578125" style="2" bestFit="1" customWidth="1"/>
    <col min="13833" max="13833" width="11.5703125" style="2" bestFit="1" customWidth="1"/>
    <col min="13834" max="14076" width="9.140625" style="2"/>
    <col min="14077" max="14077" width="39.5703125" style="2" customWidth="1"/>
    <col min="14078" max="14078" width="11.42578125" style="2" bestFit="1" customWidth="1"/>
    <col min="14079" max="14079" width="10.5703125" style="2" bestFit="1" customWidth="1"/>
    <col min="14080" max="14080" width="8.42578125" style="2" bestFit="1" customWidth="1"/>
    <col min="14081" max="14081" width="10.28515625" style="2" bestFit="1" customWidth="1"/>
    <col min="14082" max="14082" width="9.28515625" style="2" bestFit="1" customWidth="1"/>
    <col min="14083" max="14083" width="10.42578125" style="2" bestFit="1" customWidth="1"/>
    <col min="14084" max="14084" width="8.42578125" style="2" bestFit="1" customWidth="1"/>
    <col min="14085" max="14085" width="8.85546875" style="2" bestFit="1" customWidth="1"/>
    <col min="14086" max="14086" width="9" style="2" bestFit="1" customWidth="1"/>
    <col min="14087" max="14087" width="9.140625" style="2"/>
    <col min="14088" max="14088" width="10.42578125" style="2" bestFit="1" customWidth="1"/>
    <col min="14089" max="14089" width="11.5703125" style="2" bestFit="1" customWidth="1"/>
    <col min="14090" max="14332" width="9.140625" style="2"/>
    <col min="14333" max="14333" width="39.5703125" style="2" customWidth="1"/>
    <col min="14334" max="14334" width="11.42578125" style="2" bestFit="1" customWidth="1"/>
    <col min="14335" max="14335" width="10.5703125" style="2" bestFit="1" customWidth="1"/>
    <col min="14336" max="14336" width="8.42578125" style="2" bestFit="1" customWidth="1"/>
    <col min="14337" max="14337" width="10.28515625" style="2" bestFit="1" customWidth="1"/>
    <col min="14338" max="14338" width="9.28515625" style="2" bestFit="1" customWidth="1"/>
    <col min="14339" max="14339" width="10.42578125" style="2" bestFit="1" customWidth="1"/>
    <col min="14340" max="14340" width="8.42578125" style="2" bestFit="1" customWidth="1"/>
    <col min="14341" max="14341" width="8.85546875" style="2" bestFit="1" customWidth="1"/>
    <col min="14342" max="14342" width="9" style="2" bestFit="1" customWidth="1"/>
    <col min="14343" max="14343" width="9.140625" style="2"/>
    <col min="14344" max="14344" width="10.42578125" style="2" bestFit="1" customWidth="1"/>
    <col min="14345" max="14345" width="11.5703125" style="2" bestFit="1" customWidth="1"/>
    <col min="14346" max="14588" width="9.140625" style="2"/>
    <col min="14589" max="14589" width="39.5703125" style="2" customWidth="1"/>
    <col min="14590" max="14590" width="11.42578125" style="2" bestFit="1" customWidth="1"/>
    <col min="14591" max="14591" width="10.5703125" style="2" bestFit="1" customWidth="1"/>
    <col min="14592" max="14592" width="8.42578125" style="2" bestFit="1" customWidth="1"/>
    <col min="14593" max="14593" width="10.28515625" style="2" bestFit="1" customWidth="1"/>
    <col min="14594" max="14594" width="9.28515625" style="2" bestFit="1" customWidth="1"/>
    <col min="14595" max="14595" width="10.42578125" style="2" bestFit="1" customWidth="1"/>
    <col min="14596" max="14596" width="8.42578125" style="2" bestFit="1" customWidth="1"/>
    <col min="14597" max="14597" width="8.85546875" style="2" bestFit="1" customWidth="1"/>
    <col min="14598" max="14598" width="9" style="2" bestFit="1" customWidth="1"/>
    <col min="14599" max="14599" width="9.140625" style="2"/>
    <col min="14600" max="14600" width="10.42578125" style="2" bestFit="1" customWidth="1"/>
    <col min="14601" max="14601" width="11.5703125" style="2" bestFit="1" customWidth="1"/>
    <col min="14602" max="14844" width="9.140625" style="2"/>
    <col min="14845" max="14845" width="39.5703125" style="2" customWidth="1"/>
    <col min="14846" max="14846" width="11.42578125" style="2" bestFit="1" customWidth="1"/>
    <col min="14847" max="14847" width="10.5703125" style="2" bestFit="1" customWidth="1"/>
    <col min="14848" max="14848" width="8.42578125" style="2" bestFit="1" customWidth="1"/>
    <col min="14849" max="14849" width="10.28515625" style="2" bestFit="1" customWidth="1"/>
    <col min="14850" max="14850" width="9.28515625" style="2" bestFit="1" customWidth="1"/>
    <col min="14851" max="14851" width="10.42578125" style="2" bestFit="1" customWidth="1"/>
    <col min="14852" max="14852" width="8.42578125" style="2" bestFit="1" customWidth="1"/>
    <col min="14853" max="14853" width="8.85546875" style="2" bestFit="1" customWidth="1"/>
    <col min="14854" max="14854" width="9" style="2" bestFit="1" customWidth="1"/>
    <col min="14855" max="14855" width="9.140625" style="2"/>
    <col min="14856" max="14856" width="10.42578125" style="2" bestFit="1" customWidth="1"/>
    <col min="14857" max="14857" width="11.5703125" style="2" bestFit="1" customWidth="1"/>
    <col min="14858" max="15100" width="9.140625" style="2"/>
    <col min="15101" max="15101" width="39.5703125" style="2" customWidth="1"/>
    <col min="15102" max="15102" width="11.42578125" style="2" bestFit="1" customWidth="1"/>
    <col min="15103" max="15103" width="10.5703125" style="2" bestFit="1" customWidth="1"/>
    <col min="15104" max="15104" width="8.42578125" style="2" bestFit="1" customWidth="1"/>
    <col min="15105" max="15105" width="10.28515625" style="2" bestFit="1" customWidth="1"/>
    <col min="15106" max="15106" width="9.28515625" style="2" bestFit="1" customWidth="1"/>
    <col min="15107" max="15107" width="10.42578125" style="2" bestFit="1" customWidth="1"/>
    <col min="15108" max="15108" width="8.42578125" style="2" bestFit="1" customWidth="1"/>
    <col min="15109" max="15109" width="8.85546875" style="2" bestFit="1" customWidth="1"/>
    <col min="15110" max="15110" width="9" style="2" bestFit="1" customWidth="1"/>
    <col min="15111" max="15111" width="9.140625" style="2"/>
    <col min="15112" max="15112" width="10.42578125" style="2" bestFit="1" customWidth="1"/>
    <col min="15113" max="15113" width="11.5703125" style="2" bestFit="1" customWidth="1"/>
    <col min="15114" max="15356" width="9.140625" style="2"/>
    <col min="15357" max="15357" width="39.5703125" style="2" customWidth="1"/>
    <col min="15358" max="15358" width="11.42578125" style="2" bestFit="1" customWidth="1"/>
    <col min="15359" max="15359" width="10.5703125" style="2" bestFit="1" customWidth="1"/>
    <col min="15360" max="15360" width="8.42578125" style="2" bestFit="1" customWidth="1"/>
    <col min="15361" max="15361" width="10.28515625" style="2" bestFit="1" customWidth="1"/>
    <col min="15362" max="15362" width="9.28515625" style="2" bestFit="1" customWidth="1"/>
    <col min="15363" max="15363" width="10.42578125" style="2" bestFit="1" customWidth="1"/>
    <col min="15364" max="15364" width="8.42578125" style="2" bestFit="1" customWidth="1"/>
    <col min="15365" max="15365" width="8.85546875" style="2" bestFit="1" customWidth="1"/>
    <col min="15366" max="15366" width="9" style="2" bestFit="1" customWidth="1"/>
    <col min="15367" max="15367" width="9.140625" style="2"/>
    <col min="15368" max="15368" width="10.42578125" style="2" bestFit="1" customWidth="1"/>
    <col min="15369" max="15369" width="11.5703125" style="2" bestFit="1" customWidth="1"/>
    <col min="15370" max="15612" width="9.140625" style="2"/>
    <col min="15613" max="15613" width="39.5703125" style="2" customWidth="1"/>
    <col min="15614" max="15614" width="11.42578125" style="2" bestFit="1" customWidth="1"/>
    <col min="15615" max="15615" width="10.5703125" style="2" bestFit="1" customWidth="1"/>
    <col min="15616" max="15616" width="8.42578125" style="2" bestFit="1" customWidth="1"/>
    <col min="15617" max="15617" width="10.28515625" style="2" bestFit="1" customWidth="1"/>
    <col min="15618" max="15618" width="9.28515625" style="2" bestFit="1" customWidth="1"/>
    <col min="15619" max="15619" width="10.42578125" style="2" bestFit="1" customWidth="1"/>
    <col min="15620" max="15620" width="8.42578125" style="2" bestFit="1" customWidth="1"/>
    <col min="15621" max="15621" width="8.85546875" style="2" bestFit="1" customWidth="1"/>
    <col min="15622" max="15622" width="9" style="2" bestFit="1" customWidth="1"/>
    <col min="15623" max="15623" width="9.140625" style="2"/>
    <col min="15624" max="15624" width="10.42578125" style="2" bestFit="1" customWidth="1"/>
    <col min="15625" max="15625" width="11.5703125" style="2" bestFit="1" customWidth="1"/>
    <col min="15626" max="15868" width="9.140625" style="2"/>
    <col min="15869" max="15869" width="39.5703125" style="2" customWidth="1"/>
    <col min="15870" max="15870" width="11.42578125" style="2" bestFit="1" customWidth="1"/>
    <col min="15871" max="15871" width="10.5703125" style="2" bestFit="1" customWidth="1"/>
    <col min="15872" max="15872" width="8.42578125" style="2" bestFit="1" customWidth="1"/>
    <col min="15873" max="15873" width="10.28515625" style="2" bestFit="1" customWidth="1"/>
    <col min="15874" max="15874" width="9.28515625" style="2" bestFit="1" customWidth="1"/>
    <col min="15875" max="15875" width="10.42578125" style="2" bestFit="1" customWidth="1"/>
    <col min="15876" max="15876" width="8.42578125" style="2" bestFit="1" customWidth="1"/>
    <col min="15877" max="15877" width="8.85546875" style="2" bestFit="1" customWidth="1"/>
    <col min="15878" max="15878" width="9" style="2" bestFit="1" customWidth="1"/>
    <col min="15879" max="15879" width="9.140625" style="2"/>
    <col min="15880" max="15880" width="10.42578125" style="2" bestFit="1" customWidth="1"/>
    <col min="15881" max="15881" width="11.5703125" style="2" bestFit="1" customWidth="1"/>
    <col min="15882" max="16124" width="9.140625" style="2"/>
    <col min="16125" max="16125" width="39.5703125" style="2" customWidth="1"/>
    <col min="16126" max="16126" width="11.42578125" style="2" bestFit="1" customWidth="1"/>
    <col min="16127" max="16127" width="10.5703125" style="2" bestFit="1" customWidth="1"/>
    <col min="16128" max="16128" width="8.42578125" style="2" bestFit="1" customWidth="1"/>
    <col min="16129" max="16129" width="10.28515625" style="2" bestFit="1" customWidth="1"/>
    <col min="16130" max="16130" width="9.28515625" style="2" bestFit="1" customWidth="1"/>
    <col min="16131" max="16131" width="10.42578125" style="2" bestFit="1" customWidth="1"/>
    <col min="16132" max="16132" width="8.42578125" style="2" bestFit="1" customWidth="1"/>
    <col min="16133" max="16133" width="8.85546875" style="2" bestFit="1" customWidth="1"/>
    <col min="16134" max="16134" width="9" style="2" bestFit="1" customWidth="1"/>
    <col min="16135" max="16135" width="9.140625" style="2"/>
    <col min="16136" max="16136" width="10.42578125" style="2" bestFit="1" customWidth="1"/>
    <col min="16137" max="16137" width="11.5703125" style="2" bestFit="1" customWidth="1"/>
    <col min="16138" max="16384" width="9.140625" style="2"/>
  </cols>
  <sheetData>
    <row r="1" spans="1:19" ht="15.75" x14ac:dyDescent="0.25">
      <c r="A1" s="1" t="s">
        <v>1</v>
      </c>
    </row>
    <row r="2" spans="1:19" x14ac:dyDescent="0.2">
      <c r="A2" s="2" t="s">
        <v>2</v>
      </c>
    </row>
    <row r="3" spans="1:19" x14ac:dyDescent="0.2">
      <c r="A3" s="2" t="s">
        <v>3</v>
      </c>
    </row>
    <row r="4" spans="1:19" x14ac:dyDescent="0.2">
      <c r="A4" s="3"/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  <c r="J4" s="4" t="s">
        <v>12</v>
      </c>
      <c r="K4" s="4" t="s">
        <v>13</v>
      </c>
      <c r="L4" s="29" t="s">
        <v>14</v>
      </c>
      <c r="M4" s="29" t="s">
        <v>30</v>
      </c>
      <c r="N4" s="29" t="s">
        <v>246</v>
      </c>
      <c r="O4" s="4" t="s">
        <v>333</v>
      </c>
      <c r="P4" s="4" t="s">
        <v>402</v>
      </c>
      <c r="Q4" s="4" t="s">
        <v>551</v>
      </c>
    </row>
    <row r="5" spans="1:19" x14ac:dyDescent="0.2">
      <c r="A5" s="5" t="s">
        <v>15</v>
      </c>
      <c r="B5" s="6">
        <f>70.379+1.251</f>
        <v>71.63000000000001</v>
      </c>
      <c r="C5" s="6">
        <f>74.528+1.042</f>
        <v>75.570000000000007</v>
      </c>
      <c r="D5" s="6">
        <f>75.263+2.371+0.759-0.02-0.381</f>
        <v>77.992000000000004</v>
      </c>
      <c r="E5" s="6">
        <f>77.4+2.4</f>
        <v>79.800000000000011</v>
      </c>
      <c r="F5" s="6">
        <v>84.4</v>
      </c>
      <c r="G5" s="6">
        <v>83.5</v>
      </c>
      <c r="H5" s="6">
        <f>80.5+2.3</f>
        <v>82.8</v>
      </c>
      <c r="I5" s="6">
        <v>85.5</v>
      </c>
      <c r="J5" s="6">
        <v>85.2</v>
      </c>
      <c r="K5" s="6">
        <v>86.772999999999996</v>
      </c>
      <c r="L5" s="30">
        <v>90.194000000000003</v>
      </c>
      <c r="M5" s="129">
        <v>94.93</v>
      </c>
      <c r="N5" s="264">
        <v>103.65</v>
      </c>
      <c r="O5" s="132">
        <v>120.947</v>
      </c>
      <c r="P5" s="132">
        <v>143.723127562</v>
      </c>
      <c r="Q5" s="132">
        <v>161.48208391700001</v>
      </c>
      <c r="R5" s="265">
        <v>11364646100</v>
      </c>
      <c r="S5" s="2" t="s">
        <v>247</v>
      </c>
    </row>
    <row r="6" spans="1:19" x14ac:dyDescent="0.2">
      <c r="A6" s="5" t="s">
        <v>0</v>
      </c>
      <c r="B6" s="6">
        <v>20.134</v>
      </c>
      <c r="C6" s="6">
        <v>22.213000000000001</v>
      </c>
      <c r="D6" s="6">
        <f>25.769-2.193</f>
        <v>23.575999999999997</v>
      </c>
      <c r="E6" s="6">
        <v>24.1</v>
      </c>
      <c r="F6" s="6">
        <v>24.6</v>
      </c>
      <c r="G6" s="6">
        <v>23.4</v>
      </c>
      <c r="H6" s="6">
        <v>22.4</v>
      </c>
      <c r="I6" s="6">
        <v>21.2</v>
      </c>
      <c r="J6" s="6">
        <v>21.8</v>
      </c>
      <c r="K6" s="6">
        <v>21.771000000000001</v>
      </c>
      <c r="L6" s="30">
        <v>21.492000000000001</v>
      </c>
      <c r="M6" s="130">
        <v>20.38</v>
      </c>
      <c r="N6" s="262">
        <v>21.63</v>
      </c>
      <c r="O6" s="132">
        <v>24.611999999999998</v>
      </c>
      <c r="P6" s="132">
        <v>26.52867698</v>
      </c>
      <c r="Q6" s="132">
        <v>27.411676979999999</v>
      </c>
      <c r="R6" s="265">
        <v>12093161293</v>
      </c>
      <c r="S6" s="2" t="s">
        <v>248</v>
      </c>
    </row>
    <row r="7" spans="1:19" x14ac:dyDescent="0.2">
      <c r="A7" s="5" t="s">
        <v>16</v>
      </c>
      <c r="B7" s="6">
        <v>5.4779999999999998</v>
      </c>
      <c r="C7" s="6">
        <v>6.766</v>
      </c>
      <c r="D7" s="6">
        <f>9.766-1.728</f>
        <v>8.0380000000000003</v>
      </c>
      <c r="E7" s="6">
        <f>9.7-1.5</f>
        <v>8.1999999999999993</v>
      </c>
      <c r="F7" s="6">
        <f>14.5-5.6</f>
        <v>8.9</v>
      </c>
      <c r="G7" s="6">
        <f>12.1-3.2</f>
        <v>8.8999999999999986</v>
      </c>
      <c r="H7" s="7">
        <f>13.4-4.8</f>
        <v>8.6000000000000014</v>
      </c>
      <c r="I7" s="7">
        <v>8.3000000000000007</v>
      </c>
      <c r="J7" s="7">
        <f>21.757-13.088-0.097</f>
        <v>8.5720000000000027</v>
      </c>
      <c r="K7" s="7">
        <f>16.525-6.38</f>
        <v>10.145</v>
      </c>
      <c r="L7" s="6">
        <f>17.226-6.599</f>
        <v>10.626999999999999</v>
      </c>
      <c r="M7" s="131">
        <v>11.61</v>
      </c>
      <c r="N7" s="263">
        <v>12.09</v>
      </c>
      <c r="O7" s="435">
        <v>13.356999999999999</v>
      </c>
      <c r="P7" s="435">
        <v>13.322397022000001</v>
      </c>
      <c r="Q7" s="435">
        <f>14.446977081-0.589549338</f>
        <v>13.857427743000001</v>
      </c>
      <c r="R7" s="265">
        <v>21627076980</v>
      </c>
      <c r="S7" s="2" t="s">
        <v>249</v>
      </c>
    </row>
    <row r="8" spans="1:19" x14ac:dyDescent="0.2">
      <c r="A8" s="5" t="s">
        <v>17</v>
      </c>
      <c r="B8" s="6">
        <f t="shared" ref="B8:F8" si="0">+B11-B5-B6-B7-B10-B9</f>
        <v>3.5819999999999932</v>
      </c>
      <c r="C8" s="6">
        <f t="shared" si="0"/>
        <v>3.4899999999999975</v>
      </c>
      <c r="D8" s="6">
        <f t="shared" si="0"/>
        <v>4.0380000000000011</v>
      </c>
      <c r="E8" s="6">
        <f t="shared" si="0"/>
        <v>4.2106269999999908</v>
      </c>
      <c r="F8" s="6">
        <f t="shared" si="0"/>
        <v>4.143000000000006</v>
      </c>
      <c r="G8" s="6">
        <f>+G11-G5-G6-G7-G10-G9</f>
        <v>4.2660000000000053</v>
      </c>
      <c r="H8" s="6">
        <f>+H11-H5-H6-H7-H10-H9</f>
        <v>4.4599999999999973</v>
      </c>
      <c r="I8" s="6">
        <f>+I11-I5-I6-I7-I10-I9</f>
        <v>4.8509999999999991</v>
      </c>
      <c r="J8" s="6">
        <f>+J11-J5-J6-J7-J10-J9</f>
        <v>4.8400000000000043</v>
      </c>
      <c r="K8" s="6">
        <f>+K11-K5-K6-K7-K10-K9</f>
        <v>4.762999999999991</v>
      </c>
      <c r="L8" s="30">
        <f>+L11-L5-L6-L7-L9-L10</f>
        <v>4.8049999999999935</v>
      </c>
      <c r="M8" s="131">
        <v>5.65</v>
      </c>
      <c r="N8" s="262">
        <v>7.8</v>
      </c>
      <c r="O8" s="132">
        <v>7.9009999999999998</v>
      </c>
      <c r="P8" s="132">
        <v>9.5154198860000001</v>
      </c>
      <c r="Q8" s="132">
        <f>0.276266938+7.204727784+2.249516539</f>
        <v>9.7305112610000002</v>
      </c>
      <c r="R8" s="265">
        <v>101127107358</v>
      </c>
      <c r="S8" s="2" t="s">
        <v>250</v>
      </c>
    </row>
    <row r="9" spans="1:19" x14ac:dyDescent="0.2">
      <c r="A9" s="8" t="s">
        <v>18</v>
      </c>
      <c r="B9" s="9">
        <v>9.4E-2</v>
      </c>
      <c r="C9" s="9">
        <v>0.42899999999999999</v>
      </c>
      <c r="D9" s="10">
        <v>1.5</v>
      </c>
      <c r="E9" s="10">
        <v>2.2999999999999998</v>
      </c>
      <c r="F9" s="10">
        <f>1.8+0.002</f>
        <v>1.802</v>
      </c>
      <c r="G9" s="10">
        <f>3.1+0.012</f>
        <v>3.1120000000000001</v>
      </c>
      <c r="H9" s="10">
        <v>2.8</v>
      </c>
      <c r="I9" s="10">
        <v>2.9</v>
      </c>
      <c r="J9" s="10">
        <v>2.2999999999999998</v>
      </c>
      <c r="K9" s="10">
        <v>1.542</v>
      </c>
      <c r="L9" s="10">
        <v>1.6890000000000001</v>
      </c>
      <c r="M9" s="12">
        <v>1.77</v>
      </c>
      <c r="N9" s="267">
        <v>2.82</v>
      </c>
      <c r="O9" s="436">
        <v>2.1909999999999998</v>
      </c>
      <c r="P9" s="436">
        <v>2.6110581700000002</v>
      </c>
      <c r="Q9" s="436">
        <f>1.207424815+0.589549338</f>
        <v>1.7969741529999999</v>
      </c>
      <c r="R9" s="265">
        <v>2518136803</v>
      </c>
      <c r="S9" s="2" t="s">
        <v>251</v>
      </c>
    </row>
    <row r="10" spans="1:19" x14ac:dyDescent="0.2">
      <c r="A10" s="8" t="s">
        <v>19</v>
      </c>
      <c r="B10" s="9">
        <v>0.28199999999999997</v>
      </c>
      <c r="C10" s="11">
        <v>0.432</v>
      </c>
      <c r="D10" s="11">
        <v>6.556</v>
      </c>
      <c r="E10" s="9">
        <f>0.60061-0.011237</f>
        <v>0.58937299999999992</v>
      </c>
      <c r="F10" s="10">
        <f>10.436+0.019</f>
        <v>10.455</v>
      </c>
      <c r="G10" s="9">
        <f>2.003+0.019</f>
        <v>2.0220000000000002</v>
      </c>
      <c r="H10" s="12">
        <v>6.04</v>
      </c>
      <c r="I10" s="10">
        <v>15.1</v>
      </c>
      <c r="J10" s="10">
        <v>17.7</v>
      </c>
      <c r="K10" s="10">
        <v>12.307</v>
      </c>
      <c r="L10" s="10">
        <v>7.0970000000000004</v>
      </c>
      <c r="M10" s="12">
        <v>8.0299999999999994</v>
      </c>
      <c r="N10" s="267">
        <v>8.5399999999999991</v>
      </c>
      <c r="O10" s="437">
        <v>7.1029999999999998</v>
      </c>
      <c r="P10" s="437">
        <v>10.058486744</v>
      </c>
      <c r="Q10" s="437">
        <f>12.188326256</f>
        <v>12.188326256</v>
      </c>
      <c r="R10" s="265">
        <v>231532391</v>
      </c>
      <c r="S10" s="2" t="s">
        <v>252</v>
      </c>
    </row>
    <row r="11" spans="1:19" ht="21.75" customHeight="1" x14ac:dyDescent="0.2">
      <c r="A11" s="5" t="s">
        <v>20</v>
      </c>
      <c r="B11" s="6">
        <v>101.2</v>
      </c>
      <c r="C11" s="6">
        <v>108.9</v>
      </c>
      <c r="D11" s="6">
        <v>121.7</v>
      </c>
      <c r="E11" s="6">
        <v>119.2</v>
      </c>
      <c r="F11" s="6">
        <v>134.30000000000001</v>
      </c>
      <c r="G11" s="6">
        <v>125.2</v>
      </c>
      <c r="H11" s="6">
        <v>127.1</v>
      </c>
      <c r="I11" s="6">
        <v>137.851</v>
      </c>
      <c r="J11" s="6">
        <v>140.41200000000001</v>
      </c>
      <c r="K11" s="6">
        <v>137.30099999999999</v>
      </c>
      <c r="L11" s="30">
        <v>135.904</v>
      </c>
      <c r="M11" s="132">
        <f>SUM(M5:M10)</f>
        <v>142.37</v>
      </c>
      <c r="N11" s="268">
        <f>SUM(N5:N10)</f>
        <v>156.53</v>
      </c>
      <c r="O11" s="132">
        <f>SUM(O5:O10)</f>
        <v>176.11100000000002</v>
      </c>
      <c r="P11" s="132">
        <f>SUM(P5:P10)</f>
        <v>205.75916636399998</v>
      </c>
      <c r="Q11" s="132">
        <f>SUM(Q5:Q10)</f>
        <v>226.46700031000003</v>
      </c>
      <c r="R11" s="265">
        <v>5644729263</v>
      </c>
      <c r="S11" s="2" t="s">
        <v>253</v>
      </c>
    </row>
    <row r="12" spans="1:19" x14ac:dyDescent="0.2">
      <c r="N12" s="356"/>
      <c r="O12" s="356"/>
      <c r="R12" s="265">
        <v>950236018</v>
      </c>
      <c r="S12" s="2" t="s">
        <v>254</v>
      </c>
    </row>
    <row r="13" spans="1:19" x14ac:dyDescent="0.2">
      <c r="R13" s="265">
        <v>803922962</v>
      </c>
      <c r="S13" s="2" t="s">
        <v>255</v>
      </c>
    </row>
    <row r="14" spans="1:19" x14ac:dyDescent="0.2">
      <c r="L14" s="13"/>
      <c r="R14" s="265">
        <v>165313000</v>
      </c>
      <c r="S14" s="2" t="s">
        <v>256</v>
      </c>
    </row>
    <row r="15" spans="1:19" x14ac:dyDescent="0.2">
      <c r="R15" s="265">
        <f>SUM(R5:R14)</f>
        <v>156525862168</v>
      </c>
    </row>
    <row r="16" spans="1:19" x14ac:dyDescent="0.2">
      <c r="R16" s="265">
        <v>156525862168</v>
      </c>
    </row>
    <row r="17" spans="1:15" s="14" customFormat="1" x14ac:dyDescent="0.2">
      <c r="J17" s="15"/>
      <c r="K17" s="16"/>
    </row>
    <row r="18" spans="1:15" s="14" customFormat="1" x14ac:dyDescent="0.2">
      <c r="A18" s="17"/>
      <c r="H18" s="18"/>
      <c r="J18" s="19"/>
      <c r="K18" s="20"/>
    </row>
    <row r="19" spans="1:15" s="14" customFormat="1" x14ac:dyDescent="0.2">
      <c r="H19" s="21"/>
      <c r="J19" s="15"/>
      <c r="K19" s="15"/>
    </row>
    <row r="20" spans="1:15" x14ac:dyDescent="0.2">
      <c r="M20" s="22"/>
      <c r="N20" s="22"/>
      <c r="O20" s="22"/>
    </row>
    <row r="21" spans="1:15" x14ac:dyDescent="0.2">
      <c r="M21" s="22"/>
      <c r="N21" s="22"/>
      <c r="O21" s="22"/>
    </row>
    <row r="22" spans="1:15" s="24" customFormat="1" x14ac:dyDescent="0.2">
      <c r="A22" s="23" t="s">
        <v>21</v>
      </c>
      <c r="D22" s="25"/>
      <c r="E22" s="25"/>
      <c r="F22" s="25"/>
      <c r="G22" s="25"/>
      <c r="H22" s="25"/>
      <c r="I22" s="25"/>
      <c r="J22" s="25"/>
      <c r="K22" s="25"/>
      <c r="L22" s="25"/>
    </row>
    <row r="23" spans="1:15" s="24" customFormat="1" ht="114.75" x14ac:dyDescent="0.2">
      <c r="A23" s="26"/>
      <c r="B23" s="27" t="s">
        <v>22</v>
      </c>
      <c r="C23" s="27" t="s">
        <v>23</v>
      </c>
      <c r="D23" s="27" t="s">
        <v>24</v>
      </c>
      <c r="E23" s="27" t="s">
        <v>25</v>
      </c>
      <c r="F23" s="27" t="s">
        <v>26</v>
      </c>
      <c r="G23" s="27" t="s">
        <v>27</v>
      </c>
      <c r="H23" s="27" t="s">
        <v>28</v>
      </c>
      <c r="I23" s="28" t="s">
        <v>29</v>
      </c>
      <c r="J23" s="25"/>
    </row>
    <row r="24" spans="1:15" s="24" customFormat="1" ht="18" customHeight="1" x14ac:dyDescent="0.2">
      <c r="A24" s="26" t="s">
        <v>552</v>
      </c>
      <c r="B24" s="438">
        <v>161.48208299999999</v>
      </c>
      <c r="C24" s="438">
        <v>27.411676</v>
      </c>
      <c r="D24" s="438">
        <v>13.857427743000001</v>
      </c>
      <c r="E24" s="439">
        <v>7.4809999999999999</v>
      </c>
      <c r="F24" s="438">
        <v>1.7969740000000001</v>
      </c>
      <c r="G24" s="438">
        <v>12.188326526000001</v>
      </c>
      <c r="H24" s="440">
        <v>2.2495159999999998</v>
      </c>
      <c r="I24" s="441">
        <f>SUM(B24:H24)</f>
        <v>226.46700326899997</v>
      </c>
      <c r="J24" s="25"/>
    </row>
    <row r="25" spans="1:15" s="24" customFormat="1" x14ac:dyDescent="0.2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</row>
    <row r="26" spans="1:15" s="24" customFormat="1" x14ac:dyDescent="0.2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</row>
    <row r="28" spans="1:15" x14ac:dyDescent="0.2">
      <c r="K28" s="13"/>
    </row>
  </sheetData>
  <pageMargins left="0.78740157499999996" right="0.78740157499999996" top="0.984251969" bottom="0.984251969" header="0.4921259845" footer="0.4921259845"/>
  <pageSetup paperSize="9" scale="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T41"/>
  <sheetViews>
    <sheetView topLeftCell="A19" workbookViewId="0">
      <selection activeCell="A40" sqref="A40"/>
    </sheetView>
  </sheetViews>
  <sheetFormatPr defaultRowHeight="12.75" x14ac:dyDescent="0.2"/>
  <cols>
    <col min="1" max="1" width="44.42578125" style="48" customWidth="1"/>
    <col min="2" max="2" width="18" style="48" bestFit="1" customWidth="1"/>
    <col min="3" max="4" width="18" style="48" customWidth="1"/>
    <col min="5" max="5" width="16.7109375" style="48" bestFit="1" customWidth="1"/>
    <col min="6" max="6" width="15.5703125" style="48" bestFit="1" customWidth="1"/>
    <col min="7" max="7" width="16" style="48" customWidth="1"/>
    <col min="8" max="8" width="15" style="48" customWidth="1"/>
    <col min="9" max="9" width="15.85546875" style="48" customWidth="1"/>
    <col min="10" max="11" width="14.7109375" style="48" customWidth="1"/>
    <col min="12" max="12" width="13.28515625" style="48" customWidth="1"/>
    <col min="13" max="13" width="11.28515625" style="48" bestFit="1" customWidth="1"/>
    <col min="14" max="14" width="12" style="48" customWidth="1"/>
    <col min="15" max="15" width="11.28515625" style="48" bestFit="1" customWidth="1"/>
    <col min="16" max="16" width="15" style="47" customWidth="1"/>
    <col min="17" max="17" width="18.42578125" style="47" customWidth="1"/>
    <col min="18" max="18" width="16.42578125" style="47" customWidth="1"/>
    <col min="19" max="19" width="15" style="47" customWidth="1"/>
    <col min="20" max="219" width="9.140625" style="47"/>
    <col min="220" max="220" width="53.85546875" style="47" customWidth="1"/>
    <col min="221" max="221" width="18" style="47" bestFit="1" customWidth="1"/>
    <col min="222" max="222" width="23" style="47" customWidth="1"/>
    <col min="223" max="223" width="16.7109375" style="47" bestFit="1" customWidth="1"/>
    <col min="224" max="224" width="15.5703125" style="47" bestFit="1" customWidth="1"/>
    <col min="225" max="225" width="16.7109375" style="47" bestFit="1" customWidth="1"/>
    <col min="226" max="226" width="13.5703125" style="47" bestFit="1" customWidth="1"/>
    <col min="227" max="227" width="18.7109375" style="47" customWidth="1"/>
    <col min="228" max="228" width="15.5703125" style="47" bestFit="1" customWidth="1"/>
    <col min="229" max="229" width="16.140625" style="47" customWidth="1"/>
    <col min="230" max="230" width="13.28515625" style="47" customWidth="1"/>
    <col min="231" max="231" width="16.28515625" style="47" customWidth="1"/>
    <col min="232" max="232" width="15.5703125" style="47" customWidth="1"/>
    <col min="233" max="233" width="15.85546875" style="47" customWidth="1"/>
    <col min="234" max="235" width="10" style="47" bestFit="1" customWidth="1"/>
    <col min="236" max="236" width="9.140625" style="47"/>
    <col min="237" max="237" width="10.5703125" style="47" bestFit="1" customWidth="1"/>
    <col min="238" max="256" width="9.140625" style="47"/>
    <col min="257" max="257" width="53.85546875" style="47" customWidth="1"/>
    <col min="258" max="258" width="18" style="47" bestFit="1" customWidth="1"/>
    <col min="259" max="259" width="18" style="47" customWidth="1"/>
    <col min="260" max="260" width="16.7109375" style="47" bestFit="1" customWidth="1"/>
    <col min="261" max="261" width="15.5703125" style="47" bestFit="1" customWidth="1"/>
    <col min="262" max="262" width="18.7109375" style="47" customWidth="1"/>
    <col min="263" max="263" width="15" style="47" customWidth="1"/>
    <col min="264" max="264" width="18.5703125" style="47" customWidth="1"/>
    <col min="265" max="265" width="21.28515625" style="47" customWidth="1"/>
    <col min="266" max="266" width="16.140625" style="47" customWidth="1"/>
    <col min="267" max="267" width="13.28515625" style="47" customWidth="1"/>
    <col min="268" max="268" width="16.28515625" style="47" customWidth="1"/>
    <col min="269" max="269" width="18.7109375" style="47" customWidth="1"/>
    <col min="270" max="270" width="15.85546875" style="47" customWidth="1"/>
    <col min="271" max="271" width="10" style="47" bestFit="1" customWidth="1"/>
    <col min="272" max="272" width="13.140625" style="47" customWidth="1"/>
    <col min="273" max="274" width="16.42578125" style="47" customWidth="1"/>
    <col min="275" max="275" width="12.5703125" style="47" customWidth="1"/>
    <col min="276" max="475" width="9.140625" style="47"/>
    <col min="476" max="476" width="53.85546875" style="47" customWidth="1"/>
    <col min="477" max="477" width="18" style="47" bestFit="1" customWidth="1"/>
    <col min="478" max="478" width="23" style="47" customWidth="1"/>
    <col min="479" max="479" width="16.7109375" style="47" bestFit="1" customWidth="1"/>
    <col min="480" max="480" width="15.5703125" style="47" bestFit="1" customWidth="1"/>
    <col min="481" max="481" width="16.7109375" style="47" bestFit="1" customWidth="1"/>
    <col min="482" max="482" width="13.5703125" style="47" bestFit="1" customWidth="1"/>
    <col min="483" max="483" width="18.7109375" style="47" customWidth="1"/>
    <col min="484" max="484" width="15.5703125" style="47" bestFit="1" customWidth="1"/>
    <col min="485" max="485" width="16.140625" style="47" customWidth="1"/>
    <col min="486" max="486" width="13.28515625" style="47" customWidth="1"/>
    <col min="487" max="487" width="16.28515625" style="47" customWidth="1"/>
    <col min="488" max="488" width="15.5703125" style="47" customWidth="1"/>
    <col min="489" max="489" width="15.85546875" style="47" customWidth="1"/>
    <col min="490" max="491" width="10" style="47" bestFit="1" customWidth="1"/>
    <col min="492" max="492" width="9.140625" style="47"/>
    <col min="493" max="493" width="10.5703125" style="47" bestFit="1" customWidth="1"/>
    <col min="494" max="512" width="9.140625" style="47"/>
    <col min="513" max="513" width="53.85546875" style="47" customWidth="1"/>
    <col min="514" max="514" width="18" style="47" bestFit="1" customWidth="1"/>
    <col min="515" max="515" width="18" style="47" customWidth="1"/>
    <col min="516" max="516" width="16.7109375" style="47" bestFit="1" customWidth="1"/>
    <col min="517" max="517" width="15.5703125" style="47" bestFit="1" customWidth="1"/>
    <col min="518" max="518" width="18.7109375" style="47" customWidth="1"/>
    <col min="519" max="519" width="15" style="47" customWidth="1"/>
    <col min="520" max="520" width="18.5703125" style="47" customWidth="1"/>
    <col min="521" max="521" width="21.28515625" style="47" customWidth="1"/>
    <col min="522" max="522" width="16.140625" style="47" customWidth="1"/>
    <col min="523" max="523" width="13.28515625" style="47" customWidth="1"/>
    <col min="524" max="524" width="16.28515625" style="47" customWidth="1"/>
    <col min="525" max="525" width="18.7109375" style="47" customWidth="1"/>
    <col min="526" max="526" width="15.85546875" style="47" customWidth="1"/>
    <col min="527" max="527" width="10" style="47" bestFit="1" customWidth="1"/>
    <col min="528" max="528" width="13.140625" style="47" customWidth="1"/>
    <col min="529" max="530" width="16.42578125" style="47" customWidth="1"/>
    <col min="531" max="531" width="12.5703125" style="47" customWidth="1"/>
    <col min="532" max="731" width="9.140625" style="47"/>
    <col min="732" max="732" width="53.85546875" style="47" customWidth="1"/>
    <col min="733" max="733" width="18" style="47" bestFit="1" customWidth="1"/>
    <col min="734" max="734" width="23" style="47" customWidth="1"/>
    <col min="735" max="735" width="16.7109375" style="47" bestFit="1" customWidth="1"/>
    <col min="736" max="736" width="15.5703125" style="47" bestFit="1" customWidth="1"/>
    <col min="737" max="737" width="16.7109375" style="47" bestFit="1" customWidth="1"/>
    <col min="738" max="738" width="13.5703125" style="47" bestFit="1" customWidth="1"/>
    <col min="739" max="739" width="18.7109375" style="47" customWidth="1"/>
    <col min="740" max="740" width="15.5703125" style="47" bestFit="1" customWidth="1"/>
    <col min="741" max="741" width="16.140625" style="47" customWidth="1"/>
    <col min="742" max="742" width="13.28515625" style="47" customWidth="1"/>
    <col min="743" max="743" width="16.28515625" style="47" customWidth="1"/>
    <col min="744" max="744" width="15.5703125" style="47" customWidth="1"/>
    <col min="745" max="745" width="15.85546875" style="47" customWidth="1"/>
    <col min="746" max="747" width="10" style="47" bestFit="1" customWidth="1"/>
    <col min="748" max="748" width="9.140625" style="47"/>
    <col min="749" max="749" width="10.5703125" style="47" bestFit="1" customWidth="1"/>
    <col min="750" max="768" width="9.140625" style="47"/>
    <col min="769" max="769" width="53.85546875" style="47" customWidth="1"/>
    <col min="770" max="770" width="18" style="47" bestFit="1" customWidth="1"/>
    <col min="771" max="771" width="18" style="47" customWidth="1"/>
    <col min="772" max="772" width="16.7109375" style="47" bestFit="1" customWidth="1"/>
    <col min="773" max="773" width="15.5703125" style="47" bestFit="1" customWidth="1"/>
    <col min="774" max="774" width="18.7109375" style="47" customWidth="1"/>
    <col min="775" max="775" width="15" style="47" customWidth="1"/>
    <col min="776" max="776" width="18.5703125" style="47" customWidth="1"/>
    <col min="777" max="777" width="21.28515625" style="47" customWidth="1"/>
    <col min="778" max="778" width="16.140625" style="47" customWidth="1"/>
    <col min="779" max="779" width="13.28515625" style="47" customWidth="1"/>
    <col min="780" max="780" width="16.28515625" style="47" customWidth="1"/>
    <col min="781" max="781" width="18.7109375" style="47" customWidth="1"/>
    <col min="782" max="782" width="15.85546875" style="47" customWidth="1"/>
    <col min="783" max="783" width="10" style="47" bestFit="1" customWidth="1"/>
    <col min="784" max="784" width="13.140625" style="47" customWidth="1"/>
    <col min="785" max="786" width="16.42578125" style="47" customWidth="1"/>
    <col min="787" max="787" width="12.5703125" style="47" customWidth="1"/>
    <col min="788" max="987" width="9.140625" style="47"/>
    <col min="988" max="988" width="53.85546875" style="47" customWidth="1"/>
    <col min="989" max="989" width="18" style="47" bestFit="1" customWidth="1"/>
    <col min="990" max="990" width="23" style="47" customWidth="1"/>
    <col min="991" max="991" width="16.7109375" style="47" bestFit="1" customWidth="1"/>
    <col min="992" max="992" width="15.5703125" style="47" bestFit="1" customWidth="1"/>
    <col min="993" max="993" width="16.7109375" style="47" bestFit="1" customWidth="1"/>
    <col min="994" max="994" width="13.5703125" style="47" bestFit="1" customWidth="1"/>
    <col min="995" max="995" width="18.7109375" style="47" customWidth="1"/>
    <col min="996" max="996" width="15.5703125" style="47" bestFit="1" customWidth="1"/>
    <col min="997" max="997" width="16.140625" style="47" customWidth="1"/>
    <col min="998" max="998" width="13.28515625" style="47" customWidth="1"/>
    <col min="999" max="999" width="16.28515625" style="47" customWidth="1"/>
    <col min="1000" max="1000" width="15.5703125" style="47" customWidth="1"/>
    <col min="1001" max="1001" width="15.85546875" style="47" customWidth="1"/>
    <col min="1002" max="1003" width="10" style="47" bestFit="1" customWidth="1"/>
    <col min="1004" max="1004" width="9.140625" style="47"/>
    <col min="1005" max="1005" width="10.5703125" style="47" bestFit="1" customWidth="1"/>
    <col min="1006" max="1024" width="9.140625" style="47"/>
    <col min="1025" max="1025" width="53.85546875" style="47" customWidth="1"/>
    <col min="1026" max="1026" width="18" style="47" bestFit="1" customWidth="1"/>
    <col min="1027" max="1027" width="18" style="47" customWidth="1"/>
    <col min="1028" max="1028" width="16.7109375" style="47" bestFit="1" customWidth="1"/>
    <col min="1029" max="1029" width="15.5703125" style="47" bestFit="1" customWidth="1"/>
    <col min="1030" max="1030" width="18.7109375" style="47" customWidth="1"/>
    <col min="1031" max="1031" width="15" style="47" customWidth="1"/>
    <col min="1032" max="1032" width="18.5703125" style="47" customWidth="1"/>
    <col min="1033" max="1033" width="21.28515625" style="47" customWidth="1"/>
    <col min="1034" max="1034" width="16.140625" style="47" customWidth="1"/>
    <col min="1035" max="1035" width="13.28515625" style="47" customWidth="1"/>
    <col min="1036" max="1036" width="16.28515625" style="47" customWidth="1"/>
    <col min="1037" max="1037" width="18.7109375" style="47" customWidth="1"/>
    <col min="1038" max="1038" width="15.85546875" style="47" customWidth="1"/>
    <col min="1039" max="1039" width="10" style="47" bestFit="1" customWidth="1"/>
    <col min="1040" max="1040" width="13.140625" style="47" customWidth="1"/>
    <col min="1041" max="1042" width="16.42578125" style="47" customWidth="1"/>
    <col min="1043" max="1043" width="12.5703125" style="47" customWidth="1"/>
    <col min="1044" max="1243" width="9.140625" style="47"/>
    <col min="1244" max="1244" width="53.85546875" style="47" customWidth="1"/>
    <col min="1245" max="1245" width="18" style="47" bestFit="1" customWidth="1"/>
    <col min="1246" max="1246" width="23" style="47" customWidth="1"/>
    <col min="1247" max="1247" width="16.7109375" style="47" bestFit="1" customWidth="1"/>
    <col min="1248" max="1248" width="15.5703125" style="47" bestFit="1" customWidth="1"/>
    <col min="1249" max="1249" width="16.7109375" style="47" bestFit="1" customWidth="1"/>
    <col min="1250" max="1250" width="13.5703125" style="47" bestFit="1" customWidth="1"/>
    <col min="1251" max="1251" width="18.7109375" style="47" customWidth="1"/>
    <col min="1252" max="1252" width="15.5703125" style="47" bestFit="1" customWidth="1"/>
    <col min="1253" max="1253" width="16.140625" style="47" customWidth="1"/>
    <col min="1254" max="1254" width="13.28515625" style="47" customWidth="1"/>
    <col min="1255" max="1255" width="16.28515625" style="47" customWidth="1"/>
    <col min="1256" max="1256" width="15.5703125" style="47" customWidth="1"/>
    <col min="1257" max="1257" width="15.85546875" style="47" customWidth="1"/>
    <col min="1258" max="1259" width="10" style="47" bestFit="1" customWidth="1"/>
    <col min="1260" max="1260" width="9.140625" style="47"/>
    <col min="1261" max="1261" width="10.5703125" style="47" bestFit="1" customWidth="1"/>
    <col min="1262" max="1280" width="9.140625" style="47"/>
    <col min="1281" max="1281" width="53.85546875" style="47" customWidth="1"/>
    <col min="1282" max="1282" width="18" style="47" bestFit="1" customWidth="1"/>
    <col min="1283" max="1283" width="18" style="47" customWidth="1"/>
    <col min="1284" max="1284" width="16.7109375" style="47" bestFit="1" customWidth="1"/>
    <col min="1285" max="1285" width="15.5703125" style="47" bestFit="1" customWidth="1"/>
    <col min="1286" max="1286" width="18.7109375" style="47" customWidth="1"/>
    <col min="1287" max="1287" width="15" style="47" customWidth="1"/>
    <col min="1288" max="1288" width="18.5703125" style="47" customWidth="1"/>
    <col min="1289" max="1289" width="21.28515625" style="47" customWidth="1"/>
    <col min="1290" max="1290" width="16.140625" style="47" customWidth="1"/>
    <col min="1291" max="1291" width="13.28515625" style="47" customWidth="1"/>
    <col min="1292" max="1292" width="16.28515625" style="47" customWidth="1"/>
    <col min="1293" max="1293" width="18.7109375" style="47" customWidth="1"/>
    <col min="1294" max="1294" width="15.85546875" style="47" customWidth="1"/>
    <col min="1295" max="1295" width="10" style="47" bestFit="1" customWidth="1"/>
    <col min="1296" max="1296" width="13.140625" style="47" customWidth="1"/>
    <col min="1297" max="1298" width="16.42578125" style="47" customWidth="1"/>
    <col min="1299" max="1299" width="12.5703125" style="47" customWidth="1"/>
    <col min="1300" max="1499" width="9.140625" style="47"/>
    <col min="1500" max="1500" width="53.85546875" style="47" customWidth="1"/>
    <col min="1501" max="1501" width="18" style="47" bestFit="1" customWidth="1"/>
    <col min="1502" max="1502" width="23" style="47" customWidth="1"/>
    <col min="1503" max="1503" width="16.7109375" style="47" bestFit="1" customWidth="1"/>
    <col min="1504" max="1504" width="15.5703125" style="47" bestFit="1" customWidth="1"/>
    <col min="1505" max="1505" width="16.7109375" style="47" bestFit="1" customWidth="1"/>
    <col min="1506" max="1506" width="13.5703125" style="47" bestFit="1" customWidth="1"/>
    <col min="1507" max="1507" width="18.7109375" style="47" customWidth="1"/>
    <col min="1508" max="1508" width="15.5703125" style="47" bestFit="1" customWidth="1"/>
    <col min="1509" max="1509" width="16.140625" style="47" customWidth="1"/>
    <col min="1510" max="1510" width="13.28515625" style="47" customWidth="1"/>
    <col min="1511" max="1511" width="16.28515625" style="47" customWidth="1"/>
    <col min="1512" max="1512" width="15.5703125" style="47" customWidth="1"/>
    <col min="1513" max="1513" width="15.85546875" style="47" customWidth="1"/>
    <col min="1514" max="1515" width="10" style="47" bestFit="1" customWidth="1"/>
    <col min="1516" max="1516" width="9.140625" style="47"/>
    <col min="1517" max="1517" width="10.5703125" style="47" bestFit="1" customWidth="1"/>
    <col min="1518" max="1536" width="9.140625" style="47"/>
    <col min="1537" max="1537" width="53.85546875" style="47" customWidth="1"/>
    <col min="1538" max="1538" width="18" style="47" bestFit="1" customWidth="1"/>
    <col min="1539" max="1539" width="18" style="47" customWidth="1"/>
    <col min="1540" max="1540" width="16.7109375" style="47" bestFit="1" customWidth="1"/>
    <col min="1541" max="1541" width="15.5703125" style="47" bestFit="1" customWidth="1"/>
    <col min="1542" max="1542" width="18.7109375" style="47" customWidth="1"/>
    <col min="1543" max="1543" width="15" style="47" customWidth="1"/>
    <col min="1544" max="1544" width="18.5703125" style="47" customWidth="1"/>
    <col min="1545" max="1545" width="21.28515625" style="47" customWidth="1"/>
    <col min="1546" max="1546" width="16.140625" style="47" customWidth="1"/>
    <col min="1547" max="1547" width="13.28515625" style="47" customWidth="1"/>
    <col min="1548" max="1548" width="16.28515625" style="47" customWidth="1"/>
    <col min="1549" max="1549" width="18.7109375" style="47" customWidth="1"/>
    <col min="1550" max="1550" width="15.85546875" style="47" customWidth="1"/>
    <col min="1551" max="1551" width="10" style="47" bestFit="1" customWidth="1"/>
    <col min="1552" max="1552" width="13.140625" style="47" customWidth="1"/>
    <col min="1553" max="1554" width="16.42578125" style="47" customWidth="1"/>
    <col min="1555" max="1555" width="12.5703125" style="47" customWidth="1"/>
    <col min="1556" max="1755" width="9.140625" style="47"/>
    <col min="1756" max="1756" width="53.85546875" style="47" customWidth="1"/>
    <col min="1757" max="1757" width="18" style="47" bestFit="1" customWidth="1"/>
    <col min="1758" max="1758" width="23" style="47" customWidth="1"/>
    <col min="1759" max="1759" width="16.7109375" style="47" bestFit="1" customWidth="1"/>
    <col min="1760" max="1760" width="15.5703125" style="47" bestFit="1" customWidth="1"/>
    <col min="1761" max="1761" width="16.7109375" style="47" bestFit="1" customWidth="1"/>
    <col min="1762" max="1762" width="13.5703125" style="47" bestFit="1" customWidth="1"/>
    <col min="1763" max="1763" width="18.7109375" style="47" customWidth="1"/>
    <col min="1764" max="1764" width="15.5703125" style="47" bestFit="1" customWidth="1"/>
    <col min="1765" max="1765" width="16.140625" style="47" customWidth="1"/>
    <col min="1766" max="1766" width="13.28515625" style="47" customWidth="1"/>
    <col min="1767" max="1767" width="16.28515625" style="47" customWidth="1"/>
    <col min="1768" max="1768" width="15.5703125" style="47" customWidth="1"/>
    <col min="1769" max="1769" width="15.85546875" style="47" customWidth="1"/>
    <col min="1770" max="1771" width="10" style="47" bestFit="1" customWidth="1"/>
    <col min="1772" max="1772" width="9.140625" style="47"/>
    <col min="1773" max="1773" width="10.5703125" style="47" bestFit="1" customWidth="1"/>
    <col min="1774" max="1792" width="9.140625" style="47"/>
    <col min="1793" max="1793" width="53.85546875" style="47" customWidth="1"/>
    <col min="1794" max="1794" width="18" style="47" bestFit="1" customWidth="1"/>
    <col min="1795" max="1795" width="18" style="47" customWidth="1"/>
    <col min="1796" max="1796" width="16.7109375" style="47" bestFit="1" customWidth="1"/>
    <col min="1797" max="1797" width="15.5703125" style="47" bestFit="1" customWidth="1"/>
    <col min="1798" max="1798" width="18.7109375" style="47" customWidth="1"/>
    <col min="1799" max="1799" width="15" style="47" customWidth="1"/>
    <col min="1800" max="1800" width="18.5703125" style="47" customWidth="1"/>
    <col min="1801" max="1801" width="21.28515625" style="47" customWidth="1"/>
    <col min="1802" max="1802" width="16.140625" style="47" customWidth="1"/>
    <col min="1803" max="1803" width="13.28515625" style="47" customWidth="1"/>
    <col min="1804" max="1804" width="16.28515625" style="47" customWidth="1"/>
    <col min="1805" max="1805" width="18.7109375" style="47" customWidth="1"/>
    <col min="1806" max="1806" width="15.85546875" style="47" customWidth="1"/>
    <col min="1807" max="1807" width="10" style="47" bestFit="1" customWidth="1"/>
    <col min="1808" max="1808" width="13.140625" style="47" customWidth="1"/>
    <col min="1809" max="1810" width="16.42578125" style="47" customWidth="1"/>
    <col min="1811" max="1811" width="12.5703125" style="47" customWidth="1"/>
    <col min="1812" max="2011" width="9.140625" style="47"/>
    <col min="2012" max="2012" width="53.85546875" style="47" customWidth="1"/>
    <col min="2013" max="2013" width="18" style="47" bestFit="1" customWidth="1"/>
    <col min="2014" max="2014" width="23" style="47" customWidth="1"/>
    <col min="2015" max="2015" width="16.7109375" style="47" bestFit="1" customWidth="1"/>
    <col min="2016" max="2016" width="15.5703125" style="47" bestFit="1" customWidth="1"/>
    <col min="2017" max="2017" width="16.7109375" style="47" bestFit="1" customWidth="1"/>
    <col min="2018" max="2018" width="13.5703125" style="47" bestFit="1" customWidth="1"/>
    <col min="2019" max="2019" width="18.7109375" style="47" customWidth="1"/>
    <col min="2020" max="2020" width="15.5703125" style="47" bestFit="1" customWidth="1"/>
    <col min="2021" max="2021" width="16.140625" style="47" customWidth="1"/>
    <col min="2022" max="2022" width="13.28515625" style="47" customWidth="1"/>
    <col min="2023" max="2023" width="16.28515625" style="47" customWidth="1"/>
    <col min="2024" max="2024" width="15.5703125" style="47" customWidth="1"/>
    <col min="2025" max="2025" width="15.85546875" style="47" customWidth="1"/>
    <col min="2026" max="2027" width="10" style="47" bestFit="1" customWidth="1"/>
    <col min="2028" max="2028" width="9.140625" style="47"/>
    <col min="2029" max="2029" width="10.5703125" style="47" bestFit="1" customWidth="1"/>
    <col min="2030" max="2048" width="9.140625" style="47"/>
    <col min="2049" max="2049" width="53.85546875" style="47" customWidth="1"/>
    <col min="2050" max="2050" width="18" style="47" bestFit="1" customWidth="1"/>
    <col min="2051" max="2051" width="18" style="47" customWidth="1"/>
    <col min="2052" max="2052" width="16.7109375" style="47" bestFit="1" customWidth="1"/>
    <col min="2053" max="2053" width="15.5703125" style="47" bestFit="1" customWidth="1"/>
    <col min="2054" max="2054" width="18.7109375" style="47" customWidth="1"/>
    <col min="2055" max="2055" width="15" style="47" customWidth="1"/>
    <col min="2056" max="2056" width="18.5703125" style="47" customWidth="1"/>
    <col min="2057" max="2057" width="21.28515625" style="47" customWidth="1"/>
    <col min="2058" max="2058" width="16.140625" style="47" customWidth="1"/>
    <col min="2059" max="2059" width="13.28515625" style="47" customWidth="1"/>
    <col min="2060" max="2060" width="16.28515625" style="47" customWidth="1"/>
    <col min="2061" max="2061" width="18.7109375" style="47" customWidth="1"/>
    <col min="2062" max="2062" width="15.85546875" style="47" customWidth="1"/>
    <col min="2063" max="2063" width="10" style="47" bestFit="1" customWidth="1"/>
    <col min="2064" max="2064" width="13.140625" style="47" customWidth="1"/>
    <col min="2065" max="2066" width="16.42578125" style="47" customWidth="1"/>
    <col min="2067" max="2067" width="12.5703125" style="47" customWidth="1"/>
    <col min="2068" max="2267" width="9.140625" style="47"/>
    <col min="2268" max="2268" width="53.85546875" style="47" customWidth="1"/>
    <col min="2269" max="2269" width="18" style="47" bestFit="1" customWidth="1"/>
    <col min="2270" max="2270" width="23" style="47" customWidth="1"/>
    <col min="2271" max="2271" width="16.7109375" style="47" bestFit="1" customWidth="1"/>
    <col min="2272" max="2272" width="15.5703125" style="47" bestFit="1" customWidth="1"/>
    <col min="2273" max="2273" width="16.7109375" style="47" bestFit="1" customWidth="1"/>
    <col min="2274" max="2274" width="13.5703125" style="47" bestFit="1" customWidth="1"/>
    <col min="2275" max="2275" width="18.7109375" style="47" customWidth="1"/>
    <col min="2276" max="2276" width="15.5703125" style="47" bestFit="1" customWidth="1"/>
    <col min="2277" max="2277" width="16.140625" style="47" customWidth="1"/>
    <col min="2278" max="2278" width="13.28515625" style="47" customWidth="1"/>
    <col min="2279" max="2279" width="16.28515625" style="47" customWidth="1"/>
    <col min="2280" max="2280" width="15.5703125" style="47" customWidth="1"/>
    <col min="2281" max="2281" width="15.85546875" style="47" customWidth="1"/>
    <col min="2282" max="2283" width="10" style="47" bestFit="1" customWidth="1"/>
    <col min="2284" max="2284" width="9.140625" style="47"/>
    <col min="2285" max="2285" width="10.5703125" style="47" bestFit="1" customWidth="1"/>
    <col min="2286" max="2304" width="9.140625" style="47"/>
    <col min="2305" max="2305" width="53.85546875" style="47" customWidth="1"/>
    <col min="2306" max="2306" width="18" style="47" bestFit="1" customWidth="1"/>
    <col min="2307" max="2307" width="18" style="47" customWidth="1"/>
    <col min="2308" max="2308" width="16.7109375" style="47" bestFit="1" customWidth="1"/>
    <col min="2309" max="2309" width="15.5703125" style="47" bestFit="1" customWidth="1"/>
    <col min="2310" max="2310" width="18.7109375" style="47" customWidth="1"/>
    <col min="2311" max="2311" width="15" style="47" customWidth="1"/>
    <col min="2312" max="2312" width="18.5703125" style="47" customWidth="1"/>
    <col min="2313" max="2313" width="21.28515625" style="47" customWidth="1"/>
    <col min="2314" max="2314" width="16.140625" style="47" customWidth="1"/>
    <col min="2315" max="2315" width="13.28515625" style="47" customWidth="1"/>
    <col min="2316" max="2316" width="16.28515625" style="47" customWidth="1"/>
    <col min="2317" max="2317" width="18.7109375" style="47" customWidth="1"/>
    <col min="2318" max="2318" width="15.85546875" style="47" customWidth="1"/>
    <col min="2319" max="2319" width="10" style="47" bestFit="1" customWidth="1"/>
    <col min="2320" max="2320" width="13.140625" style="47" customWidth="1"/>
    <col min="2321" max="2322" width="16.42578125" style="47" customWidth="1"/>
    <col min="2323" max="2323" width="12.5703125" style="47" customWidth="1"/>
    <col min="2324" max="2523" width="9.140625" style="47"/>
    <col min="2524" max="2524" width="53.85546875" style="47" customWidth="1"/>
    <col min="2525" max="2525" width="18" style="47" bestFit="1" customWidth="1"/>
    <col min="2526" max="2526" width="23" style="47" customWidth="1"/>
    <col min="2527" max="2527" width="16.7109375" style="47" bestFit="1" customWidth="1"/>
    <col min="2528" max="2528" width="15.5703125" style="47" bestFit="1" customWidth="1"/>
    <col min="2529" max="2529" width="16.7109375" style="47" bestFit="1" customWidth="1"/>
    <col min="2530" max="2530" width="13.5703125" style="47" bestFit="1" customWidth="1"/>
    <col min="2531" max="2531" width="18.7109375" style="47" customWidth="1"/>
    <col min="2532" max="2532" width="15.5703125" style="47" bestFit="1" customWidth="1"/>
    <col min="2533" max="2533" width="16.140625" style="47" customWidth="1"/>
    <col min="2534" max="2534" width="13.28515625" style="47" customWidth="1"/>
    <col min="2535" max="2535" width="16.28515625" style="47" customWidth="1"/>
    <col min="2536" max="2536" width="15.5703125" style="47" customWidth="1"/>
    <col min="2537" max="2537" width="15.85546875" style="47" customWidth="1"/>
    <col min="2538" max="2539" width="10" style="47" bestFit="1" customWidth="1"/>
    <col min="2540" max="2540" width="9.140625" style="47"/>
    <col min="2541" max="2541" width="10.5703125" style="47" bestFit="1" customWidth="1"/>
    <col min="2542" max="2560" width="9.140625" style="47"/>
    <col min="2561" max="2561" width="53.85546875" style="47" customWidth="1"/>
    <col min="2562" max="2562" width="18" style="47" bestFit="1" customWidth="1"/>
    <col min="2563" max="2563" width="18" style="47" customWidth="1"/>
    <col min="2564" max="2564" width="16.7109375" style="47" bestFit="1" customWidth="1"/>
    <col min="2565" max="2565" width="15.5703125" style="47" bestFit="1" customWidth="1"/>
    <col min="2566" max="2566" width="18.7109375" style="47" customWidth="1"/>
    <col min="2567" max="2567" width="15" style="47" customWidth="1"/>
    <col min="2568" max="2568" width="18.5703125" style="47" customWidth="1"/>
    <col min="2569" max="2569" width="21.28515625" style="47" customWidth="1"/>
    <col min="2570" max="2570" width="16.140625" style="47" customWidth="1"/>
    <col min="2571" max="2571" width="13.28515625" style="47" customWidth="1"/>
    <col min="2572" max="2572" width="16.28515625" style="47" customWidth="1"/>
    <col min="2573" max="2573" width="18.7109375" style="47" customWidth="1"/>
    <col min="2574" max="2574" width="15.85546875" style="47" customWidth="1"/>
    <col min="2575" max="2575" width="10" style="47" bestFit="1" customWidth="1"/>
    <col min="2576" max="2576" width="13.140625" style="47" customWidth="1"/>
    <col min="2577" max="2578" width="16.42578125" style="47" customWidth="1"/>
    <col min="2579" max="2579" width="12.5703125" style="47" customWidth="1"/>
    <col min="2580" max="2779" width="9.140625" style="47"/>
    <col min="2780" max="2780" width="53.85546875" style="47" customWidth="1"/>
    <col min="2781" max="2781" width="18" style="47" bestFit="1" customWidth="1"/>
    <col min="2782" max="2782" width="23" style="47" customWidth="1"/>
    <col min="2783" max="2783" width="16.7109375" style="47" bestFit="1" customWidth="1"/>
    <col min="2784" max="2784" width="15.5703125" style="47" bestFit="1" customWidth="1"/>
    <col min="2785" max="2785" width="16.7109375" style="47" bestFit="1" customWidth="1"/>
    <col min="2786" max="2786" width="13.5703125" style="47" bestFit="1" customWidth="1"/>
    <col min="2787" max="2787" width="18.7109375" style="47" customWidth="1"/>
    <col min="2788" max="2788" width="15.5703125" style="47" bestFit="1" customWidth="1"/>
    <col min="2789" max="2789" width="16.140625" style="47" customWidth="1"/>
    <col min="2790" max="2790" width="13.28515625" style="47" customWidth="1"/>
    <col min="2791" max="2791" width="16.28515625" style="47" customWidth="1"/>
    <col min="2792" max="2792" width="15.5703125" style="47" customWidth="1"/>
    <col min="2793" max="2793" width="15.85546875" style="47" customWidth="1"/>
    <col min="2794" max="2795" width="10" style="47" bestFit="1" customWidth="1"/>
    <col min="2796" max="2796" width="9.140625" style="47"/>
    <col min="2797" max="2797" width="10.5703125" style="47" bestFit="1" customWidth="1"/>
    <col min="2798" max="2816" width="9.140625" style="47"/>
    <col min="2817" max="2817" width="53.85546875" style="47" customWidth="1"/>
    <col min="2818" max="2818" width="18" style="47" bestFit="1" customWidth="1"/>
    <col min="2819" max="2819" width="18" style="47" customWidth="1"/>
    <col min="2820" max="2820" width="16.7109375" style="47" bestFit="1" customWidth="1"/>
    <col min="2821" max="2821" width="15.5703125" style="47" bestFit="1" customWidth="1"/>
    <col min="2822" max="2822" width="18.7109375" style="47" customWidth="1"/>
    <col min="2823" max="2823" width="15" style="47" customWidth="1"/>
    <col min="2824" max="2824" width="18.5703125" style="47" customWidth="1"/>
    <col min="2825" max="2825" width="21.28515625" style="47" customWidth="1"/>
    <col min="2826" max="2826" width="16.140625" style="47" customWidth="1"/>
    <col min="2827" max="2827" width="13.28515625" style="47" customWidth="1"/>
    <col min="2828" max="2828" width="16.28515625" style="47" customWidth="1"/>
    <col min="2829" max="2829" width="18.7109375" style="47" customWidth="1"/>
    <col min="2830" max="2830" width="15.85546875" style="47" customWidth="1"/>
    <col min="2831" max="2831" width="10" style="47" bestFit="1" customWidth="1"/>
    <col min="2832" max="2832" width="13.140625" style="47" customWidth="1"/>
    <col min="2833" max="2834" width="16.42578125" style="47" customWidth="1"/>
    <col min="2835" max="2835" width="12.5703125" style="47" customWidth="1"/>
    <col min="2836" max="3035" width="9.140625" style="47"/>
    <col min="3036" max="3036" width="53.85546875" style="47" customWidth="1"/>
    <col min="3037" max="3037" width="18" style="47" bestFit="1" customWidth="1"/>
    <col min="3038" max="3038" width="23" style="47" customWidth="1"/>
    <col min="3039" max="3039" width="16.7109375" style="47" bestFit="1" customWidth="1"/>
    <col min="3040" max="3040" width="15.5703125" style="47" bestFit="1" customWidth="1"/>
    <col min="3041" max="3041" width="16.7109375" style="47" bestFit="1" customWidth="1"/>
    <col min="3042" max="3042" width="13.5703125" style="47" bestFit="1" customWidth="1"/>
    <col min="3043" max="3043" width="18.7109375" style="47" customWidth="1"/>
    <col min="3044" max="3044" width="15.5703125" style="47" bestFit="1" customWidth="1"/>
    <col min="3045" max="3045" width="16.140625" style="47" customWidth="1"/>
    <col min="3046" max="3046" width="13.28515625" style="47" customWidth="1"/>
    <col min="3047" max="3047" width="16.28515625" style="47" customWidth="1"/>
    <col min="3048" max="3048" width="15.5703125" style="47" customWidth="1"/>
    <col min="3049" max="3049" width="15.85546875" style="47" customWidth="1"/>
    <col min="3050" max="3051" width="10" style="47" bestFit="1" customWidth="1"/>
    <col min="3052" max="3052" width="9.140625" style="47"/>
    <col min="3053" max="3053" width="10.5703125" style="47" bestFit="1" customWidth="1"/>
    <col min="3054" max="3072" width="9.140625" style="47"/>
    <col min="3073" max="3073" width="53.85546875" style="47" customWidth="1"/>
    <col min="3074" max="3074" width="18" style="47" bestFit="1" customWidth="1"/>
    <col min="3075" max="3075" width="18" style="47" customWidth="1"/>
    <col min="3076" max="3076" width="16.7109375" style="47" bestFit="1" customWidth="1"/>
    <col min="3077" max="3077" width="15.5703125" style="47" bestFit="1" customWidth="1"/>
    <col min="3078" max="3078" width="18.7109375" style="47" customWidth="1"/>
    <col min="3079" max="3079" width="15" style="47" customWidth="1"/>
    <col min="3080" max="3080" width="18.5703125" style="47" customWidth="1"/>
    <col min="3081" max="3081" width="21.28515625" style="47" customWidth="1"/>
    <col min="3082" max="3082" width="16.140625" style="47" customWidth="1"/>
    <col min="3083" max="3083" width="13.28515625" style="47" customWidth="1"/>
    <col min="3084" max="3084" width="16.28515625" style="47" customWidth="1"/>
    <col min="3085" max="3085" width="18.7109375" style="47" customWidth="1"/>
    <col min="3086" max="3086" width="15.85546875" style="47" customWidth="1"/>
    <col min="3087" max="3087" width="10" style="47" bestFit="1" customWidth="1"/>
    <col min="3088" max="3088" width="13.140625" style="47" customWidth="1"/>
    <col min="3089" max="3090" width="16.42578125" style="47" customWidth="1"/>
    <col min="3091" max="3091" width="12.5703125" style="47" customWidth="1"/>
    <col min="3092" max="3291" width="9.140625" style="47"/>
    <col min="3292" max="3292" width="53.85546875" style="47" customWidth="1"/>
    <col min="3293" max="3293" width="18" style="47" bestFit="1" customWidth="1"/>
    <col min="3294" max="3294" width="23" style="47" customWidth="1"/>
    <col min="3295" max="3295" width="16.7109375" style="47" bestFit="1" customWidth="1"/>
    <col min="3296" max="3296" width="15.5703125" style="47" bestFit="1" customWidth="1"/>
    <col min="3297" max="3297" width="16.7109375" style="47" bestFit="1" customWidth="1"/>
    <col min="3298" max="3298" width="13.5703125" style="47" bestFit="1" customWidth="1"/>
    <col min="3299" max="3299" width="18.7109375" style="47" customWidth="1"/>
    <col min="3300" max="3300" width="15.5703125" style="47" bestFit="1" customWidth="1"/>
    <col min="3301" max="3301" width="16.140625" style="47" customWidth="1"/>
    <col min="3302" max="3302" width="13.28515625" style="47" customWidth="1"/>
    <col min="3303" max="3303" width="16.28515625" style="47" customWidth="1"/>
    <col min="3304" max="3304" width="15.5703125" style="47" customWidth="1"/>
    <col min="3305" max="3305" width="15.85546875" style="47" customWidth="1"/>
    <col min="3306" max="3307" width="10" style="47" bestFit="1" customWidth="1"/>
    <col min="3308" max="3308" width="9.140625" style="47"/>
    <col min="3309" max="3309" width="10.5703125" style="47" bestFit="1" customWidth="1"/>
    <col min="3310" max="3328" width="9.140625" style="47"/>
    <col min="3329" max="3329" width="53.85546875" style="47" customWidth="1"/>
    <col min="3330" max="3330" width="18" style="47" bestFit="1" customWidth="1"/>
    <col min="3331" max="3331" width="18" style="47" customWidth="1"/>
    <col min="3332" max="3332" width="16.7109375" style="47" bestFit="1" customWidth="1"/>
    <col min="3333" max="3333" width="15.5703125" style="47" bestFit="1" customWidth="1"/>
    <col min="3334" max="3334" width="18.7109375" style="47" customWidth="1"/>
    <col min="3335" max="3335" width="15" style="47" customWidth="1"/>
    <col min="3336" max="3336" width="18.5703125" style="47" customWidth="1"/>
    <col min="3337" max="3337" width="21.28515625" style="47" customWidth="1"/>
    <col min="3338" max="3338" width="16.140625" style="47" customWidth="1"/>
    <col min="3339" max="3339" width="13.28515625" style="47" customWidth="1"/>
    <col min="3340" max="3340" width="16.28515625" style="47" customWidth="1"/>
    <col min="3341" max="3341" width="18.7109375" style="47" customWidth="1"/>
    <col min="3342" max="3342" width="15.85546875" style="47" customWidth="1"/>
    <col min="3343" max="3343" width="10" style="47" bestFit="1" customWidth="1"/>
    <col min="3344" max="3344" width="13.140625" style="47" customWidth="1"/>
    <col min="3345" max="3346" width="16.42578125" style="47" customWidth="1"/>
    <col min="3347" max="3347" width="12.5703125" style="47" customWidth="1"/>
    <col min="3348" max="3547" width="9.140625" style="47"/>
    <col min="3548" max="3548" width="53.85546875" style="47" customWidth="1"/>
    <col min="3549" max="3549" width="18" style="47" bestFit="1" customWidth="1"/>
    <col min="3550" max="3550" width="23" style="47" customWidth="1"/>
    <col min="3551" max="3551" width="16.7109375" style="47" bestFit="1" customWidth="1"/>
    <col min="3552" max="3552" width="15.5703125" style="47" bestFit="1" customWidth="1"/>
    <col min="3553" max="3553" width="16.7109375" style="47" bestFit="1" customWidth="1"/>
    <col min="3554" max="3554" width="13.5703125" style="47" bestFit="1" customWidth="1"/>
    <col min="3555" max="3555" width="18.7109375" style="47" customWidth="1"/>
    <col min="3556" max="3556" width="15.5703125" style="47" bestFit="1" customWidth="1"/>
    <col min="3557" max="3557" width="16.140625" style="47" customWidth="1"/>
    <col min="3558" max="3558" width="13.28515625" style="47" customWidth="1"/>
    <col min="3559" max="3559" width="16.28515625" style="47" customWidth="1"/>
    <col min="3560" max="3560" width="15.5703125" style="47" customWidth="1"/>
    <col min="3561" max="3561" width="15.85546875" style="47" customWidth="1"/>
    <col min="3562" max="3563" width="10" style="47" bestFit="1" customWidth="1"/>
    <col min="3564" max="3564" width="9.140625" style="47"/>
    <col min="3565" max="3565" width="10.5703125" style="47" bestFit="1" customWidth="1"/>
    <col min="3566" max="3584" width="9.140625" style="47"/>
    <col min="3585" max="3585" width="53.85546875" style="47" customWidth="1"/>
    <col min="3586" max="3586" width="18" style="47" bestFit="1" customWidth="1"/>
    <col min="3587" max="3587" width="18" style="47" customWidth="1"/>
    <col min="3588" max="3588" width="16.7109375" style="47" bestFit="1" customWidth="1"/>
    <col min="3589" max="3589" width="15.5703125" style="47" bestFit="1" customWidth="1"/>
    <col min="3590" max="3590" width="18.7109375" style="47" customWidth="1"/>
    <col min="3591" max="3591" width="15" style="47" customWidth="1"/>
    <col min="3592" max="3592" width="18.5703125" style="47" customWidth="1"/>
    <col min="3593" max="3593" width="21.28515625" style="47" customWidth="1"/>
    <col min="3594" max="3594" width="16.140625" style="47" customWidth="1"/>
    <col min="3595" max="3595" width="13.28515625" style="47" customWidth="1"/>
    <col min="3596" max="3596" width="16.28515625" style="47" customWidth="1"/>
    <col min="3597" max="3597" width="18.7109375" style="47" customWidth="1"/>
    <col min="3598" max="3598" width="15.85546875" style="47" customWidth="1"/>
    <col min="3599" max="3599" width="10" style="47" bestFit="1" customWidth="1"/>
    <col min="3600" max="3600" width="13.140625" style="47" customWidth="1"/>
    <col min="3601" max="3602" width="16.42578125" style="47" customWidth="1"/>
    <col min="3603" max="3603" width="12.5703125" style="47" customWidth="1"/>
    <col min="3604" max="3803" width="9.140625" style="47"/>
    <col min="3804" max="3804" width="53.85546875" style="47" customWidth="1"/>
    <col min="3805" max="3805" width="18" style="47" bestFit="1" customWidth="1"/>
    <col min="3806" max="3806" width="23" style="47" customWidth="1"/>
    <col min="3807" max="3807" width="16.7109375" style="47" bestFit="1" customWidth="1"/>
    <col min="3808" max="3808" width="15.5703125" style="47" bestFit="1" customWidth="1"/>
    <col min="3809" max="3809" width="16.7109375" style="47" bestFit="1" customWidth="1"/>
    <col min="3810" max="3810" width="13.5703125" style="47" bestFit="1" customWidth="1"/>
    <col min="3811" max="3811" width="18.7109375" style="47" customWidth="1"/>
    <col min="3812" max="3812" width="15.5703125" style="47" bestFit="1" customWidth="1"/>
    <col min="3813" max="3813" width="16.140625" style="47" customWidth="1"/>
    <col min="3814" max="3814" width="13.28515625" style="47" customWidth="1"/>
    <col min="3815" max="3815" width="16.28515625" style="47" customWidth="1"/>
    <col min="3816" max="3816" width="15.5703125" style="47" customWidth="1"/>
    <col min="3817" max="3817" width="15.85546875" style="47" customWidth="1"/>
    <col min="3818" max="3819" width="10" style="47" bestFit="1" customWidth="1"/>
    <col min="3820" max="3820" width="9.140625" style="47"/>
    <col min="3821" max="3821" width="10.5703125" style="47" bestFit="1" customWidth="1"/>
    <col min="3822" max="3840" width="9.140625" style="47"/>
    <col min="3841" max="3841" width="53.85546875" style="47" customWidth="1"/>
    <col min="3842" max="3842" width="18" style="47" bestFit="1" customWidth="1"/>
    <col min="3843" max="3843" width="18" style="47" customWidth="1"/>
    <col min="3844" max="3844" width="16.7109375" style="47" bestFit="1" customWidth="1"/>
    <col min="3845" max="3845" width="15.5703125" style="47" bestFit="1" customWidth="1"/>
    <col min="3846" max="3846" width="18.7109375" style="47" customWidth="1"/>
    <col min="3847" max="3847" width="15" style="47" customWidth="1"/>
    <col min="3848" max="3848" width="18.5703125" style="47" customWidth="1"/>
    <col min="3849" max="3849" width="21.28515625" style="47" customWidth="1"/>
    <col min="3850" max="3850" width="16.140625" style="47" customWidth="1"/>
    <col min="3851" max="3851" width="13.28515625" style="47" customWidth="1"/>
    <col min="3852" max="3852" width="16.28515625" style="47" customWidth="1"/>
    <col min="3853" max="3853" width="18.7109375" style="47" customWidth="1"/>
    <col min="3854" max="3854" width="15.85546875" style="47" customWidth="1"/>
    <col min="3855" max="3855" width="10" style="47" bestFit="1" customWidth="1"/>
    <col min="3856" max="3856" width="13.140625" style="47" customWidth="1"/>
    <col min="3857" max="3858" width="16.42578125" style="47" customWidth="1"/>
    <col min="3859" max="3859" width="12.5703125" style="47" customWidth="1"/>
    <col min="3860" max="4059" width="9.140625" style="47"/>
    <col min="4060" max="4060" width="53.85546875" style="47" customWidth="1"/>
    <col min="4061" max="4061" width="18" style="47" bestFit="1" customWidth="1"/>
    <col min="4062" max="4062" width="23" style="47" customWidth="1"/>
    <col min="4063" max="4063" width="16.7109375" style="47" bestFit="1" customWidth="1"/>
    <col min="4064" max="4064" width="15.5703125" style="47" bestFit="1" customWidth="1"/>
    <col min="4065" max="4065" width="16.7109375" style="47" bestFit="1" customWidth="1"/>
    <col min="4066" max="4066" width="13.5703125" style="47" bestFit="1" customWidth="1"/>
    <col min="4067" max="4067" width="18.7109375" style="47" customWidth="1"/>
    <col min="4068" max="4068" width="15.5703125" style="47" bestFit="1" customWidth="1"/>
    <col min="4069" max="4069" width="16.140625" style="47" customWidth="1"/>
    <col min="4070" max="4070" width="13.28515625" style="47" customWidth="1"/>
    <col min="4071" max="4071" width="16.28515625" style="47" customWidth="1"/>
    <col min="4072" max="4072" width="15.5703125" style="47" customWidth="1"/>
    <col min="4073" max="4073" width="15.85546875" style="47" customWidth="1"/>
    <col min="4074" max="4075" width="10" style="47" bestFit="1" customWidth="1"/>
    <col min="4076" max="4076" width="9.140625" style="47"/>
    <col min="4077" max="4077" width="10.5703125" style="47" bestFit="1" customWidth="1"/>
    <col min="4078" max="4096" width="9.140625" style="47"/>
    <col min="4097" max="4097" width="53.85546875" style="47" customWidth="1"/>
    <col min="4098" max="4098" width="18" style="47" bestFit="1" customWidth="1"/>
    <col min="4099" max="4099" width="18" style="47" customWidth="1"/>
    <col min="4100" max="4100" width="16.7109375" style="47" bestFit="1" customWidth="1"/>
    <col min="4101" max="4101" width="15.5703125" style="47" bestFit="1" customWidth="1"/>
    <col min="4102" max="4102" width="18.7109375" style="47" customWidth="1"/>
    <col min="4103" max="4103" width="15" style="47" customWidth="1"/>
    <col min="4104" max="4104" width="18.5703125" style="47" customWidth="1"/>
    <col min="4105" max="4105" width="21.28515625" style="47" customWidth="1"/>
    <col min="4106" max="4106" width="16.140625" style="47" customWidth="1"/>
    <col min="4107" max="4107" width="13.28515625" style="47" customWidth="1"/>
    <col min="4108" max="4108" width="16.28515625" style="47" customWidth="1"/>
    <col min="4109" max="4109" width="18.7109375" style="47" customWidth="1"/>
    <col min="4110" max="4110" width="15.85546875" style="47" customWidth="1"/>
    <col min="4111" max="4111" width="10" style="47" bestFit="1" customWidth="1"/>
    <col min="4112" max="4112" width="13.140625" style="47" customWidth="1"/>
    <col min="4113" max="4114" width="16.42578125" style="47" customWidth="1"/>
    <col min="4115" max="4115" width="12.5703125" style="47" customWidth="1"/>
    <col min="4116" max="4315" width="9.140625" style="47"/>
    <col min="4316" max="4316" width="53.85546875" style="47" customWidth="1"/>
    <col min="4317" max="4317" width="18" style="47" bestFit="1" customWidth="1"/>
    <col min="4318" max="4318" width="23" style="47" customWidth="1"/>
    <col min="4319" max="4319" width="16.7109375" style="47" bestFit="1" customWidth="1"/>
    <col min="4320" max="4320" width="15.5703125" style="47" bestFit="1" customWidth="1"/>
    <col min="4321" max="4321" width="16.7109375" style="47" bestFit="1" customWidth="1"/>
    <col min="4322" max="4322" width="13.5703125" style="47" bestFit="1" customWidth="1"/>
    <col min="4323" max="4323" width="18.7109375" style="47" customWidth="1"/>
    <col min="4324" max="4324" width="15.5703125" style="47" bestFit="1" customWidth="1"/>
    <col min="4325" max="4325" width="16.140625" style="47" customWidth="1"/>
    <col min="4326" max="4326" width="13.28515625" style="47" customWidth="1"/>
    <col min="4327" max="4327" width="16.28515625" style="47" customWidth="1"/>
    <col min="4328" max="4328" width="15.5703125" style="47" customWidth="1"/>
    <col min="4329" max="4329" width="15.85546875" style="47" customWidth="1"/>
    <col min="4330" max="4331" width="10" style="47" bestFit="1" customWidth="1"/>
    <col min="4332" max="4332" width="9.140625" style="47"/>
    <col min="4333" max="4333" width="10.5703125" style="47" bestFit="1" customWidth="1"/>
    <col min="4334" max="4352" width="9.140625" style="47"/>
    <col min="4353" max="4353" width="53.85546875" style="47" customWidth="1"/>
    <col min="4354" max="4354" width="18" style="47" bestFit="1" customWidth="1"/>
    <col min="4355" max="4355" width="18" style="47" customWidth="1"/>
    <col min="4356" max="4356" width="16.7109375" style="47" bestFit="1" customWidth="1"/>
    <col min="4357" max="4357" width="15.5703125" style="47" bestFit="1" customWidth="1"/>
    <col min="4358" max="4358" width="18.7109375" style="47" customWidth="1"/>
    <col min="4359" max="4359" width="15" style="47" customWidth="1"/>
    <col min="4360" max="4360" width="18.5703125" style="47" customWidth="1"/>
    <col min="4361" max="4361" width="21.28515625" style="47" customWidth="1"/>
    <col min="4362" max="4362" width="16.140625" style="47" customWidth="1"/>
    <col min="4363" max="4363" width="13.28515625" style="47" customWidth="1"/>
    <col min="4364" max="4364" width="16.28515625" style="47" customWidth="1"/>
    <col min="4365" max="4365" width="18.7109375" style="47" customWidth="1"/>
    <col min="4366" max="4366" width="15.85546875" style="47" customWidth="1"/>
    <col min="4367" max="4367" width="10" style="47" bestFit="1" customWidth="1"/>
    <col min="4368" max="4368" width="13.140625" style="47" customWidth="1"/>
    <col min="4369" max="4370" width="16.42578125" style="47" customWidth="1"/>
    <col min="4371" max="4371" width="12.5703125" style="47" customWidth="1"/>
    <col min="4372" max="4571" width="9.140625" style="47"/>
    <col min="4572" max="4572" width="53.85546875" style="47" customWidth="1"/>
    <col min="4573" max="4573" width="18" style="47" bestFit="1" customWidth="1"/>
    <col min="4574" max="4574" width="23" style="47" customWidth="1"/>
    <col min="4575" max="4575" width="16.7109375" style="47" bestFit="1" customWidth="1"/>
    <col min="4576" max="4576" width="15.5703125" style="47" bestFit="1" customWidth="1"/>
    <col min="4577" max="4577" width="16.7109375" style="47" bestFit="1" customWidth="1"/>
    <col min="4578" max="4578" width="13.5703125" style="47" bestFit="1" customWidth="1"/>
    <col min="4579" max="4579" width="18.7109375" style="47" customWidth="1"/>
    <col min="4580" max="4580" width="15.5703125" style="47" bestFit="1" customWidth="1"/>
    <col min="4581" max="4581" width="16.140625" style="47" customWidth="1"/>
    <col min="4582" max="4582" width="13.28515625" style="47" customWidth="1"/>
    <col min="4583" max="4583" width="16.28515625" style="47" customWidth="1"/>
    <col min="4584" max="4584" width="15.5703125" style="47" customWidth="1"/>
    <col min="4585" max="4585" width="15.85546875" style="47" customWidth="1"/>
    <col min="4586" max="4587" width="10" style="47" bestFit="1" customWidth="1"/>
    <col min="4588" max="4588" width="9.140625" style="47"/>
    <col min="4589" max="4589" width="10.5703125" style="47" bestFit="1" customWidth="1"/>
    <col min="4590" max="4608" width="9.140625" style="47"/>
    <col min="4609" max="4609" width="53.85546875" style="47" customWidth="1"/>
    <col min="4610" max="4610" width="18" style="47" bestFit="1" customWidth="1"/>
    <col min="4611" max="4611" width="18" style="47" customWidth="1"/>
    <col min="4612" max="4612" width="16.7109375" style="47" bestFit="1" customWidth="1"/>
    <col min="4613" max="4613" width="15.5703125" style="47" bestFit="1" customWidth="1"/>
    <col min="4614" max="4614" width="18.7109375" style="47" customWidth="1"/>
    <col min="4615" max="4615" width="15" style="47" customWidth="1"/>
    <col min="4616" max="4616" width="18.5703125" style="47" customWidth="1"/>
    <col min="4617" max="4617" width="21.28515625" style="47" customWidth="1"/>
    <col min="4618" max="4618" width="16.140625" style="47" customWidth="1"/>
    <col min="4619" max="4619" width="13.28515625" style="47" customWidth="1"/>
    <col min="4620" max="4620" width="16.28515625" style="47" customWidth="1"/>
    <col min="4621" max="4621" width="18.7109375" style="47" customWidth="1"/>
    <col min="4622" max="4622" width="15.85546875" style="47" customWidth="1"/>
    <col min="4623" max="4623" width="10" style="47" bestFit="1" customWidth="1"/>
    <col min="4624" max="4624" width="13.140625" style="47" customWidth="1"/>
    <col min="4625" max="4626" width="16.42578125" style="47" customWidth="1"/>
    <col min="4627" max="4627" width="12.5703125" style="47" customWidth="1"/>
    <col min="4628" max="4827" width="9.140625" style="47"/>
    <col min="4828" max="4828" width="53.85546875" style="47" customWidth="1"/>
    <col min="4829" max="4829" width="18" style="47" bestFit="1" customWidth="1"/>
    <col min="4830" max="4830" width="23" style="47" customWidth="1"/>
    <col min="4831" max="4831" width="16.7109375" style="47" bestFit="1" customWidth="1"/>
    <col min="4832" max="4832" width="15.5703125" style="47" bestFit="1" customWidth="1"/>
    <col min="4833" max="4833" width="16.7109375" style="47" bestFit="1" customWidth="1"/>
    <col min="4834" max="4834" width="13.5703125" style="47" bestFit="1" customWidth="1"/>
    <col min="4835" max="4835" width="18.7109375" style="47" customWidth="1"/>
    <col min="4836" max="4836" width="15.5703125" style="47" bestFit="1" customWidth="1"/>
    <col min="4837" max="4837" width="16.140625" style="47" customWidth="1"/>
    <col min="4838" max="4838" width="13.28515625" style="47" customWidth="1"/>
    <col min="4839" max="4839" width="16.28515625" style="47" customWidth="1"/>
    <col min="4840" max="4840" width="15.5703125" style="47" customWidth="1"/>
    <col min="4841" max="4841" width="15.85546875" style="47" customWidth="1"/>
    <col min="4842" max="4843" width="10" style="47" bestFit="1" customWidth="1"/>
    <col min="4844" max="4844" width="9.140625" style="47"/>
    <col min="4845" max="4845" width="10.5703125" style="47" bestFit="1" customWidth="1"/>
    <col min="4846" max="4864" width="9.140625" style="47"/>
    <col min="4865" max="4865" width="53.85546875" style="47" customWidth="1"/>
    <col min="4866" max="4866" width="18" style="47" bestFit="1" customWidth="1"/>
    <col min="4867" max="4867" width="18" style="47" customWidth="1"/>
    <col min="4868" max="4868" width="16.7109375" style="47" bestFit="1" customWidth="1"/>
    <col min="4869" max="4869" width="15.5703125" style="47" bestFit="1" customWidth="1"/>
    <col min="4870" max="4870" width="18.7109375" style="47" customWidth="1"/>
    <col min="4871" max="4871" width="15" style="47" customWidth="1"/>
    <col min="4872" max="4872" width="18.5703125" style="47" customWidth="1"/>
    <col min="4873" max="4873" width="21.28515625" style="47" customWidth="1"/>
    <col min="4874" max="4874" width="16.140625" style="47" customWidth="1"/>
    <col min="4875" max="4875" width="13.28515625" style="47" customWidth="1"/>
    <col min="4876" max="4876" width="16.28515625" style="47" customWidth="1"/>
    <col min="4877" max="4877" width="18.7109375" style="47" customWidth="1"/>
    <col min="4878" max="4878" width="15.85546875" style="47" customWidth="1"/>
    <col min="4879" max="4879" width="10" style="47" bestFit="1" customWidth="1"/>
    <col min="4880" max="4880" width="13.140625" style="47" customWidth="1"/>
    <col min="4881" max="4882" width="16.42578125" style="47" customWidth="1"/>
    <col min="4883" max="4883" width="12.5703125" style="47" customWidth="1"/>
    <col min="4884" max="5083" width="9.140625" style="47"/>
    <col min="5084" max="5084" width="53.85546875" style="47" customWidth="1"/>
    <col min="5085" max="5085" width="18" style="47" bestFit="1" customWidth="1"/>
    <col min="5086" max="5086" width="23" style="47" customWidth="1"/>
    <col min="5087" max="5087" width="16.7109375" style="47" bestFit="1" customWidth="1"/>
    <col min="5088" max="5088" width="15.5703125" style="47" bestFit="1" customWidth="1"/>
    <col min="5089" max="5089" width="16.7109375" style="47" bestFit="1" customWidth="1"/>
    <col min="5090" max="5090" width="13.5703125" style="47" bestFit="1" customWidth="1"/>
    <col min="5091" max="5091" width="18.7109375" style="47" customWidth="1"/>
    <col min="5092" max="5092" width="15.5703125" style="47" bestFit="1" customWidth="1"/>
    <col min="5093" max="5093" width="16.140625" style="47" customWidth="1"/>
    <col min="5094" max="5094" width="13.28515625" style="47" customWidth="1"/>
    <col min="5095" max="5095" width="16.28515625" style="47" customWidth="1"/>
    <col min="5096" max="5096" width="15.5703125" style="47" customWidth="1"/>
    <col min="5097" max="5097" width="15.85546875" style="47" customWidth="1"/>
    <col min="5098" max="5099" width="10" style="47" bestFit="1" customWidth="1"/>
    <col min="5100" max="5100" width="9.140625" style="47"/>
    <col min="5101" max="5101" width="10.5703125" style="47" bestFit="1" customWidth="1"/>
    <col min="5102" max="5120" width="9.140625" style="47"/>
    <col min="5121" max="5121" width="53.85546875" style="47" customWidth="1"/>
    <col min="5122" max="5122" width="18" style="47" bestFit="1" customWidth="1"/>
    <col min="5123" max="5123" width="18" style="47" customWidth="1"/>
    <col min="5124" max="5124" width="16.7109375" style="47" bestFit="1" customWidth="1"/>
    <col min="5125" max="5125" width="15.5703125" style="47" bestFit="1" customWidth="1"/>
    <col min="5126" max="5126" width="18.7109375" style="47" customWidth="1"/>
    <col min="5127" max="5127" width="15" style="47" customWidth="1"/>
    <col min="5128" max="5128" width="18.5703125" style="47" customWidth="1"/>
    <col min="5129" max="5129" width="21.28515625" style="47" customWidth="1"/>
    <col min="5130" max="5130" width="16.140625" style="47" customWidth="1"/>
    <col min="5131" max="5131" width="13.28515625" style="47" customWidth="1"/>
    <col min="5132" max="5132" width="16.28515625" style="47" customWidth="1"/>
    <col min="5133" max="5133" width="18.7109375" style="47" customWidth="1"/>
    <col min="5134" max="5134" width="15.85546875" style="47" customWidth="1"/>
    <col min="5135" max="5135" width="10" style="47" bestFit="1" customWidth="1"/>
    <col min="5136" max="5136" width="13.140625" style="47" customWidth="1"/>
    <col min="5137" max="5138" width="16.42578125" style="47" customWidth="1"/>
    <col min="5139" max="5139" width="12.5703125" style="47" customWidth="1"/>
    <col min="5140" max="5339" width="9.140625" style="47"/>
    <col min="5340" max="5340" width="53.85546875" style="47" customWidth="1"/>
    <col min="5341" max="5341" width="18" style="47" bestFit="1" customWidth="1"/>
    <col min="5342" max="5342" width="23" style="47" customWidth="1"/>
    <col min="5343" max="5343" width="16.7109375" style="47" bestFit="1" customWidth="1"/>
    <col min="5344" max="5344" width="15.5703125" style="47" bestFit="1" customWidth="1"/>
    <col min="5345" max="5345" width="16.7109375" style="47" bestFit="1" customWidth="1"/>
    <col min="5346" max="5346" width="13.5703125" style="47" bestFit="1" customWidth="1"/>
    <col min="5347" max="5347" width="18.7109375" style="47" customWidth="1"/>
    <col min="5348" max="5348" width="15.5703125" style="47" bestFit="1" customWidth="1"/>
    <col min="5349" max="5349" width="16.140625" style="47" customWidth="1"/>
    <col min="5350" max="5350" width="13.28515625" style="47" customWidth="1"/>
    <col min="5351" max="5351" width="16.28515625" style="47" customWidth="1"/>
    <col min="5352" max="5352" width="15.5703125" style="47" customWidth="1"/>
    <col min="5353" max="5353" width="15.85546875" style="47" customWidth="1"/>
    <col min="5354" max="5355" width="10" style="47" bestFit="1" customWidth="1"/>
    <col min="5356" max="5356" width="9.140625" style="47"/>
    <col min="5357" max="5357" width="10.5703125" style="47" bestFit="1" customWidth="1"/>
    <col min="5358" max="5376" width="9.140625" style="47"/>
    <col min="5377" max="5377" width="53.85546875" style="47" customWidth="1"/>
    <col min="5378" max="5378" width="18" style="47" bestFit="1" customWidth="1"/>
    <col min="5379" max="5379" width="18" style="47" customWidth="1"/>
    <col min="5380" max="5380" width="16.7109375" style="47" bestFit="1" customWidth="1"/>
    <col min="5381" max="5381" width="15.5703125" style="47" bestFit="1" customWidth="1"/>
    <col min="5382" max="5382" width="18.7109375" style="47" customWidth="1"/>
    <col min="5383" max="5383" width="15" style="47" customWidth="1"/>
    <col min="5384" max="5384" width="18.5703125" style="47" customWidth="1"/>
    <col min="5385" max="5385" width="21.28515625" style="47" customWidth="1"/>
    <col min="5386" max="5386" width="16.140625" style="47" customWidth="1"/>
    <col min="5387" max="5387" width="13.28515625" style="47" customWidth="1"/>
    <col min="5388" max="5388" width="16.28515625" style="47" customWidth="1"/>
    <col min="5389" max="5389" width="18.7109375" style="47" customWidth="1"/>
    <col min="5390" max="5390" width="15.85546875" style="47" customWidth="1"/>
    <col min="5391" max="5391" width="10" style="47" bestFit="1" customWidth="1"/>
    <col min="5392" max="5392" width="13.140625" style="47" customWidth="1"/>
    <col min="5393" max="5394" width="16.42578125" style="47" customWidth="1"/>
    <col min="5395" max="5395" width="12.5703125" style="47" customWidth="1"/>
    <col min="5396" max="5595" width="9.140625" style="47"/>
    <col min="5596" max="5596" width="53.85546875" style="47" customWidth="1"/>
    <col min="5597" max="5597" width="18" style="47" bestFit="1" customWidth="1"/>
    <col min="5598" max="5598" width="23" style="47" customWidth="1"/>
    <col min="5599" max="5599" width="16.7109375" style="47" bestFit="1" customWidth="1"/>
    <col min="5600" max="5600" width="15.5703125" style="47" bestFit="1" customWidth="1"/>
    <col min="5601" max="5601" width="16.7109375" style="47" bestFit="1" customWidth="1"/>
    <col min="5602" max="5602" width="13.5703125" style="47" bestFit="1" customWidth="1"/>
    <col min="5603" max="5603" width="18.7109375" style="47" customWidth="1"/>
    <col min="5604" max="5604" width="15.5703125" style="47" bestFit="1" customWidth="1"/>
    <col min="5605" max="5605" width="16.140625" style="47" customWidth="1"/>
    <col min="5606" max="5606" width="13.28515625" style="47" customWidth="1"/>
    <col min="5607" max="5607" width="16.28515625" style="47" customWidth="1"/>
    <col min="5608" max="5608" width="15.5703125" style="47" customWidth="1"/>
    <col min="5609" max="5609" width="15.85546875" style="47" customWidth="1"/>
    <col min="5610" max="5611" width="10" style="47" bestFit="1" customWidth="1"/>
    <col min="5612" max="5612" width="9.140625" style="47"/>
    <col min="5613" max="5613" width="10.5703125" style="47" bestFit="1" customWidth="1"/>
    <col min="5614" max="5632" width="9.140625" style="47"/>
    <col min="5633" max="5633" width="53.85546875" style="47" customWidth="1"/>
    <col min="5634" max="5634" width="18" style="47" bestFit="1" customWidth="1"/>
    <col min="5635" max="5635" width="18" style="47" customWidth="1"/>
    <col min="5636" max="5636" width="16.7109375" style="47" bestFit="1" customWidth="1"/>
    <col min="5637" max="5637" width="15.5703125" style="47" bestFit="1" customWidth="1"/>
    <col min="5638" max="5638" width="18.7109375" style="47" customWidth="1"/>
    <col min="5639" max="5639" width="15" style="47" customWidth="1"/>
    <col min="5640" max="5640" width="18.5703125" style="47" customWidth="1"/>
    <col min="5641" max="5641" width="21.28515625" style="47" customWidth="1"/>
    <col min="5642" max="5642" width="16.140625" style="47" customWidth="1"/>
    <col min="5643" max="5643" width="13.28515625" style="47" customWidth="1"/>
    <col min="5644" max="5644" width="16.28515625" style="47" customWidth="1"/>
    <col min="5645" max="5645" width="18.7109375" style="47" customWidth="1"/>
    <col min="5646" max="5646" width="15.85546875" style="47" customWidth="1"/>
    <col min="5647" max="5647" width="10" style="47" bestFit="1" customWidth="1"/>
    <col min="5648" max="5648" width="13.140625" style="47" customWidth="1"/>
    <col min="5649" max="5650" width="16.42578125" style="47" customWidth="1"/>
    <col min="5651" max="5651" width="12.5703125" style="47" customWidth="1"/>
    <col min="5652" max="5851" width="9.140625" style="47"/>
    <col min="5852" max="5852" width="53.85546875" style="47" customWidth="1"/>
    <col min="5853" max="5853" width="18" style="47" bestFit="1" customWidth="1"/>
    <col min="5854" max="5854" width="23" style="47" customWidth="1"/>
    <col min="5855" max="5855" width="16.7109375" style="47" bestFit="1" customWidth="1"/>
    <col min="5856" max="5856" width="15.5703125" style="47" bestFit="1" customWidth="1"/>
    <col min="5857" max="5857" width="16.7109375" style="47" bestFit="1" customWidth="1"/>
    <col min="5858" max="5858" width="13.5703125" style="47" bestFit="1" customWidth="1"/>
    <col min="5859" max="5859" width="18.7109375" style="47" customWidth="1"/>
    <col min="5860" max="5860" width="15.5703125" style="47" bestFit="1" customWidth="1"/>
    <col min="5861" max="5861" width="16.140625" style="47" customWidth="1"/>
    <col min="5862" max="5862" width="13.28515625" style="47" customWidth="1"/>
    <col min="5863" max="5863" width="16.28515625" style="47" customWidth="1"/>
    <col min="5864" max="5864" width="15.5703125" style="47" customWidth="1"/>
    <col min="5865" max="5865" width="15.85546875" style="47" customWidth="1"/>
    <col min="5866" max="5867" width="10" style="47" bestFit="1" customWidth="1"/>
    <col min="5868" max="5868" width="9.140625" style="47"/>
    <col min="5869" max="5869" width="10.5703125" style="47" bestFit="1" customWidth="1"/>
    <col min="5870" max="5888" width="9.140625" style="47"/>
    <col min="5889" max="5889" width="53.85546875" style="47" customWidth="1"/>
    <col min="5890" max="5890" width="18" style="47" bestFit="1" customWidth="1"/>
    <col min="5891" max="5891" width="18" style="47" customWidth="1"/>
    <col min="5892" max="5892" width="16.7109375" style="47" bestFit="1" customWidth="1"/>
    <col min="5893" max="5893" width="15.5703125" style="47" bestFit="1" customWidth="1"/>
    <col min="5894" max="5894" width="18.7109375" style="47" customWidth="1"/>
    <col min="5895" max="5895" width="15" style="47" customWidth="1"/>
    <col min="5896" max="5896" width="18.5703125" style="47" customWidth="1"/>
    <col min="5897" max="5897" width="21.28515625" style="47" customWidth="1"/>
    <col min="5898" max="5898" width="16.140625" style="47" customWidth="1"/>
    <col min="5899" max="5899" width="13.28515625" style="47" customWidth="1"/>
    <col min="5900" max="5900" width="16.28515625" style="47" customWidth="1"/>
    <col min="5901" max="5901" width="18.7109375" style="47" customWidth="1"/>
    <col min="5902" max="5902" width="15.85546875" style="47" customWidth="1"/>
    <col min="5903" max="5903" width="10" style="47" bestFit="1" customWidth="1"/>
    <col min="5904" max="5904" width="13.140625" style="47" customWidth="1"/>
    <col min="5905" max="5906" width="16.42578125" style="47" customWidth="1"/>
    <col min="5907" max="5907" width="12.5703125" style="47" customWidth="1"/>
    <col min="5908" max="6107" width="9.140625" style="47"/>
    <col min="6108" max="6108" width="53.85546875" style="47" customWidth="1"/>
    <col min="6109" max="6109" width="18" style="47" bestFit="1" customWidth="1"/>
    <col min="6110" max="6110" width="23" style="47" customWidth="1"/>
    <col min="6111" max="6111" width="16.7109375" style="47" bestFit="1" customWidth="1"/>
    <col min="6112" max="6112" width="15.5703125" style="47" bestFit="1" customWidth="1"/>
    <col min="6113" max="6113" width="16.7109375" style="47" bestFit="1" customWidth="1"/>
    <col min="6114" max="6114" width="13.5703125" style="47" bestFit="1" customWidth="1"/>
    <col min="6115" max="6115" width="18.7109375" style="47" customWidth="1"/>
    <col min="6116" max="6116" width="15.5703125" style="47" bestFit="1" customWidth="1"/>
    <col min="6117" max="6117" width="16.140625" style="47" customWidth="1"/>
    <col min="6118" max="6118" width="13.28515625" style="47" customWidth="1"/>
    <col min="6119" max="6119" width="16.28515625" style="47" customWidth="1"/>
    <col min="6120" max="6120" width="15.5703125" style="47" customWidth="1"/>
    <col min="6121" max="6121" width="15.85546875" style="47" customWidth="1"/>
    <col min="6122" max="6123" width="10" style="47" bestFit="1" customWidth="1"/>
    <col min="6124" max="6124" width="9.140625" style="47"/>
    <col min="6125" max="6125" width="10.5703125" style="47" bestFit="1" customWidth="1"/>
    <col min="6126" max="6144" width="9.140625" style="47"/>
    <col min="6145" max="6145" width="53.85546875" style="47" customWidth="1"/>
    <col min="6146" max="6146" width="18" style="47" bestFit="1" customWidth="1"/>
    <col min="6147" max="6147" width="18" style="47" customWidth="1"/>
    <col min="6148" max="6148" width="16.7109375" style="47" bestFit="1" customWidth="1"/>
    <col min="6149" max="6149" width="15.5703125" style="47" bestFit="1" customWidth="1"/>
    <col min="6150" max="6150" width="18.7109375" style="47" customWidth="1"/>
    <col min="6151" max="6151" width="15" style="47" customWidth="1"/>
    <col min="6152" max="6152" width="18.5703125" style="47" customWidth="1"/>
    <col min="6153" max="6153" width="21.28515625" style="47" customWidth="1"/>
    <col min="6154" max="6154" width="16.140625" style="47" customWidth="1"/>
    <col min="6155" max="6155" width="13.28515625" style="47" customWidth="1"/>
    <col min="6156" max="6156" width="16.28515625" style="47" customWidth="1"/>
    <col min="6157" max="6157" width="18.7109375" style="47" customWidth="1"/>
    <col min="6158" max="6158" width="15.85546875" style="47" customWidth="1"/>
    <col min="6159" max="6159" width="10" style="47" bestFit="1" customWidth="1"/>
    <col min="6160" max="6160" width="13.140625" style="47" customWidth="1"/>
    <col min="6161" max="6162" width="16.42578125" style="47" customWidth="1"/>
    <col min="6163" max="6163" width="12.5703125" style="47" customWidth="1"/>
    <col min="6164" max="6363" width="9.140625" style="47"/>
    <col min="6364" max="6364" width="53.85546875" style="47" customWidth="1"/>
    <col min="6365" max="6365" width="18" style="47" bestFit="1" customWidth="1"/>
    <col min="6366" max="6366" width="23" style="47" customWidth="1"/>
    <col min="6367" max="6367" width="16.7109375" style="47" bestFit="1" customWidth="1"/>
    <col min="6368" max="6368" width="15.5703125" style="47" bestFit="1" customWidth="1"/>
    <col min="6369" max="6369" width="16.7109375" style="47" bestFit="1" customWidth="1"/>
    <col min="6370" max="6370" width="13.5703125" style="47" bestFit="1" customWidth="1"/>
    <col min="6371" max="6371" width="18.7109375" style="47" customWidth="1"/>
    <col min="6372" max="6372" width="15.5703125" style="47" bestFit="1" customWidth="1"/>
    <col min="6373" max="6373" width="16.140625" style="47" customWidth="1"/>
    <col min="6374" max="6374" width="13.28515625" style="47" customWidth="1"/>
    <col min="6375" max="6375" width="16.28515625" style="47" customWidth="1"/>
    <col min="6376" max="6376" width="15.5703125" style="47" customWidth="1"/>
    <col min="6377" max="6377" width="15.85546875" style="47" customWidth="1"/>
    <col min="6378" max="6379" width="10" style="47" bestFit="1" customWidth="1"/>
    <col min="6380" max="6380" width="9.140625" style="47"/>
    <col min="6381" max="6381" width="10.5703125" style="47" bestFit="1" customWidth="1"/>
    <col min="6382" max="6400" width="9.140625" style="47"/>
    <col min="6401" max="6401" width="53.85546875" style="47" customWidth="1"/>
    <col min="6402" max="6402" width="18" style="47" bestFit="1" customWidth="1"/>
    <col min="6403" max="6403" width="18" style="47" customWidth="1"/>
    <col min="6404" max="6404" width="16.7109375" style="47" bestFit="1" customWidth="1"/>
    <col min="6405" max="6405" width="15.5703125" style="47" bestFit="1" customWidth="1"/>
    <col min="6406" max="6406" width="18.7109375" style="47" customWidth="1"/>
    <col min="6407" max="6407" width="15" style="47" customWidth="1"/>
    <col min="6408" max="6408" width="18.5703125" style="47" customWidth="1"/>
    <col min="6409" max="6409" width="21.28515625" style="47" customWidth="1"/>
    <col min="6410" max="6410" width="16.140625" style="47" customWidth="1"/>
    <col min="6411" max="6411" width="13.28515625" style="47" customWidth="1"/>
    <col min="6412" max="6412" width="16.28515625" style="47" customWidth="1"/>
    <col min="6413" max="6413" width="18.7109375" style="47" customWidth="1"/>
    <col min="6414" max="6414" width="15.85546875" style="47" customWidth="1"/>
    <col min="6415" max="6415" width="10" style="47" bestFit="1" customWidth="1"/>
    <col min="6416" max="6416" width="13.140625" style="47" customWidth="1"/>
    <col min="6417" max="6418" width="16.42578125" style="47" customWidth="1"/>
    <col min="6419" max="6419" width="12.5703125" style="47" customWidth="1"/>
    <col min="6420" max="6619" width="9.140625" style="47"/>
    <col min="6620" max="6620" width="53.85546875" style="47" customWidth="1"/>
    <col min="6621" max="6621" width="18" style="47" bestFit="1" customWidth="1"/>
    <col min="6622" max="6622" width="23" style="47" customWidth="1"/>
    <col min="6623" max="6623" width="16.7109375" style="47" bestFit="1" customWidth="1"/>
    <col min="6624" max="6624" width="15.5703125" style="47" bestFit="1" customWidth="1"/>
    <col min="6625" max="6625" width="16.7109375" style="47" bestFit="1" customWidth="1"/>
    <col min="6626" max="6626" width="13.5703125" style="47" bestFit="1" customWidth="1"/>
    <col min="6627" max="6627" width="18.7109375" style="47" customWidth="1"/>
    <col min="6628" max="6628" width="15.5703125" style="47" bestFit="1" customWidth="1"/>
    <col min="6629" max="6629" width="16.140625" style="47" customWidth="1"/>
    <col min="6630" max="6630" width="13.28515625" style="47" customWidth="1"/>
    <col min="6631" max="6631" width="16.28515625" style="47" customWidth="1"/>
    <col min="6632" max="6632" width="15.5703125" style="47" customWidth="1"/>
    <col min="6633" max="6633" width="15.85546875" style="47" customWidth="1"/>
    <col min="6634" max="6635" width="10" style="47" bestFit="1" customWidth="1"/>
    <col min="6636" max="6636" width="9.140625" style="47"/>
    <col min="6637" max="6637" width="10.5703125" style="47" bestFit="1" customWidth="1"/>
    <col min="6638" max="6656" width="9.140625" style="47"/>
    <col min="6657" max="6657" width="53.85546875" style="47" customWidth="1"/>
    <col min="6658" max="6658" width="18" style="47" bestFit="1" customWidth="1"/>
    <col min="6659" max="6659" width="18" style="47" customWidth="1"/>
    <col min="6660" max="6660" width="16.7109375" style="47" bestFit="1" customWidth="1"/>
    <col min="6661" max="6661" width="15.5703125" style="47" bestFit="1" customWidth="1"/>
    <col min="6662" max="6662" width="18.7109375" style="47" customWidth="1"/>
    <col min="6663" max="6663" width="15" style="47" customWidth="1"/>
    <col min="6664" max="6664" width="18.5703125" style="47" customWidth="1"/>
    <col min="6665" max="6665" width="21.28515625" style="47" customWidth="1"/>
    <col min="6666" max="6666" width="16.140625" style="47" customWidth="1"/>
    <col min="6667" max="6667" width="13.28515625" style="47" customWidth="1"/>
    <col min="6668" max="6668" width="16.28515625" style="47" customWidth="1"/>
    <col min="6669" max="6669" width="18.7109375" style="47" customWidth="1"/>
    <col min="6670" max="6670" width="15.85546875" style="47" customWidth="1"/>
    <col min="6671" max="6671" width="10" style="47" bestFit="1" customWidth="1"/>
    <col min="6672" max="6672" width="13.140625" style="47" customWidth="1"/>
    <col min="6673" max="6674" width="16.42578125" style="47" customWidth="1"/>
    <col min="6675" max="6675" width="12.5703125" style="47" customWidth="1"/>
    <col min="6676" max="6875" width="9.140625" style="47"/>
    <col min="6876" max="6876" width="53.85546875" style="47" customWidth="1"/>
    <col min="6877" max="6877" width="18" style="47" bestFit="1" customWidth="1"/>
    <col min="6878" max="6878" width="23" style="47" customWidth="1"/>
    <col min="6879" max="6879" width="16.7109375" style="47" bestFit="1" customWidth="1"/>
    <col min="6880" max="6880" width="15.5703125" style="47" bestFit="1" customWidth="1"/>
    <col min="6881" max="6881" width="16.7109375" style="47" bestFit="1" customWidth="1"/>
    <col min="6882" max="6882" width="13.5703125" style="47" bestFit="1" customWidth="1"/>
    <col min="6883" max="6883" width="18.7109375" style="47" customWidth="1"/>
    <col min="6884" max="6884" width="15.5703125" style="47" bestFit="1" customWidth="1"/>
    <col min="6885" max="6885" width="16.140625" style="47" customWidth="1"/>
    <col min="6886" max="6886" width="13.28515625" style="47" customWidth="1"/>
    <col min="6887" max="6887" width="16.28515625" style="47" customWidth="1"/>
    <col min="6888" max="6888" width="15.5703125" style="47" customWidth="1"/>
    <col min="6889" max="6889" width="15.85546875" style="47" customWidth="1"/>
    <col min="6890" max="6891" width="10" style="47" bestFit="1" customWidth="1"/>
    <col min="6892" max="6892" width="9.140625" style="47"/>
    <col min="6893" max="6893" width="10.5703125" style="47" bestFit="1" customWidth="1"/>
    <col min="6894" max="6912" width="9.140625" style="47"/>
    <col min="6913" max="6913" width="53.85546875" style="47" customWidth="1"/>
    <col min="6914" max="6914" width="18" style="47" bestFit="1" customWidth="1"/>
    <col min="6915" max="6915" width="18" style="47" customWidth="1"/>
    <col min="6916" max="6916" width="16.7109375" style="47" bestFit="1" customWidth="1"/>
    <col min="6917" max="6917" width="15.5703125" style="47" bestFit="1" customWidth="1"/>
    <col min="6918" max="6918" width="18.7109375" style="47" customWidth="1"/>
    <col min="6919" max="6919" width="15" style="47" customWidth="1"/>
    <col min="6920" max="6920" width="18.5703125" style="47" customWidth="1"/>
    <col min="6921" max="6921" width="21.28515625" style="47" customWidth="1"/>
    <col min="6922" max="6922" width="16.140625" style="47" customWidth="1"/>
    <col min="6923" max="6923" width="13.28515625" style="47" customWidth="1"/>
    <col min="6924" max="6924" width="16.28515625" style="47" customWidth="1"/>
    <col min="6925" max="6925" width="18.7109375" style="47" customWidth="1"/>
    <col min="6926" max="6926" width="15.85546875" style="47" customWidth="1"/>
    <col min="6927" max="6927" width="10" style="47" bestFit="1" customWidth="1"/>
    <col min="6928" max="6928" width="13.140625" style="47" customWidth="1"/>
    <col min="6929" max="6930" width="16.42578125" style="47" customWidth="1"/>
    <col min="6931" max="6931" width="12.5703125" style="47" customWidth="1"/>
    <col min="6932" max="7131" width="9.140625" style="47"/>
    <col min="7132" max="7132" width="53.85546875" style="47" customWidth="1"/>
    <col min="7133" max="7133" width="18" style="47" bestFit="1" customWidth="1"/>
    <col min="7134" max="7134" width="23" style="47" customWidth="1"/>
    <col min="7135" max="7135" width="16.7109375" style="47" bestFit="1" customWidth="1"/>
    <col min="7136" max="7136" width="15.5703125" style="47" bestFit="1" customWidth="1"/>
    <col min="7137" max="7137" width="16.7109375" style="47" bestFit="1" customWidth="1"/>
    <col min="7138" max="7138" width="13.5703125" style="47" bestFit="1" customWidth="1"/>
    <col min="7139" max="7139" width="18.7109375" style="47" customWidth="1"/>
    <col min="7140" max="7140" width="15.5703125" style="47" bestFit="1" customWidth="1"/>
    <col min="7141" max="7141" width="16.140625" style="47" customWidth="1"/>
    <col min="7142" max="7142" width="13.28515625" style="47" customWidth="1"/>
    <col min="7143" max="7143" width="16.28515625" style="47" customWidth="1"/>
    <col min="7144" max="7144" width="15.5703125" style="47" customWidth="1"/>
    <col min="7145" max="7145" width="15.85546875" style="47" customWidth="1"/>
    <col min="7146" max="7147" width="10" style="47" bestFit="1" customWidth="1"/>
    <col min="7148" max="7148" width="9.140625" style="47"/>
    <col min="7149" max="7149" width="10.5703125" style="47" bestFit="1" customWidth="1"/>
    <col min="7150" max="7168" width="9.140625" style="47"/>
    <col min="7169" max="7169" width="53.85546875" style="47" customWidth="1"/>
    <col min="7170" max="7170" width="18" style="47" bestFit="1" customWidth="1"/>
    <col min="7171" max="7171" width="18" style="47" customWidth="1"/>
    <col min="7172" max="7172" width="16.7109375" style="47" bestFit="1" customWidth="1"/>
    <col min="7173" max="7173" width="15.5703125" style="47" bestFit="1" customWidth="1"/>
    <col min="7174" max="7174" width="18.7109375" style="47" customWidth="1"/>
    <col min="7175" max="7175" width="15" style="47" customWidth="1"/>
    <col min="7176" max="7176" width="18.5703125" style="47" customWidth="1"/>
    <col min="7177" max="7177" width="21.28515625" style="47" customWidth="1"/>
    <col min="7178" max="7178" width="16.140625" style="47" customWidth="1"/>
    <col min="7179" max="7179" width="13.28515625" style="47" customWidth="1"/>
    <col min="7180" max="7180" width="16.28515625" style="47" customWidth="1"/>
    <col min="7181" max="7181" width="18.7109375" style="47" customWidth="1"/>
    <col min="7182" max="7182" width="15.85546875" style="47" customWidth="1"/>
    <col min="7183" max="7183" width="10" style="47" bestFit="1" customWidth="1"/>
    <col min="7184" max="7184" width="13.140625" style="47" customWidth="1"/>
    <col min="7185" max="7186" width="16.42578125" style="47" customWidth="1"/>
    <col min="7187" max="7187" width="12.5703125" style="47" customWidth="1"/>
    <col min="7188" max="7387" width="9.140625" style="47"/>
    <col min="7388" max="7388" width="53.85546875" style="47" customWidth="1"/>
    <col min="7389" max="7389" width="18" style="47" bestFit="1" customWidth="1"/>
    <col min="7390" max="7390" width="23" style="47" customWidth="1"/>
    <col min="7391" max="7391" width="16.7109375" style="47" bestFit="1" customWidth="1"/>
    <col min="7392" max="7392" width="15.5703125" style="47" bestFit="1" customWidth="1"/>
    <col min="7393" max="7393" width="16.7109375" style="47" bestFit="1" customWidth="1"/>
    <col min="7394" max="7394" width="13.5703125" style="47" bestFit="1" customWidth="1"/>
    <col min="7395" max="7395" width="18.7109375" style="47" customWidth="1"/>
    <col min="7396" max="7396" width="15.5703125" style="47" bestFit="1" customWidth="1"/>
    <col min="7397" max="7397" width="16.140625" style="47" customWidth="1"/>
    <col min="7398" max="7398" width="13.28515625" style="47" customWidth="1"/>
    <col min="7399" max="7399" width="16.28515625" style="47" customWidth="1"/>
    <col min="7400" max="7400" width="15.5703125" style="47" customWidth="1"/>
    <col min="7401" max="7401" width="15.85546875" style="47" customWidth="1"/>
    <col min="7402" max="7403" width="10" style="47" bestFit="1" customWidth="1"/>
    <col min="7404" max="7404" width="9.140625" style="47"/>
    <col min="7405" max="7405" width="10.5703125" style="47" bestFit="1" customWidth="1"/>
    <col min="7406" max="7424" width="9.140625" style="47"/>
    <col min="7425" max="7425" width="53.85546875" style="47" customWidth="1"/>
    <col min="7426" max="7426" width="18" style="47" bestFit="1" customWidth="1"/>
    <col min="7427" max="7427" width="18" style="47" customWidth="1"/>
    <col min="7428" max="7428" width="16.7109375" style="47" bestFit="1" customWidth="1"/>
    <col min="7429" max="7429" width="15.5703125" style="47" bestFit="1" customWidth="1"/>
    <col min="7430" max="7430" width="18.7109375" style="47" customWidth="1"/>
    <col min="7431" max="7431" width="15" style="47" customWidth="1"/>
    <col min="7432" max="7432" width="18.5703125" style="47" customWidth="1"/>
    <col min="7433" max="7433" width="21.28515625" style="47" customWidth="1"/>
    <col min="7434" max="7434" width="16.140625" style="47" customWidth="1"/>
    <col min="7435" max="7435" width="13.28515625" style="47" customWidth="1"/>
    <col min="7436" max="7436" width="16.28515625" style="47" customWidth="1"/>
    <col min="7437" max="7437" width="18.7109375" style="47" customWidth="1"/>
    <col min="7438" max="7438" width="15.85546875" style="47" customWidth="1"/>
    <col min="7439" max="7439" width="10" style="47" bestFit="1" customWidth="1"/>
    <col min="7440" max="7440" width="13.140625" style="47" customWidth="1"/>
    <col min="7441" max="7442" width="16.42578125" style="47" customWidth="1"/>
    <col min="7443" max="7443" width="12.5703125" style="47" customWidth="1"/>
    <col min="7444" max="7643" width="9.140625" style="47"/>
    <col min="7644" max="7644" width="53.85546875" style="47" customWidth="1"/>
    <col min="7645" max="7645" width="18" style="47" bestFit="1" customWidth="1"/>
    <col min="7646" max="7646" width="23" style="47" customWidth="1"/>
    <col min="7647" max="7647" width="16.7109375" style="47" bestFit="1" customWidth="1"/>
    <col min="7648" max="7648" width="15.5703125" style="47" bestFit="1" customWidth="1"/>
    <col min="7649" max="7649" width="16.7109375" style="47" bestFit="1" customWidth="1"/>
    <col min="7650" max="7650" width="13.5703125" style="47" bestFit="1" customWidth="1"/>
    <col min="7651" max="7651" width="18.7109375" style="47" customWidth="1"/>
    <col min="7652" max="7652" width="15.5703125" style="47" bestFit="1" customWidth="1"/>
    <col min="7653" max="7653" width="16.140625" style="47" customWidth="1"/>
    <col min="7654" max="7654" width="13.28515625" style="47" customWidth="1"/>
    <col min="7655" max="7655" width="16.28515625" style="47" customWidth="1"/>
    <col min="7656" max="7656" width="15.5703125" style="47" customWidth="1"/>
    <col min="7657" max="7657" width="15.85546875" style="47" customWidth="1"/>
    <col min="7658" max="7659" width="10" style="47" bestFit="1" customWidth="1"/>
    <col min="7660" max="7660" width="9.140625" style="47"/>
    <col min="7661" max="7661" width="10.5703125" style="47" bestFit="1" customWidth="1"/>
    <col min="7662" max="7680" width="9.140625" style="47"/>
    <col min="7681" max="7681" width="53.85546875" style="47" customWidth="1"/>
    <col min="7682" max="7682" width="18" style="47" bestFit="1" customWidth="1"/>
    <col min="7683" max="7683" width="18" style="47" customWidth="1"/>
    <col min="7684" max="7684" width="16.7109375" style="47" bestFit="1" customWidth="1"/>
    <col min="7685" max="7685" width="15.5703125" style="47" bestFit="1" customWidth="1"/>
    <col min="7686" max="7686" width="18.7109375" style="47" customWidth="1"/>
    <col min="7687" max="7687" width="15" style="47" customWidth="1"/>
    <col min="7688" max="7688" width="18.5703125" style="47" customWidth="1"/>
    <col min="7689" max="7689" width="21.28515625" style="47" customWidth="1"/>
    <col min="7690" max="7690" width="16.140625" style="47" customWidth="1"/>
    <col min="7691" max="7691" width="13.28515625" style="47" customWidth="1"/>
    <col min="7692" max="7692" width="16.28515625" style="47" customWidth="1"/>
    <col min="7693" max="7693" width="18.7109375" style="47" customWidth="1"/>
    <col min="7694" max="7694" width="15.85546875" style="47" customWidth="1"/>
    <col min="7695" max="7695" width="10" style="47" bestFit="1" customWidth="1"/>
    <col min="7696" max="7696" width="13.140625" style="47" customWidth="1"/>
    <col min="7697" max="7698" width="16.42578125" style="47" customWidth="1"/>
    <col min="7699" max="7699" width="12.5703125" style="47" customWidth="1"/>
    <col min="7700" max="7899" width="9.140625" style="47"/>
    <col min="7900" max="7900" width="53.85546875" style="47" customWidth="1"/>
    <col min="7901" max="7901" width="18" style="47" bestFit="1" customWidth="1"/>
    <col min="7902" max="7902" width="23" style="47" customWidth="1"/>
    <col min="7903" max="7903" width="16.7109375" style="47" bestFit="1" customWidth="1"/>
    <col min="7904" max="7904" width="15.5703125" style="47" bestFit="1" customWidth="1"/>
    <col min="7905" max="7905" width="16.7109375" style="47" bestFit="1" customWidth="1"/>
    <col min="7906" max="7906" width="13.5703125" style="47" bestFit="1" customWidth="1"/>
    <col min="7907" max="7907" width="18.7109375" style="47" customWidth="1"/>
    <col min="7908" max="7908" width="15.5703125" style="47" bestFit="1" customWidth="1"/>
    <col min="7909" max="7909" width="16.140625" style="47" customWidth="1"/>
    <col min="7910" max="7910" width="13.28515625" style="47" customWidth="1"/>
    <col min="7911" max="7911" width="16.28515625" style="47" customWidth="1"/>
    <col min="7912" max="7912" width="15.5703125" style="47" customWidth="1"/>
    <col min="7913" max="7913" width="15.85546875" style="47" customWidth="1"/>
    <col min="7914" max="7915" width="10" style="47" bestFit="1" customWidth="1"/>
    <col min="7916" max="7916" width="9.140625" style="47"/>
    <col min="7917" max="7917" width="10.5703125" style="47" bestFit="1" customWidth="1"/>
    <col min="7918" max="7936" width="9.140625" style="47"/>
    <col min="7937" max="7937" width="53.85546875" style="47" customWidth="1"/>
    <col min="7938" max="7938" width="18" style="47" bestFit="1" customWidth="1"/>
    <col min="7939" max="7939" width="18" style="47" customWidth="1"/>
    <col min="7940" max="7940" width="16.7109375" style="47" bestFit="1" customWidth="1"/>
    <col min="7941" max="7941" width="15.5703125" style="47" bestFit="1" customWidth="1"/>
    <col min="7942" max="7942" width="18.7109375" style="47" customWidth="1"/>
    <col min="7943" max="7943" width="15" style="47" customWidth="1"/>
    <col min="7944" max="7944" width="18.5703125" style="47" customWidth="1"/>
    <col min="7945" max="7945" width="21.28515625" style="47" customWidth="1"/>
    <col min="7946" max="7946" width="16.140625" style="47" customWidth="1"/>
    <col min="7947" max="7947" width="13.28515625" style="47" customWidth="1"/>
    <col min="7948" max="7948" width="16.28515625" style="47" customWidth="1"/>
    <col min="7949" max="7949" width="18.7109375" style="47" customWidth="1"/>
    <col min="7950" max="7950" width="15.85546875" style="47" customWidth="1"/>
    <col min="7951" max="7951" width="10" style="47" bestFit="1" customWidth="1"/>
    <col min="7952" max="7952" width="13.140625" style="47" customWidth="1"/>
    <col min="7953" max="7954" width="16.42578125" style="47" customWidth="1"/>
    <col min="7955" max="7955" width="12.5703125" style="47" customWidth="1"/>
    <col min="7956" max="8155" width="9.140625" style="47"/>
    <col min="8156" max="8156" width="53.85546875" style="47" customWidth="1"/>
    <col min="8157" max="8157" width="18" style="47" bestFit="1" customWidth="1"/>
    <col min="8158" max="8158" width="23" style="47" customWidth="1"/>
    <col min="8159" max="8159" width="16.7109375" style="47" bestFit="1" customWidth="1"/>
    <col min="8160" max="8160" width="15.5703125" style="47" bestFit="1" customWidth="1"/>
    <col min="8161" max="8161" width="16.7109375" style="47" bestFit="1" customWidth="1"/>
    <col min="8162" max="8162" width="13.5703125" style="47" bestFit="1" customWidth="1"/>
    <col min="8163" max="8163" width="18.7109375" style="47" customWidth="1"/>
    <col min="8164" max="8164" width="15.5703125" style="47" bestFit="1" customWidth="1"/>
    <col min="8165" max="8165" width="16.140625" style="47" customWidth="1"/>
    <col min="8166" max="8166" width="13.28515625" style="47" customWidth="1"/>
    <col min="8167" max="8167" width="16.28515625" style="47" customWidth="1"/>
    <col min="8168" max="8168" width="15.5703125" style="47" customWidth="1"/>
    <col min="8169" max="8169" width="15.85546875" style="47" customWidth="1"/>
    <col min="8170" max="8171" width="10" style="47" bestFit="1" customWidth="1"/>
    <col min="8172" max="8172" width="9.140625" style="47"/>
    <col min="8173" max="8173" width="10.5703125" style="47" bestFit="1" customWidth="1"/>
    <col min="8174" max="8192" width="9.140625" style="47"/>
    <col min="8193" max="8193" width="53.85546875" style="47" customWidth="1"/>
    <col min="8194" max="8194" width="18" style="47" bestFit="1" customWidth="1"/>
    <col min="8195" max="8195" width="18" style="47" customWidth="1"/>
    <col min="8196" max="8196" width="16.7109375" style="47" bestFit="1" customWidth="1"/>
    <col min="8197" max="8197" width="15.5703125" style="47" bestFit="1" customWidth="1"/>
    <col min="8198" max="8198" width="18.7109375" style="47" customWidth="1"/>
    <col min="8199" max="8199" width="15" style="47" customWidth="1"/>
    <col min="8200" max="8200" width="18.5703125" style="47" customWidth="1"/>
    <col min="8201" max="8201" width="21.28515625" style="47" customWidth="1"/>
    <col min="8202" max="8202" width="16.140625" style="47" customWidth="1"/>
    <col min="8203" max="8203" width="13.28515625" style="47" customWidth="1"/>
    <col min="8204" max="8204" width="16.28515625" style="47" customWidth="1"/>
    <col min="8205" max="8205" width="18.7109375" style="47" customWidth="1"/>
    <col min="8206" max="8206" width="15.85546875" style="47" customWidth="1"/>
    <col min="8207" max="8207" width="10" style="47" bestFit="1" customWidth="1"/>
    <col min="8208" max="8208" width="13.140625" style="47" customWidth="1"/>
    <col min="8209" max="8210" width="16.42578125" style="47" customWidth="1"/>
    <col min="8211" max="8211" width="12.5703125" style="47" customWidth="1"/>
    <col min="8212" max="8411" width="9.140625" style="47"/>
    <col min="8412" max="8412" width="53.85546875" style="47" customWidth="1"/>
    <col min="8413" max="8413" width="18" style="47" bestFit="1" customWidth="1"/>
    <col min="8414" max="8414" width="23" style="47" customWidth="1"/>
    <col min="8415" max="8415" width="16.7109375" style="47" bestFit="1" customWidth="1"/>
    <col min="8416" max="8416" width="15.5703125" style="47" bestFit="1" customWidth="1"/>
    <col min="8417" max="8417" width="16.7109375" style="47" bestFit="1" customWidth="1"/>
    <col min="8418" max="8418" width="13.5703125" style="47" bestFit="1" customWidth="1"/>
    <col min="8419" max="8419" width="18.7109375" style="47" customWidth="1"/>
    <col min="8420" max="8420" width="15.5703125" style="47" bestFit="1" customWidth="1"/>
    <col min="8421" max="8421" width="16.140625" style="47" customWidth="1"/>
    <col min="8422" max="8422" width="13.28515625" style="47" customWidth="1"/>
    <col min="8423" max="8423" width="16.28515625" style="47" customWidth="1"/>
    <col min="8424" max="8424" width="15.5703125" style="47" customWidth="1"/>
    <col min="8425" max="8425" width="15.85546875" style="47" customWidth="1"/>
    <col min="8426" max="8427" width="10" style="47" bestFit="1" customWidth="1"/>
    <col min="8428" max="8428" width="9.140625" style="47"/>
    <col min="8429" max="8429" width="10.5703125" style="47" bestFit="1" customWidth="1"/>
    <col min="8430" max="8448" width="9.140625" style="47"/>
    <col min="8449" max="8449" width="53.85546875" style="47" customWidth="1"/>
    <col min="8450" max="8450" width="18" style="47" bestFit="1" customWidth="1"/>
    <col min="8451" max="8451" width="18" style="47" customWidth="1"/>
    <col min="8452" max="8452" width="16.7109375" style="47" bestFit="1" customWidth="1"/>
    <col min="8453" max="8453" width="15.5703125" style="47" bestFit="1" customWidth="1"/>
    <col min="8454" max="8454" width="18.7109375" style="47" customWidth="1"/>
    <col min="8455" max="8455" width="15" style="47" customWidth="1"/>
    <col min="8456" max="8456" width="18.5703125" style="47" customWidth="1"/>
    <col min="8457" max="8457" width="21.28515625" style="47" customWidth="1"/>
    <col min="8458" max="8458" width="16.140625" style="47" customWidth="1"/>
    <col min="8459" max="8459" width="13.28515625" style="47" customWidth="1"/>
    <col min="8460" max="8460" width="16.28515625" style="47" customWidth="1"/>
    <col min="8461" max="8461" width="18.7109375" style="47" customWidth="1"/>
    <col min="8462" max="8462" width="15.85546875" style="47" customWidth="1"/>
    <col min="8463" max="8463" width="10" style="47" bestFit="1" customWidth="1"/>
    <col min="8464" max="8464" width="13.140625" style="47" customWidth="1"/>
    <col min="8465" max="8466" width="16.42578125" style="47" customWidth="1"/>
    <col min="8467" max="8467" width="12.5703125" style="47" customWidth="1"/>
    <col min="8468" max="8667" width="9.140625" style="47"/>
    <col min="8668" max="8668" width="53.85546875" style="47" customWidth="1"/>
    <col min="8669" max="8669" width="18" style="47" bestFit="1" customWidth="1"/>
    <col min="8670" max="8670" width="23" style="47" customWidth="1"/>
    <col min="8671" max="8671" width="16.7109375" style="47" bestFit="1" customWidth="1"/>
    <col min="8672" max="8672" width="15.5703125" style="47" bestFit="1" customWidth="1"/>
    <col min="8673" max="8673" width="16.7109375" style="47" bestFit="1" customWidth="1"/>
    <col min="8674" max="8674" width="13.5703125" style="47" bestFit="1" customWidth="1"/>
    <col min="8675" max="8675" width="18.7109375" style="47" customWidth="1"/>
    <col min="8676" max="8676" width="15.5703125" style="47" bestFit="1" customWidth="1"/>
    <col min="8677" max="8677" width="16.140625" style="47" customWidth="1"/>
    <col min="8678" max="8678" width="13.28515625" style="47" customWidth="1"/>
    <col min="8679" max="8679" width="16.28515625" style="47" customWidth="1"/>
    <col min="8680" max="8680" width="15.5703125" style="47" customWidth="1"/>
    <col min="8681" max="8681" width="15.85546875" style="47" customWidth="1"/>
    <col min="8682" max="8683" width="10" style="47" bestFit="1" customWidth="1"/>
    <col min="8684" max="8684" width="9.140625" style="47"/>
    <col min="8685" max="8685" width="10.5703125" style="47" bestFit="1" customWidth="1"/>
    <col min="8686" max="8704" width="9.140625" style="47"/>
    <col min="8705" max="8705" width="53.85546875" style="47" customWidth="1"/>
    <col min="8706" max="8706" width="18" style="47" bestFit="1" customWidth="1"/>
    <col min="8707" max="8707" width="18" style="47" customWidth="1"/>
    <col min="8708" max="8708" width="16.7109375" style="47" bestFit="1" customWidth="1"/>
    <col min="8709" max="8709" width="15.5703125" style="47" bestFit="1" customWidth="1"/>
    <col min="8710" max="8710" width="18.7109375" style="47" customWidth="1"/>
    <col min="8711" max="8711" width="15" style="47" customWidth="1"/>
    <col min="8712" max="8712" width="18.5703125" style="47" customWidth="1"/>
    <col min="8713" max="8713" width="21.28515625" style="47" customWidth="1"/>
    <col min="8714" max="8714" width="16.140625" style="47" customWidth="1"/>
    <col min="8715" max="8715" width="13.28515625" style="47" customWidth="1"/>
    <col min="8716" max="8716" width="16.28515625" style="47" customWidth="1"/>
    <col min="8717" max="8717" width="18.7109375" style="47" customWidth="1"/>
    <col min="8718" max="8718" width="15.85546875" style="47" customWidth="1"/>
    <col min="8719" max="8719" width="10" style="47" bestFit="1" customWidth="1"/>
    <col min="8720" max="8720" width="13.140625" style="47" customWidth="1"/>
    <col min="8721" max="8722" width="16.42578125" style="47" customWidth="1"/>
    <col min="8723" max="8723" width="12.5703125" style="47" customWidth="1"/>
    <col min="8724" max="8923" width="9.140625" style="47"/>
    <col min="8924" max="8924" width="53.85546875" style="47" customWidth="1"/>
    <col min="8925" max="8925" width="18" style="47" bestFit="1" customWidth="1"/>
    <col min="8926" max="8926" width="23" style="47" customWidth="1"/>
    <col min="8927" max="8927" width="16.7109375" style="47" bestFit="1" customWidth="1"/>
    <col min="8928" max="8928" width="15.5703125" style="47" bestFit="1" customWidth="1"/>
    <col min="8929" max="8929" width="16.7109375" style="47" bestFit="1" customWidth="1"/>
    <col min="8930" max="8930" width="13.5703125" style="47" bestFit="1" customWidth="1"/>
    <col min="8931" max="8931" width="18.7109375" style="47" customWidth="1"/>
    <col min="8932" max="8932" width="15.5703125" style="47" bestFit="1" customWidth="1"/>
    <col min="8933" max="8933" width="16.140625" style="47" customWidth="1"/>
    <col min="8934" max="8934" width="13.28515625" style="47" customWidth="1"/>
    <col min="8935" max="8935" width="16.28515625" style="47" customWidth="1"/>
    <col min="8936" max="8936" width="15.5703125" style="47" customWidth="1"/>
    <col min="8937" max="8937" width="15.85546875" style="47" customWidth="1"/>
    <col min="8938" max="8939" width="10" style="47" bestFit="1" customWidth="1"/>
    <col min="8940" max="8940" width="9.140625" style="47"/>
    <col min="8941" max="8941" width="10.5703125" style="47" bestFit="1" customWidth="1"/>
    <col min="8942" max="8960" width="9.140625" style="47"/>
    <col min="8961" max="8961" width="53.85546875" style="47" customWidth="1"/>
    <col min="8962" max="8962" width="18" style="47" bestFit="1" customWidth="1"/>
    <col min="8963" max="8963" width="18" style="47" customWidth="1"/>
    <col min="8964" max="8964" width="16.7109375" style="47" bestFit="1" customWidth="1"/>
    <col min="8965" max="8965" width="15.5703125" style="47" bestFit="1" customWidth="1"/>
    <col min="8966" max="8966" width="18.7109375" style="47" customWidth="1"/>
    <col min="8967" max="8967" width="15" style="47" customWidth="1"/>
    <col min="8968" max="8968" width="18.5703125" style="47" customWidth="1"/>
    <col min="8969" max="8969" width="21.28515625" style="47" customWidth="1"/>
    <col min="8970" max="8970" width="16.140625" style="47" customWidth="1"/>
    <col min="8971" max="8971" width="13.28515625" style="47" customWidth="1"/>
    <col min="8972" max="8972" width="16.28515625" style="47" customWidth="1"/>
    <col min="8973" max="8973" width="18.7109375" style="47" customWidth="1"/>
    <col min="8974" max="8974" width="15.85546875" style="47" customWidth="1"/>
    <col min="8975" max="8975" width="10" style="47" bestFit="1" customWidth="1"/>
    <col min="8976" max="8976" width="13.140625" style="47" customWidth="1"/>
    <col min="8977" max="8978" width="16.42578125" style="47" customWidth="1"/>
    <col min="8979" max="8979" width="12.5703125" style="47" customWidth="1"/>
    <col min="8980" max="9179" width="9.140625" style="47"/>
    <col min="9180" max="9180" width="53.85546875" style="47" customWidth="1"/>
    <col min="9181" max="9181" width="18" style="47" bestFit="1" customWidth="1"/>
    <col min="9182" max="9182" width="23" style="47" customWidth="1"/>
    <col min="9183" max="9183" width="16.7109375" style="47" bestFit="1" customWidth="1"/>
    <col min="9184" max="9184" width="15.5703125" style="47" bestFit="1" customWidth="1"/>
    <col min="9185" max="9185" width="16.7109375" style="47" bestFit="1" customWidth="1"/>
    <col min="9186" max="9186" width="13.5703125" style="47" bestFit="1" customWidth="1"/>
    <col min="9187" max="9187" width="18.7109375" style="47" customWidth="1"/>
    <col min="9188" max="9188" width="15.5703125" style="47" bestFit="1" customWidth="1"/>
    <col min="9189" max="9189" width="16.140625" style="47" customWidth="1"/>
    <col min="9190" max="9190" width="13.28515625" style="47" customWidth="1"/>
    <col min="9191" max="9191" width="16.28515625" style="47" customWidth="1"/>
    <col min="9192" max="9192" width="15.5703125" style="47" customWidth="1"/>
    <col min="9193" max="9193" width="15.85546875" style="47" customWidth="1"/>
    <col min="9194" max="9195" width="10" style="47" bestFit="1" customWidth="1"/>
    <col min="9196" max="9196" width="9.140625" style="47"/>
    <col min="9197" max="9197" width="10.5703125" style="47" bestFit="1" customWidth="1"/>
    <col min="9198" max="9216" width="9.140625" style="47"/>
    <col min="9217" max="9217" width="53.85546875" style="47" customWidth="1"/>
    <col min="9218" max="9218" width="18" style="47" bestFit="1" customWidth="1"/>
    <col min="9219" max="9219" width="18" style="47" customWidth="1"/>
    <col min="9220" max="9220" width="16.7109375" style="47" bestFit="1" customWidth="1"/>
    <col min="9221" max="9221" width="15.5703125" style="47" bestFit="1" customWidth="1"/>
    <col min="9222" max="9222" width="18.7109375" style="47" customWidth="1"/>
    <col min="9223" max="9223" width="15" style="47" customWidth="1"/>
    <col min="9224" max="9224" width="18.5703125" style="47" customWidth="1"/>
    <col min="9225" max="9225" width="21.28515625" style="47" customWidth="1"/>
    <col min="9226" max="9226" width="16.140625" style="47" customWidth="1"/>
    <col min="9227" max="9227" width="13.28515625" style="47" customWidth="1"/>
    <col min="9228" max="9228" width="16.28515625" style="47" customWidth="1"/>
    <col min="9229" max="9229" width="18.7109375" style="47" customWidth="1"/>
    <col min="9230" max="9230" width="15.85546875" style="47" customWidth="1"/>
    <col min="9231" max="9231" width="10" style="47" bestFit="1" customWidth="1"/>
    <col min="9232" max="9232" width="13.140625" style="47" customWidth="1"/>
    <col min="9233" max="9234" width="16.42578125" style="47" customWidth="1"/>
    <col min="9235" max="9235" width="12.5703125" style="47" customWidth="1"/>
    <col min="9236" max="9435" width="9.140625" style="47"/>
    <col min="9436" max="9436" width="53.85546875" style="47" customWidth="1"/>
    <col min="9437" max="9437" width="18" style="47" bestFit="1" customWidth="1"/>
    <col min="9438" max="9438" width="23" style="47" customWidth="1"/>
    <col min="9439" max="9439" width="16.7109375" style="47" bestFit="1" customWidth="1"/>
    <col min="9440" max="9440" width="15.5703125" style="47" bestFit="1" customWidth="1"/>
    <col min="9441" max="9441" width="16.7109375" style="47" bestFit="1" customWidth="1"/>
    <col min="9442" max="9442" width="13.5703125" style="47" bestFit="1" customWidth="1"/>
    <col min="9443" max="9443" width="18.7109375" style="47" customWidth="1"/>
    <col min="9444" max="9444" width="15.5703125" style="47" bestFit="1" customWidth="1"/>
    <col min="9445" max="9445" width="16.140625" style="47" customWidth="1"/>
    <col min="9446" max="9446" width="13.28515625" style="47" customWidth="1"/>
    <col min="9447" max="9447" width="16.28515625" style="47" customWidth="1"/>
    <col min="9448" max="9448" width="15.5703125" style="47" customWidth="1"/>
    <col min="9449" max="9449" width="15.85546875" style="47" customWidth="1"/>
    <col min="9450" max="9451" width="10" style="47" bestFit="1" customWidth="1"/>
    <col min="9452" max="9452" width="9.140625" style="47"/>
    <col min="9453" max="9453" width="10.5703125" style="47" bestFit="1" customWidth="1"/>
    <col min="9454" max="9472" width="9.140625" style="47"/>
    <col min="9473" max="9473" width="53.85546875" style="47" customWidth="1"/>
    <col min="9474" max="9474" width="18" style="47" bestFit="1" customWidth="1"/>
    <col min="9475" max="9475" width="18" style="47" customWidth="1"/>
    <col min="9476" max="9476" width="16.7109375" style="47" bestFit="1" customWidth="1"/>
    <col min="9477" max="9477" width="15.5703125" style="47" bestFit="1" customWidth="1"/>
    <col min="9478" max="9478" width="18.7109375" style="47" customWidth="1"/>
    <col min="9479" max="9479" width="15" style="47" customWidth="1"/>
    <col min="9480" max="9480" width="18.5703125" style="47" customWidth="1"/>
    <col min="9481" max="9481" width="21.28515625" style="47" customWidth="1"/>
    <col min="9482" max="9482" width="16.140625" style="47" customWidth="1"/>
    <col min="9483" max="9483" width="13.28515625" style="47" customWidth="1"/>
    <col min="9484" max="9484" width="16.28515625" style="47" customWidth="1"/>
    <col min="9485" max="9485" width="18.7109375" style="47" customWidth="1"/>
    <col min="9486" max="9486" width="15.85546875" style="47" customWidth="1"/>
    <col min="9487" max="9487" width="10" style="47" bestFit="1" customWidth="1"/>
    <col min="9488" max="9488" width="13.140625" style="47" customWidth="1"/>
    <col min="9489" max="9490" width="16.42578125" style="47" customWidth="1"/>
    <col min="9491" max="9491" width="12.5703125" style="47" customWidth="1"/>
    <col min="9492" max="9691" width="9.140625" style="47"/>
    <col min="9692" max="9692" width="53.85546875" style="47" customWidth="1"/>
    <col min="9693" max="9693" width="18" style="47" bestFit="1" customWidth="1"/>
    <col min="9694" max="9694" width="23" style="47" customWidth="1"/>
    <col min="9695" max="9695" width="16.7109375" style="47" bestFit="1" customWidth="1"/>
    <col min="9696" max="9696" width="15.5703125" style="47" bestFit="1" customWidth="1"/>
    <col min="9697" max="9697" width="16.7109375" style="47" bestFit="1" customWidth="1"/>
    <col min="9698" max="9698" width="13.5703125" style="47" bestFit="1" customWidth="1"/>
    <col min="9699" max="9699" width="18.7109375" style="47" customWidth="1"/>
    <col min="9700" max="9700" width="15.5703125" style="47" bestFit="1" customWidth="1"/>
    <col min="9701" max="9701" width="16.140625" style="47" customWidth="1"/>
    <col min="9702" max="9702" width="13.28515625" style="47" customWidth="1"/>
    <col min="9703" max="9703" width="16.28515625" style="47" customWidth="1"/>
    <col min="9704" max="9704" width="15.5703125" style="47" customWidth="1"/>
    <col min="9705" max="9705" width="15.85546875" style="47" customWidth="1"/>
    <col min="9706" max="9707" width="10" style="47" bestFit="1" customWidth="1"/>
    <col min="9708" max="9708" width="9.140625" style="47"/>
    <col min="9709" max="9709" width="10.5703125" style="47" bestFit="1" customWidth="1"/>
    <col min="9710" max="9728" width="9.140625" style="47"/>
    <col min="9729" max="9729" width="53.85546875" style="47" customWidth="1"/>
    <col min="9730" max="9730" width="18" style="47" bestFit="1" customWidth="1"/>
    <col min="9731" max="9731" width="18" style="47" customWidth="1"/>
    <col min="9732" max="9732" width="16.7109375" style="47" bestFit="1" customWidth="1"/>
    <col min="9733" max="9733" width="15.5703125" style="47" bestFit="1" customWidth="1"/>
    <col min="9734" max="9734" width="18.7109375" style="47" customWidth="1"/>
    <col min="9735" max="9735" width="15" style="47" customWidth="1"/>
    <col min="9736" max="9736" width="18.5703125" style="47" customWidth="1"/>
    <col min="9737" max="9737" width="21.28515625" style="47" customWidth="1"/>
    <col min="9738" max="9738" width="16.140625" style="47" customWidth="1"/>
    <col min="9739" max="9739" width="13.28515625" style="47" customWidth="1"/>
    <col min="9740" max="9740" width="16.28515625" style="47" customWidth="1"/>
    <col min="9741" max="9741" width="18.7109375" style="47" customWidth="1"/>
    <col min="9742" max="9742" width="15.85546875" style="47" customWidth="1"/>
    <col min="9743" max="9743" width="10" style="47" bestFit="1" customWidth="1"/>
    <col min="9744" max="9744" width="13.140625" style="47" customWidth="1"/>
    <col min="9745" max="9746" width="16.42578125" style="47" customWidth="1"/>
    <col min="9747" max="9747" width="12.5703125" style="47" customWidth="1"/>
    <col min="9748" max="9947" width="9.140625" style="47"/>
    <col min="9948" max="9948" width="53.85546875" style="47" customWidth="1"/>
    <col min="9949" max="9949" width="18" style="47" bestFit="1" customWidth="1"/>
    <col min="9950" max="9950" width="23" style="47" customWidth="1"/>
    <col min="9951" max="9951" width="16.7109375" style="47" bestFit="1" customWidth="1"/>
    <col min="9952" max="9952" width="15.5703125" style="47" bestFit="1" customWidth="1"/>
    <col min="9953" max="9953" width="16.7109375" style="47" bestFit="1" customWidth="1"/>
    <col min="9954" max="9954" width="13.5703125" style="47" bestFit="1" customWidth="1"/>
    <col min="9955" max="9955" width="18.7109375" style="47" customWidth="1"/>
    <col min="9956" max="9956" width="15.5703125" style="47" bestFit="1" customWidth="1"/>
    <col min="9957" max="9957" width="16.140625" style="47" customWidth="1"/>
    <col min="9958" max="9958" width="13.28515625" style="47" customWidth="1"/>
    <col min="9959" max="9959" width="16.28515625" style="47" customWidth="1"/>
    <col min="9960" max="9960" width="15.5703125" style="47" customWidth="1"/>
    <col min="9961" max="9961" width="15.85546875" style="47" customWidth="1"/>
    <col min="9962" max="9963" width="10" style="47" bestFit="1" customWidth="1"/>
    <col min="9964" max="9964" width="9.140625" style="47"/>
    <col min="9965" max="9965" width="10.5703125" style="47" bestFit="1" customWidth="1"/>
    <col min="9966" max="9984" width="9.140625" style="47"/>
    <col min="9985" max="9985" width="53.85546875" style="47" customWidth="1"/>
    <col min="9986" max="9986" width="18" style="47" bestFit="1" customWidth="1"/>
    <col min="9987" max="9987" width="18" style="47" customWidth="1"/>
    <col min="9988" max="9988" width="16.7109375" style="47" bestFit="1" customWidth="1"/>
    <col min="9989" max="9989" width="15.5703125" style="47" bestFit="1" customWidth="1"/>
    <col min="9990" max="9990" width="18.7109375" style="47" customWidth="1"/>
    <col min="9991" max="9991" width="15" style="47" customWidth="1"/>
    <col min="9992" max="9992" width="18.5703125" style="47" customWidth="1"/>
    <col min="9993" max="9993" width="21.28515625" style="47" customWidth="1"/>
    <col min="9994" max="9994" width="16.140625" style="47" customWidth="1"/>
    <col min="9995" max="9995" width="13.28515625" style="47" customWidth="1"/>
    <col min="9996" max="9996" width="16.28515625" style="47" customWidth="1"/>
    <col min="9997" max="9997" width="18.7109375" style="47" customWidth="1"/>
    <col min="9998" max="9998" width="15.85546875" style="47" customWidth="1"/>
    <col min="9999" max="9999" width="10" style="47" bestFit="1" customWidth="1"/>
    <col min="10000" max="10000" width="13.140625" style="47" customWidth="1"/>
    <col min="10001" max="10002" width="16.42578125" style="47" customWidth="1"/>
    <col min="10003" max="10003" width="12.5703125" style="47" customWidth="1"/>
    <col min="10004" max="10203" width="9.140625" style="47"/>
    <col min="10204" max="10204" width="53.85546875" style="47" customWidth="1"/>
    <col min="10205" max="10205" width="18" style="47" bestFit="1" customWidth="1"/>
    <col min="10206" max="10206" width="23" style="47" customWidth="1"/>
    <col min="10207" max="10207" width="16.7109375" style="47" bestFit="1" customWidth="1"/>
    <col min="10208" max="10208" width="15.5703125" style="47" bestFit="1" customWidth="1"/>
    <col min="10209" max="10209" width="16.7109375" style="47" bestFit="1" customWidth="1"/>
    <col min="10210" max="10210" width="13.5703125" style="47" bestFit="1" customWidth="1"/>
    <col min="10211" max="10211" width="18.7109375" style="47" customWidth="1"/>
    <col min="10212" max="10212" width="15.5703125" style="47" bestFit="1" customWidth="1"/>
    <col min="10213" max="10213" width="16.140625" style="47" customWidth="1"/>
    <col min="10214" max="10214" width="13.28515625" style="47" customWidth="1"/>
    <col min="10215" max="10215" width="16.28515625" style="47" customWidth="1"/>
    <col min="10216" max="10216" width="15.5703125" style="47" customWidth="1"/>
    <col min="10217" max="10217" width="15.85546875" style="47" customWidth="1"/>
    <col min="10218" max="10219" width="10" style="47" bestFit="1" customWidth="1"/>
    <col min="10220" max="10220" width="9.140625" style="47"/>
    <col min="10221" max="10221" width="10.5703125" style="47" bestFit="1" customWidth="1"/>
    <col min="10222" max="10240" width="9.140625" style="47"/>
    <col min="10241" max="10241" width="53.85546875" style="47" customWidth="1"/>
    <col min="10242" max="10242" width="18" style="47" bestFit="1" customWidth="1"/>
    <col min="10243" max="10243" width="18" style="47" customWidth="1"/>
    <col min="10244" max="10244" width="16.7109375" style="47" bestFit="1" customWidth="1"/>
    <col min="10245" max="10245" width="15.5703125" style="47" bestFit="1" customWidth="1"/>
    <col min="10246" max="10246" width="18.7109375" style="47" customWidth="1"/>
    <col min="10247" max="10247" width="15" style="47" customWidth="1"/>
    <col min="10248" max="10248" width="18.5703125" style="47" customWidth="1"/>
    <col min="10249" max="10249" width="21.28515625" style="47" customWidth="1"/>
    <col min="10250" max="10250" width="16.140625" style="47" customWidth="1"/>
    <col min="10251" max="10251" width="13.28515625" style="47" customWidth="1"/>
    <col min="10252" max="10252" width="16.28515625" style="47" customWidth="1"/>
    <col min="10253" max="10253" width="18.7109375" style="47" customWidth="1"/>
    <col min="10254" max="10254" width="15.85546875" style="47" customWidth="1"/>
    <col min="10255" max="10255" width="10" style="47" bestFit="1" customWidth="1"/>
    <col min="10256" max="10256" width="13.140625" style="47" customWidth="1"/>
    <col min="10257" max="10258" width="16.42578125" style="47" customWidth="1"/>
    <col min="10259" max="10259" width="12.5703125" style="47" customWidth="1"/>
    <col min="10260" max="10459" width="9.140625" style="47"/>
    <col min="10460" max="10460" width="53.85546875" style="47" customWidth="1"/>
    <col min="10461" max="10461" width="18" style="47" bestFit="1" customWidth="1"/>
    <col min="10462" max="10462" width="23" style="47" customWidth="1"/>
    <col min="10463" max="10463" width="16.7109375" style="47" bestFit="1" customWidth="1"/>
    <col min="10464" max="10464" width="15.5703125" style="47" bestFit="1" customWidth="1"/>
    <col min="10465" max="10465" width="16.7109375" style="47" bestFit="1" customWidth="1"/>
    <col min="10466" max="10466" width="13.5703125" style="47" bestFit="1" customWidth="1"/>
    <col min="10467" max="10467" width="18.7109375" style="47" customWidth="1"/>
    <col min="10468" max="10468" width="15.5703125" style="47" bestFit="1" customWidth="1"/>
    <col min="10469" max="10469" width="16.140625" style="47" customWidth="1"/>
    <col min="10470" max="10470" width="13.28515625" style="47" customWidth="1"/>
    <col min="10471" max="10471" width="16.28515625" style="47" customWidth="1"/>
    <col min="10472" max="10472" width="15.5703125" style="47" customWidth="1"/>
    <col min="10473" max="10473" width="15.85546875" style="47" customWidth="1"/>
    <col min="10474" max="10475" width="10" style="47" bestFit="1" customWidth="1"/>
    <col min="10476" max="10476" width="9.140625" style="47"/>
    <col min="10477" max="10477" width="10.5703125" style="47" bestFit="1" customWidth="1"/>
    <col min="10478" max="10496" width="9.140625" style="47"/>
    <col min="10497" max="10497" width="53.85546875" style="47" customWidth="1"/>
    <col min="10498" max="10498" width="18" style="47" bestFit="1" customWidth="1"/>
    <col min="10499" max="10499" width="18" style="47" customWidth="1"/>
    <col min="10500" max="10500" width="16.7109375" style="47" bestFit="1" customWidth="1"/>
    <col min="10501" max="10501" width="15.5703125" style="47" bestFit="1" customWidth="1"/>
    <col min="10502" max="10502" width="18.7109375" style="47" customWidth="1"/>
    <col min="10503" max="10503" width="15" style="47" customWidth="1"/>
    <col min="10504" max="10504" width="18.5703125" style="47" customWidth="1"/>
    <col min="10505" max="10505" width="21.28515625" style="47" customWidth="1"/>
    <col min="10506" max="10506" width="16.140625" style="47" customWidth="1"/>
    <col min="10507" max="10507" width="13.28515625" style="47" customWidth="1"/>
    <col min="10508" max="10508" width="16.28515625" style="47" customWidth="1"/>
    <col min="10509" max="10509" width="18.7109375" style="47" customWidth="1"/>
    <col min="10510" max="10510" width="15.85546875" style="47" customWidth="1"/>
    <col min="10511" max="10511" width="10" style="47" bestFit="1" customWidth="1"/>
    <col min="10512" max="10512" width="13.140625" style="47" customWidth="1"/>
    <col min="10513" max="10514" width="16.42578125" style="47" customWidth="1"/>
    <col min="10515" max="10515" width="12.5703125" style="47" customWidth="1"/>
    <col min="10516" max="10715" width="9.140625" style="47"/>
    <col min="10716" max="10716" width="53.85546875" style="47" customWidth="1"/>
    <col min="10717" max="10717" width="18" style="47" bestFit="1" customWidth="1"/>
    <col min="10718" max="10718" width="23" style="47" customWidth="1"/>
    <col min="10719" max="10719" width="16.7109375" style="47" bestFit="1" customWidth="1"/>
    <col min="10720" max="10720" width="15.5703125" style="47" bestFit="1" customWidth="1"/>
    <col min="10721" max="10721" width="16.7109375" style="47" bestFit="1" customWidth="1"/>
    <col min="10722" max="10722" width="13.5703125" style="47" bestFit="1" customWidth="1"/>
    <col min="10723" max="10723" width="18.7109375" style="47" customWidth="1"/>
    <col min="10724" max="10724" width="15.5703125" style="47" bestFit="1" customWidth="1"/>
    <col min="10725" max="10725" width="16.140625" style="47" customWidth="1"/>
    <col min="10726" max="10726" width="13.28515625" style="47" customWidth="1"/>
    <col min="10727" max="10727" width="16.28515625" style="47" customWidth="1"/>
    <col min="10728" max="10728" width="15.5703125" style="47" customWidth="1"/>
    <col min="10729" max="10729" width="15.85546875" style="47" customWidth="1"/>
    <col min="10730" max="10731" width="10" style="47" bestFit="1" customWidth="1"/>
    <col min="10732" max="10732" width="9.140625" style="47"/>
    <col min="10733" max="10733" width="10.5703125" style="47" bestFit="1" customWidth="1"/>
    <col min="10734" max="10752" width="9.140625" style="47"/>
    <col min="10753" max="10753" width="53.85546875" style="47" customWidth="1"/>
    <col min="10754" max="10754" width="18" style="47" bestFit="1" customWidth="1"/>
    <col min="10755" max="10755" width="18" style="47" customWidth="1"/>
    <col min="10756" max="10756" width="16.7109375" style="47" bestFit="1" customWidth="1"/>
    <col min="10757" max="10757" width="15.5703125" style="47" bestFit="1" customWidth="1"/>
    <col min="10758" max="10758" width="18.7109375" style="47" customWidth="1"/>
    <col min="10759" max="10759" width="15" style="47" customWidth="1"/>
    <col min="10760" max="10760" width="18.5703125" style="47" customWidth="1"/>
    <col min="10761" max="10761" width="21.28515625" style="47" customWidth="1"/>
    <col min="10762" max="10762" width="16.140625" style="47" customWidth="1"/>
    <col min="10763" max="10763" width="13.28515625" style="47" customWidth="1"/>
    <col min="10764" max="10764" width="16.28515625" style="47" customWidth="1"/>
    <col min="10765" max="10765" width="18.7109375" style="47" customWidth="1"/>
    <col min="10766" max="10766" width="15.85546875" style="47" customWidth="1"/>
    <col min="10767" max="10767" width="10" style="47" bestFit="1" customWidth="1"/>
    <col min="10768" max="10768" width="13.140625" style="47" customWidth="1"/>
    <col min="10769" max="10770" width="16.42578125" style="47" customWidth="1"/>
    <col min="10771" max="10771" width="12.5703125" style="47" customWidth="1"/>
    <col min="10772" max="10971" width="9.140625" style="47"/>
    <col min="10972" max="10972" width="53.85546875" style="47" customWidth="1"/>
    <col min="10973" max="10973" width="18" style="47" bestFit="1" customWidth="1"/>
    <col min="10974" max="10974" width="23" style="47" customWidth="1"/>
    <col min="10975" max="10975" width="16.7109375" style="47" bestFit="1" customWidth="1"/>
    <col min="10976" max="10976" width="15.5703125" style="47" bestFit="1" customWidth="1"/>
    <col min="10977" max="10977" width="16.7109375" style="47" bestFit="1" customWidth="1"/>
    <col min="10978" max="10978" width="13.5703125" style="47" bestFit="1" customWidth="1"/>
    <col min="10979" max="10979" width="18.7109375" style="47" customWidth="1"/>
    <col min="10980" max="10980" width="15.5703125" style="47" bestFit="1" customWidth="1"/>
    <col min="10981" max="10981" width="16.140625" style="47" customWidth="1"/>
    <col min="10982" max="10982" width="13.28515625" style="47" customWidth="1"/>
    <col min="10983" max="10983" width="16.28515625" style="47" customWidth="1"/>
    <col min="10984" max="10984" width="15.5703125" style="47" customWidth="1"/>
    <col min="10985" max="10985" width="15.85546875" style="47" customWidth="1"/>
    <col min="10986" max="10987" width="10" style="47" bestFit="1" customWidth="1"/>
    <col min="10988" max="10988" width="9.140625" style="47"/>
    <col min="10989" max="10989" width="10.5703125" style="47" bestFit="1" customWidth="1"/>
    <col min="10990" max="11008" width="9.140625" style="47"/>
    <col min="11009" max="11009" width="53.85546875" style="47" customWidth="1"/>
    <col min="11010" max="11010" width="18" style="47" bestFit="1" customWidth="1"/>
    <col min="11011" max="11011" width="18" style="47" customWidth="1"/>
    <col min="11012" max="11012" width="16.7109375" style="47" bestFit="1" customWidth="1"/>
    <col min="11013" max="11013" width="15.5703125" style="47" bestFit="1" customWidth="1"/>
    <col min="11014" max="11014" width="18.7109375" style="47" customWidth="1"/>
    <col min="11015" max="11015" width="15" style="47" customWidth="1"/>
    <col min="11016" max="11016" width="18.5703125" style="47" customWidth="1"/>
    <col min="11017" max="11017" width="21.28515625" style="47" customWidth="1"/>
    <col min="11018" max="11018" width="16.140625" style="47" customWidth="1"/>
    <col min="11019" max="11019" width="13.28515625" style="47" customWidth="1"/>
    <col min="11020" max="11020" width="16.28515625" style="47" customWidth="1"/>
    <col min="11021" max="11021" width="18.7109375" style="47" customWidth="1"/>
    <col min="11022" max="11022" width="15.85546875" style="47" customWidth="1"/>
    <col min="11023" max="11023" width="10" style="47" bestFit="1" customWidth="1"/>
    <col min="11024" max="11024" width="13.140625" style="47" customWidth="1"/>
    <col min="11025" max="11026" width="16.42578125" style="47" customWidth="1"/>
    <col min="11027" max="11027" width="12.5703125" style="47" customWidth="1"/>
    <col min="11028" max="11227" width="9.140625" style="47"/>
    <col min="11228" max="11228" width="53.85546875" style="47" customWidth="1"/>
    <col min="11229" max="11229" width="18" style="47" bestFit="1" customWidth="1"/>
    <col min="11230" max="11230" width="23" style="47" customWidth="1"/>
    <col min="11231" max="11231" width="16.7109375" style="47" bestFit="1" customWidth="1"/>
    <col min="11232" max="11232" width="15.5703125" style="47" bestFit="1" customWidth="1"/>
    <col min="11233" max="11233" width="16.7109375" style="47" bestFit="1" customWidth="1"/>
    <col min="11234" max="11234" width="13.5703125" style="47" bestFit="1" customWidth="1"/>
    <col min="11235" max="11235" width="18.7109375" style="47" customWidth="1"/>
    <col min="11236" max="11236" width="15.5703125" style="47" bestFit="1" customWidth="1"/>
    <col min="11237" max="11237" width="16.140625" style="47" customWidth="1"/>
    <col min="11238" max="11238" width="13.28515625" style="47" customWidth="1"/>
    <col min="11239" max="11239" width="16.28515625" style="47" customWidth="1"/>
    <col min="11240" max="11240" width="15.5703125" style="47" customWidth="1"/>
    <col min="11241" max="11241" width="15.85546875" style="47" customWidth="1"/>
    <col min="11242" max="11243" width="10" style="47" bestFit="1" customWidth="1"/>
    <col min="11244" max="11244" width="9.140625" style="47"/>
    <col min="11245" max="11245" width="10.5703125" style="47" bestFit="1" customWidth="1"/>
    <col min="11246" max="11264" width="9.140625" style="47"/>
    <col min="11265" max="11265" width="53.85546875" style="47" customWidth="1"/>
    <col min="11266" max="11266" width="18" style="47" bestFit="1" customWidth="1"/>
    <col min="11267" max="11267" width="18" style="47" customWidth="1"/>
    <col min="11268" max="11268" width="16.7109375" style="47" bestFit="1" customWidth="1"/>
    <col min="11269" max="11269" width="15.5703125" style="47" bestFit="1" customWidth="1"/>
    <col min="11270" max="11270" width="18.7109375" style="47" customWidth="1"/>
    <col min="11271" max="11271" width="15" style="47" customWidth="1"/>
    <col min="11272" max="11272" width="18.5703125" style="47" customWidth="1"/>
    <col min="11273" max="11273" width="21.28515625" style="47" customWidth="1"/>
    <col min="11274" max="11274" width="16.140625" style="47" customWidth="1"/>
    <col min="11275" max="11275" width="13.28515625" style="47" customWidth="1"/>
    <col min="11276" max="11276" width="16.28515625" style="47" customWidth="1"/>
    <col min="11277" max="11277" width="18.7109375" style="47" customWidth="1"/>
    <col min="11278" max="11278" width="15.85546875" style="47" customWidth="1"/>
    <col min="11279" max="11279" width="10" style="47" bestFit="1" customWidth="1"/>
    <col min="11280" max="11280" width="13.140625" style="47" customWidth="1"/>
    <col min="11281" max="11282" width="16.42578125" style="47" customWidth="1"/>
    <col min="11283" max="11283" width="12.5703125" style="47" customWidth="1"/>
    <col min="11284" max="11483" width="9.140625" style="47"/>
    <col min="11484" max="11484" width="53.85546875" style="47" customWidth="1"/>
    <col min="11485" max="11485" width="18" style="47" bestFit="1" customWidth="1"/>
    <col min="11486" max="11486" width="23" style="47" customWidth="1"/>
    <col min="11487" max="11487" width="16.7109375" style="47" bestFit="1" customWidth="1"/>
    <col min="11488" max="11488" width="15.5703125" style="47" bestFit="1" customWidth="1"/>
    <col min="11489" max="11489" width="16.7109375" style="47" bestFit="1" customWidth="1"/>
    <col min="11490" max="11490" width="13.5703125" style="47" bestFit="1" customWidth="1"/>
    <col min="11491" max="11491" width="18.7109375" style="47" customWidth="1"/>
    <col min="11492" max="11492" width="15.5703125" style="47" bestFit="1" customWidth="1"/>
    <col min="11493" max="11493" width="16.140625" style="47" customWidth="1"/>
    <col min="11494" max="11494" width="13.28515625" style="47" customWidth="1"/>
    <col min="11495" max="11495" width="16.28515625" style="47" customWidth="1"/>
    <col min="11496" max="11496" width="15.5703125" style="47" customWidth="1"/>
    <col min="11497" max="11497" width="15.85546875" style="47" customWidth="1"/>
    <col min="11498" max="11499" width="10" style="47" bestFit="1" customWidth="1"/>
    <col min="11500" max="11500" width="9.140625" style="47"/>
    <col min="11501" max="11501" width="10.5703125" style="47" bestFit="1" customWidth="1"/>
    <col min="11502" max="11520" width="9.140625" style="47"/>
    <col min="11521" max="11521" width="53.85546875" style="47" customWidth="1"/>
    <col min="11522" max="11522" width="18" style="47" bestFit="1" customWidth="1"/>
    <col min="11523" max="11523" width="18" style="47" customWidth="1"/>
    <col min="11524" max="11524" width="16.7109375" style="47" bestFit="1" customWidth="1"/>
    <col min="11525" max="11525" width="15.5703125" style="47" bestFit="1" customWidth="1"/>
    <col min="11526" max="11526" width="18.7109375" style="47" customWidth="1"/>
    <col min="11527" max="11527" width="15" style="47" customWidth="1"/>
    <col min="11528" max="11528" width="18.5703125" style="47" customWidth="1"/>
    <col min="11529" max="11529" width="21.28515625" style="47" customWidth="1"/>
    <col min="11530" max="11530" width="16.140625" style="47" customWidth="1"/>
    <col min="11531" max="11531" width="13.28515625" style="47" customWidth="1"/>
    <col min="11532" max="11532" width="16.28515625" style="47" customWidth="1"/>
    <col min="11533" max="11533" width="18.7109375" style="47" customWidth="1"/>
    <col min="11534" max="11534" width="15.85546875" style="47" customWidth="1"/>
    <col min="11535" max="11535" width="10" style="47" bestFit="1" customWidth="1"/>
    <col min="11536" max="11536" width="13.140625" style="47" customWidth="1"/>
    <col min="11537" max="11538" width="16.42578125" style="47" customWidth="1"/>
    <col min="11539" max="11539" width="12.5703125" style="47" customWidth="1"/>
    <col min="11540" max="11739" width="9.140625" style="47"/>
    <col min="11740" max="11740" width="53.85546875" style="47" customWidth="1"/>
    <col min="11741" max="11741" width="18" style="47" bestFit="1" customWidth="1"/>
    <col min="11742" max="11742" width="23" style="47" customWidth="1"/>
    <col min="11743" max="11743" width="16.7109375" style="47" bestFit="1" customWidth="1"/>
    <col min="11744" max="11744" width="15.5703125" style="47" bestFit="1" customWidth="1"/>
    <col min="11745" max="11745" width="16.7109375" style="47" bestFit="1" customWidth="1"/>
    <col min="11746" max="11746" width="13.5703125" style="47" bestFit="1" customWidth="1"/>
    <col min="11747" max="11747" width="18.7109375" style="47" customWidth="1"/>
    <col min="11748" max="11748" width="15.5703125" style="47" bestFit="1" customWidth="1"/>
    <col min="11749" max="11749" width="16.140625" style="47" customWidth="1"/>
    <col min="11750" max="11750" width="13.28515625" style="47" customWidth="1"/>
    <col min="11751" max="11751" width="16.28515625" style="47" customWidth="1"/>
    <col min="11752" max="11752" width="15.5703125" style="47" customWidth="1"/>
    <col min="11753" max="11753" width="15.85546875" style="47" customWidth="1"/>
    <col min="11754" max="11755" width="10" style="47" bestFit="1" customWidth="1"/>
    <col min="11756" max="11756" width="9.140625" style="47"/>
    <col min="11757" max="11757" width="10.5703125" style="47" bestFit="1" customWidth="1"/>
    <col min="11758" max="11776" width="9.140625" style="47"/>
    <col min="11777" max="11777" width="53.85546875" style="47" customWidth="1"/>
    <col min="11778" max="11778" width="18" style="47" bestFit="1" customWidth="1"/>
    <col min="11779" max="11779" width="18" style="47" customWidth="1"/>
    <col min="11780" max="11780" width="16.7109375" style="47" bestFit="1" customWidth="1"/>
    <col min="11781" max="11781" width="15.5703125" style="47" bestFit="1" customWidth="1"/>
    <col min="11782" max="11782" width="18.7109375" style="47" customWidth="1"/>
    <col min="11783" max="11783" width="15" style="47" customWidth="1"/>
    <col min="11784" max="11784" width="18.5703125" style="47" customWidth="1"/>
    <col min="11785" max="11785" width="21.28515625" style="47" customWidth="1"/>
    <col min="11786" max="11786" width="16.140625" style="47" customWidth="1"/>
    <col min="11787" max="11787" width="13.28515625" style="47" customWidth="1"/>
    <col min="11788" max="11788" width="16.28515625" style="47" customWidth="1"/>
    <col min="11789" max="11789" width="18.7109375" style="47" customWidth="1"/>
    <col min="11790" max="11790" width="15.85546875" style="47" customWidth="1"/>
    <col min="11791" max="11791" width="10" style="47" bestFit="1" customWidth="1"/>
    <col min="11792" max="11792" width="13.140625" style="47" customWidth="1"/>
    <col min="11793" max="11794" width="16.42578125" style="47" customWidth="1"/>
    <col min="11795" max="11795" width="12.5703125" style="47" customWidth="1"/>
    <col min="11796" max="11995" width="9.140625" style="47"/>
    <col min="11996" max="11996" width="53.85546875" style="47" customWidth="1"/>
    <col min="11997" max="11997" width="18" style="47" bestFit="1" customWidth="1"/>
    <col min="11998" max="11998" width="23" style="47" customWidth="1"/>
    <col min="11999" max="11999" width="16.7109375" style="47" bestFit="1" customWidth="1"/>
    <col min="12000" max="12000" width="15.5703125" style="47" bestFit="1" customWidth="1"/>
    <col min="12001" max="12001" width="16.7109375" style="47" bestFit="1" customWidth="1"/>
    <col min="12002" max="12002" width="13.5703125" style="47" bestFit="1" customWidth="1"/>
    <col min="12003" max="12003" width="18.7109375" style="47" customWidth="1"/>
    <col min="12004" max="12004" width="15.5703125" style="47" bestFit="1" customWidth="1"/>
    <col min="12005" max="12005" width="16.140625" style="47" customWidth="1"/>
    <col min="12006" max="12006" width="13.28515625" style="47" customWidth="1"/>
    <col min="12007" max="12007" width="16.28515625" style="47" customWidth="1"/>
    <col min="12008" max="12008" width="15.5703125" style="47" customWidth="1"/>
    <col min="12009" max="12009" width="15.85546875" style="47" customWidth="1"/>
    <col min="12010" max="12011" width="10" style="47" bestFit="1" customWidth="1"/>
    <col min="12012" max="12012" width="9.140625" style="47"/>
    <col min="12013" max="12013" width="10.5703125" style="47" bestFit="1" customWidth="1"/>
    <col min="12014" max="12032" width="9.140625" style="47"/>
    <col min="12033" max="12033" width="53.85546875" style="47" customWidth="1"/>
    <col min="12034" max="12034" width="18" style="47" bestFit="1" customWidth="1"/>
    <col min="12035" max="12035" width="18" style="47" customWidth="1"/>
    <col min="12036" max="12036" width="16.7109375" style="47" bestFit="1" customWidth="1"/>
    <col min="12037" max="12037" width="15.5703125" style="47" bestFit="1" customWidth="1"/>
    <col min="12038" max="12038" width="18.7109375" style="47" customWidth="1"/>
    <col min="12039" max="12039" width="15" style="47" customWidth="1"/>
    <col min="12040" max="12040" width="18.5703125" style="47" customWidth="1"/>
    <col min="12041" max="12041" width="21.28515625" style="47" customWidth="1"/>
    <col min="12042" max="12042" width="16.140625" style="47" customWidth="1"/>
    <col min="12043" max="12043" width="13.28515625" style="47" customWidth="1"/>
    <col min="12044" max="12044" width="16.28515625" style="47" customWidth="1"/>
    <col min="12045" max="12045" width="18.7109375" style="47" customWidth="1"/>
    <col min="12046" max="12046" width="15.85546875" style="47" customWidth="1"/>
    <col min="12047" max="12047" width="10" style="47" bestFit="1" customWidth="1"/>
    <col min="12048" max="12048" width="13.140625" style="47" customWidth="1"/>
    <col min="12049" max="12050" width="16.42578125" style="47" customWidth="1"/>
    <col min="12051" max="12051" width="12.5703125" style="47" customWidth="1"/>
    <col min="12052" max="12251" width="9.140625" style="47"/>
    <col min="12252" max="12252" width="53.85546875" style="47" customWidth="1"/>
    <col min="12253" max="12253" width="18" style="47" bestFit="1" customWidth="1"/>
    <col min="12254" max="12254" width="23" style="47" customWidth="1"/>
    <col min="12255" max="12255" width="16.7109375" style="47" bestFit="1" customWidth="1"/>
    <col min="12256" max="12256" width="15.5703125" style="47" bestFit="1" customWidth="1"/>
    <col min="12257" max="12257" width="16.7109375" style="47" bestFit="1" customWidth="1"/>
    <col min="12258" max="12258" width="13.5703125" style="47" bestFit="1" customWidth="1"/>
    <col min="12259" max="12259" width="18.7109375" style="47" customWidth="1"/>
    <col min="12260" max="12260" width="15.5703125" style="47" bestFit="1" customWidth="1"/>
    <col min="12261" max="12261" width="16.140625" style="47" customWidth="1"/>
    <col min="12262" max="12262" width="13.28515625" style="47" customWidth="1"/>
    <col min="12263" max="12263" width="16.28515625" style="47" customWidth="1"/>
    <col min="12264" max="12264" width="15.5703125" style="47" customWidth="1"/>
    <col min="12265" max="12265" width="15.85546875" style="47" customWidth="1"/>
    <col min="12266" max="12267" width="10" style="47" bestFit="1" customWidth="1"/>
    <col min="12268" max="12268" width="9.140625" style="47"/>
    <col min="12269" max="12269" width="10.5703125" style="47" bestFit="1" customWidth="1"/>
    <col min="12270" max="12288" width="9.140625" style="47"/>
    <col min="12289" max="12289" width="53.85546875" style="47" customWidth="1"/>
    <col min="12290" max="12290" width="18" style="47" bestFit="1" customWidth="1"/>
    <col min="12291" max="12291" width="18" style="47" customWidth="1"/>
    <col min="12292" max="12292" width="16.7109375" style="47" bestFit="1" customWidth="1"/>
    <col min="12293" max="12293" width="15.5703125" style="47" bestFit="1" customWidth="1"/>
    <col min="12294" max="12294" width="18.7109375" style="47" customWidth="1"/>
    <col min="12295" max="12295" width="15" style="47" customWidth="1"/>
    <col min="12296" max="12296" width="18.5703125" style="47" customWidth="1"/>
    <col min="12297" max="12297" width="21.28515625" style="47" customWidth="1"/>
    <col min="12298" max="12298" width="16.140625" style="47" customWidth="1"/>
    <col min="12299" max="12299" width="13.28515625" style="47" customWidth="1"/>
    <col min="12300" max="12300" width="16.28515625" style="47" customWidth="1"/>
    <col min="12301" max="12301" width="18.7109375" style="47" customWidth="1"/>
    <col min="12302" max="12302" width="15.85546875" style="47" customWidth="1"/>
    <col min="12303" max="12303" width="10" style="47" bestFit="1" customWidth="1"/>
    <col min="12304" max="12304" width="13.140625" style="47" customWidth="1"/>
    <col min="12305" max="12306" width="16.42578125" style="47" customWidth="1"/>
    <col min="12307" max="12307" width="12.5703125" style="47" customWidth="1"/>
    <col min="12308" max="12507" width="9.140625" style="47"/>
    <col min="12508" max="12508" width="53.85546875" style="47" customWidth="1"/>
    <col min="12509" max="12509" width="18" style="47" bestFit="1" customWidth="1"/>
    <col min="12510" max="12510" width="23" style="47" customWidth="1"/>
    <col min="12511" max="12511" width="16.7109375" style="47" bestFit="1" customWidth="1"/>
    <col min="12512" max="12512" width="15.5703125" style="47" bestFit="1" customWidth="1"/>
    <col min="12513" max="12513" width="16.7109375" style="47" bestFit="1" customWidth="1"/>
    <col min="12514" max="12514" width="13.5703125" style="47" bestFit="1" customWidth="1"/>
    <col min="12515" max="12515" width="18.7109375" style="47" customWidth="1"/>
    <col min="12516" max="12516" width="15.5703125" style="47" bestFit="1" customWidth="1"/>
    <col min="12517" max="12517" width="16.140625" style="47" customWidth="1"/>
    <col min="12518" max="12518" width="13.28515625" style="47" customWidth="1"/>
    <col min="12519" max="12519" width="16.28515625" style="47" customWidth="1"/>
    <col min="12520" max="12520" width="15.5703125" style="47" customWidth="1"/>
    <col min="12521" max="12521" width="15.85546875" style="47" customWidth="1"/>
    <col min="12522" max="12523" width="10" style="47" bestFit="1" customWidth="1"/>
    <col min="12524" max="12524" width="9.140625" style="47"/>
    <col min="12525" max="12525" width="10.5703125" style="47" bestFit="1" customWidth="1"/>
    <col min="12526" max="12544" width="9.140625" style="47"/>
    <col min="12545" max="12545" width="53.85546875" style="47" customWidth="1"/>
    <col min="12546" max="12546" width="18" style="47" bestFit="1" customWidth="1"/>
    <col min="12547" max="12547" width="18" style="47" customWidth="1"/>
    <col min="12548" max="12548" width="16.7109375" style="47" bestFit="1" customWidth="1"/>
    <col min="12549" max="12549" width="15.5703125" style="47" bestFit="1" customWidth="1"/>
    <col min="12550" max="12550" width="18.7109375" style="47" customWidth="1"/>
    <col min="12551" max="12551" width="15" style="47" customWidth="1"/>
    <col min="12552" max="12552" width="18.5703125" style="47" customWidth="1"/>
    <col min="12553" max="12553" width="21.28515625" style="47" customWidth="1"/>
    <col min="12554" max="12554" width="16.140625" style="47" customWidth="1"/>
    <col min="12555" max="12555" width="13.28515625" style="47" customWidth="1"/>
    <col min="12556" max="12556" width="16.28515625" style="47" customWidth="1"/>
    <col min="12557" max="12557" width="18.7109375" style="47" customWidth="1"/>
    <col min="12558" max="12558" width="15.85546875" style="47" customWidth="1"/>
    <col min="12559" max="12559" width="10" style="47" bestFit="1" customWidth="1"/>
    <col min="12560" max="12560" width="13.140625" style="47" customWidth="1"/>
    <col min="12561" max="12562" width="16.42578125" style="47" customWidth="1"/>
    <col min="12563" max="12563" width="12.5703125" style="47" customWidth="1"/>
    <col min="12564" max="12763" width="9.140625" style="47"/>
    <col min="12764" max="12764" width="53.85546875" style="47" customWidth="1"/>
    <col min="12765" max="12765" width="18" style="47" bestFit="1" customWidth="1"/>
    <col min="12766" max="12766" width="23" style="47" customWidth="1"/>
    <col min="12767" max="12767" width="16.7109375" style="47" bestFit="1" customWidth="1"/>
    <col min="12768" max="12768" width="15.5703125" style="47" bestFit="1" customWidth="1"/>
    <col min="12769" max="12769" width="16.7109375" style="47" bestFit="1" customWidth="1"/>
    <col min="12770" max="12770" width="13.5703125" style="47" bestFit="1" customWidth="1"/>
    <col min="12771" max="12771" width="18.7109375" style="47" customWidth="1"/>
    <col min="12772" max="12772" width="15.5703125" style="47" bestFit="1" customWidth="1"/>
    <col min="12773" max="12773" width="16.140625" style="47" customWidth="1"/>
    <col min="12774" max="12774" width="13.28515625" style="47" customWidth="1"/>
    <col min="12775" max="12775" width="16.28515625" style="47" customWidth="1"/>
    <col min="12776" max="12776" width="15.5703125" style="47" customWidth="1"/>
    <col min="12777" max="12777" width="15.85546875" style="47" customWidth="1"/>
    <col min="12778" max="12779" width="10" style="47" bestFit="1" customWidth="1"/>
    <col min="12780" max="12780" width="9.140625" style="47"/>
    <col min="12781" max="12781" width="10.5703125" style="47" bestFit="1" customWidth="1"/>
    <col min="12782" max="12800" width="9.140625" style="47"/>
    <col min="12801" max="12801" width="53.85546875" style="47" customWidth="1"/>
    <col min="12802" max="12802" width="18" style="47" bestFit="1" customWidth="1"/>
    <col min="12803" max="12803" width="18" style="47" customWidth="1"/>
    <col min="12804" max="12804" width="16.7109375" style="47" bestFit="1" customWidth="1"/>
    <col min="12805" max="12805" width="15.5703125" style="47" bestFit="1" customWidth="1"/>
    <col min="12806" max="12806" width="18.7109375" style="47" customWidth="1"/>
    <col min="12807" max="12807" width="15" style="47" customWidth="1"/>
    <col min="12808" max="12808" width="18.5703125" style="47" customWidth="1"/>
    <col min="12809" max="12809" width="21.28515625" style="47" customWidth="1"/>
    <col min="12810" max="12810" width="16.140625" style="47" customWidth="1"/>
    <col min="12811" max="12811" width="13.28515625" style="47" customWidth="1"/>
    <col min="12812" max="12812" width="16.28515625" style="47" customWidth="1"/>
    <col min="12813" max="12813" width="18.7109375" style="47" customWidth="1"/>
    <col min="12814" max="12814" width="15.85546875" style="47" customWidth="1"/>
    <col min="12815" max="12815" width="10" style="47" bestFit="1" customWidth="1"/>
    <col min="12816" max="12816" width="13.140625" style="47" customWidth="1"/>
    <col min="12817" max="12818" width="16.42578125" style="47" customWidth="1"/>
    <col min="12819" max="12819" width="12.5703125" style="47" customWidth="1"/>
    <col min="12820" max="13019" width="9.140625" style="47"/>
    <col min="13020" max="13020" width="53.85546875" style="47" customWidth="1"/>
    <col min="13021" max="13021" width="18" style="47" bestFit="1" customWidth="1"/>
    <col min="13022" max="13022" width="23" style="47" customWidth="1"/>
    <col min="13023" max="13023" width="16.7109375" style="47" bestFit="1" customWidth="1"/>
    <col min="13024" max="13024" width="15.5703125" style="47" bestFit="1" customWidth="1"/>
    <col min="13025" max="13025" width="16.7109375" style="47" bestFit="1" customWidth="1"/>
    <col min="13026" max="13026" width="13.5703125" style="47" bestFit="1" customWidth="1"/>
    <col min="13027" max="13027" width="18.7109375" style="47" customWidth="1"/>
    <col min="13028" max="13028" width="15.5703125" style="47" bestFit="1" customWidth="1"/>
    <col min="13029" max="13029" width="16.140625" style="47" customWidth="1"/>
    <col min="13030" max="13030" width="13.28515625" style="47" customWidth="1"/>
    <col min="13031" max="13031" width="16.28515625" style="47" customWidth="1"/>
    <col min="13032" max="13032" width="15.5703125" style="47" customWidth="1"/>
    <col min="13033" max="13033" width="15.85546875" style="47" customWidth="1"/>
    <col min="13034" max="13035" width="10" style="47" bestFit="1" customWidth="1"/>
    <col min="13036" max="13036" width="9.140625" style="47"/>
    <col min="13037" max="13037" width="10.5703125" style="47" bestFit="1" customWidth="1"/>
    <col min="13038" max="13056" width="9.140625" style="47"/>
    <col min="13057" max="13057" width="53.85546875" style="47" customWidth="1"/>
    <col min="13058" max="13058" width="18" style="47" bestFit="1" customWidth="1"/>
    <col min="13059" max="13059" width="18" style="47" customWidth="1"/>
    <col min="13060" max="13060" width="16.7109375" style="47" bestFit="1" customWidth="1"/>
    <col min="13061" max="13061" width="15.5703125" style="47" bestFit="1" customWidth="1"/>
    <col min="13062" max="13062" width="18.7109375" style="47" customWidth="1"/>
    <col min="13063" max="13063" width="15" style="47" customWidth="1"/>
    <col min="13064" max="13064" width="18.5703125" style="47" customWidth="1"/>
    <col min="13065" max="13065" width="21.28515625" style="47" customWidth="1"/>
    <col min="13066" max="13066" width="16.140625" style="47" customWidth="1"/>
    <col min="13067" max="13067" width="13.28515625" style="47" customWidth="1"/>
    <col min="13068" max="13068" width="16.28515625" style="47" customWidth="1"/>
    <col min="13069" max="13069" width="18.7109375" style="47" customWidth="1"/>
    <col min="13070" max="13070" width="15.85546875" style="47" customWidth="1"/>
    <col min="13071" max="13071" width="10" style="47" bestFit="1" customWidth="1"/>
    <col min="13072" max="13072" width="13.140625" style="47" customWidth="1"/>
    <col min="13073" max="13074" width="16.42578125" style="47" customWidth="1"/>
    <col min="13075" max="13075" width="12.5703125" style="47" customWidth="1"/>
    <col min="13076" max="13275" width="9.140625" style="47"/>
    <col min="13276" max="13276" width="53.85546875" style="47" customWidth="1"/>
    <col min="13277" max="13277" width="18" style="47" bestFit="1" customWidth="1"/>
    <col min="13278" max="13278" width="23" style="47" customWidth="1"/>
    <col min="13279" max="13279" width="16.7109375" style="47" bestFit="1" customWidth="1"/>
    <col min="13280" max="13280" width="15.5703125" style="47" bestFit="1" customWidth="1"/>
    <col min="13281" max="13281" width="16.7109375" style="47" bestFit="1" customWidth="1"/>
    <col min="13282" max="13282" width="13.5703125" style="47" bestFit="1" customWidth="1"/>
    <col min="13283" max="13283" width="18.7109375" style="47" customWidth="1"/>
    <col min="13284" max="13284" width="15.5703125" style="47" bestFit="1" customWidth="1"/>
    <col min="13285" max="13285" width="16.140625" style="47" customWidth="1"/>
    <col min="13286" max="13286" width="13.28515625" style="47" customWidth="1"/>
    <col min="13287" max="13287" width="16.28515625" style="47" customWidth="1"/>
    <col min="13288" max="13288" width="15.5703125" style="47" customWidth="1"/>
    <col min="13289" max="13289" width="15.85546875" style="47" customWidth="1"/>
    <col min="13290" max="13291" width="10" style="47" bestFit="1" customWidth="1"/>
    <col min="13292" max="13292" width="9.140625" style="47"/>
    <col min="13293" max="13293" width="10.5703125" style="47" bestFit="1" customWidth="1"/>
    <col min="13294" max="13312" width="9.140625" style="47"/>
    <col min="13313" max="13313" width="53.85546875" style="47" customWidth="1"/>
    <col min="13314" max="13314" width="18" style="47" bestFit="1" customWidth="1"/>
    <col min="13315" max="13315" width="18" style="47" customWidth="1"/>
    <col min="13316" max="13316" width="16.7109375" style="47" bestFit="1" customWidth="1"/>
    <col min="13317" max="13317" width="15.5703125" style="47" bestFit="1" customWidth="1"/>
    <col min="13318" max="13318" width="18.7109375" style="47" customWidth="1"/>
    <col min="13319" max="13319" width="15" style="47" customWidth="1"/>
    <col min="13320" max="13320" width="18.5703125" style="47" customWidth="1"/>
    <col min="13321" max="13321" width="21.28515625" style="47" customWidth="1"/>
    <col min="13322" max="13322" width="16.140625" style="47" customWidth="1"/>
    <col min="13323" max="13323" width="13.28515625" style="47" customWidth="1"/>
    <col min="13324" max="13324" width="16.28515625" style="47" customWidth="1"/>
    <col min="13325" max="13325" width="18.7109375" style="47" customWidth="1"/>
    <col min="13326" max="13326" width="15.85546875" style="47" customWidth="1"/>
    <col min="13327" max="13327" width="10" style="47" bestFit="1" customWidth="1"/>
    <col min="13328" max="13328" width="13.140625" style="47" customWidth="1"/>
    <col min="13329" max="13330" width="16.42578125" style="47" customWidth="1"/>
    <col min="13331" max="13331" width="12.5703125" style="47" customWidth="1"/>
    <col min="13332" max="13531" width="9.140625" style="47"/>
    <col min="13532" max="13532" width="53.85546875" style="47" customWidth="1"/>
    <col min="13533" max="13533" width="18" style="47" bestFit="1" customWidth="1"/>
    <col min="13534" max="13534" width="23" style="47" customWidth="1"/>
    <col min="13535" max="13535" width="16.7109375" style="47" bestFit="1" customWidth="1"/>
    <col min="13536" max="13536" width="15.5703125" style="47" bestFit="1" customWidth="1"/>
    <col min="13537" max="13537" width="16.7109375" style="47" bestFit="1" customWidth="1"/>
    <col min="13538" max="13538" width="13.5703125" style="47" bestFit="1" customWidth="1"/>
    <col min="13539" max="13539" width="18.7109375" style="47" customWidth="1"/>
    <col min="13540" max="13540" width="15.5703125" style="47" bestFit="1" customWidth="1"/>
    <col min="13541" max="13541" width="16.140625" style="47" customWidth="1"/>
    <col min="13542" max="13542" width="13.28515625" style="47" customWidth="1"/>
    <col min="13543" max="13543" width="16.28515625" style="47" customWidth="1"/>
    <col min="13544" max="13544" width="15.5703125" style="47" customWidth="1"/>
    <col min="13545" max="13545" width="15.85546875" style="47" customWidth="1"/>
    <col min="13546" max="13547" width="10" style="47" bestFit="1" customWidth="1"/>
    <col min="13548" max="13548" width="9.140625" style="47"/>
    <col min="13549" max="13549" width="10.5703125" style="47" bestFit="1" customWidth="1"/>
    <col min="13550" max="13568" width="9.140625" style="47"/>
    <col min="13569" max="13569" width="53.85546875" style="47" customWidth="1"/>
    <col min="13570" max="13570" width="18" style="47" bestFit="1" customWidth="1"/>
    <col min="13571" max="13571" width="18" style="47" customWidth="1"/>
    <col min="13572" max="13572" width="16.7109375" style="47" bestFit="1" customWidth="1"/>
    <col min="13573" max="13573" width="15.5703125" style="47" bestFit="1" customWidth="1"/>
    <col min="13574" max="13574" width="18.7109375" style="47" customWidth="1"/>
    <col min="13575" max="13575" width="15" style="47" customWidth="1"/>
    <col min="13576" max="13576" width="18.5703125" style="47" customWidth="1"/>
    <col min="13577" max="13577" width="21.28515625" style="47" customWidth="1"/>
    <col min="13578" max="13578" width="16.140625" style="47" customWidth="1"/>
    <col min="13579" max="13579" width="13.28515625" style="47" customWidth="1"/>
    <col min="13580" max="13580" width="16.28515625" style="47" customWidth="1"/>
    <col min="13581" max="13581" width="18.7109375" style="47" customWidth="1"/>
    <col min="13582" max="13582" width="15.85546875" style="47" customWidth="1"/>
    <col min="13583" max="13583" width="10" style="47" bestFit="1" customWidth="1"/>
    <col min="13584" max="13584" width="13.140625" style="47" customWidth="1"/>
    <col min="13585" max="13586" width="16.42578125" style="47" customWidth="1"/>
    <col min="13587" max="13587" width="12.5703125" style="47" customWidth="1"/>
    <col min="13588" max="13787" width="9.140625" style="47"/>
    <col min="13788" max="13788" width="53.85546875" style="47" customWidth="1"/>
    <col min="13789" max="13789" width="18" style="47" bestFit="1" customWidth="1"/>
    <col min="13790" max="13790" width="23" style="47" customWidth="1"/>
    <col min="13791" max="13791" width="16.7109375" style="47" bestFit="1" customWidth="1"/>
    <col min="13792" max="13792" width="15.5703125" style="47" bestFit="1" customWidth="1"/>
    <col min="13793" max="13793" width="16.7109375" style="47" bestFit="1" customWidth="1"/>
    <col min="13794" max="13794" width="13.5703125" style="47" bestFit="1" customWidth="1"/>
    <col min="13795" max="13795" width="18.7109375" style="47" customWidth="1"/>
    <col min="13796" max="13796" width="15.5703125" style="47" bestFit="1" customWidth="1"/>
    <col min="13797" max="13797" width="16.140625" style="47" customWidth="1"/>
    <col min="13798" max="13798" width="13.28515625" style="47" customWidth="1"/>
    <col min="13799" max="13799" width="16.28515625" style="47" customWidth="1"/>
    <col min="13800" max="13800" width="15.5703125" style="47" customWidth="1"/>
    <col min="13801" max="13801" width="15.85546875" style="47" customWidth="1"/>
    <col min="13802" max="13803" width="10" style="47" bestFit="1" customWidth="1"/>
    <col min="13804" max="13804" width="9.140625" style="47"/>
    <col min="13805" max="13805" width="10.5703125" style="47" bestFit="1" customWidth="1"/>
    <col min="13806" max="13824" width="9.140625" style="47"/>
    <col min="13825" max="13825" width="53.85546875" style="47" customWidth="1"/>
    <col min="13826" max="13826" width="18" style="47" bestFit="1" customWidth="1"/>
    <col min="13827" max="13827" width="18" style="47" customWidth="1"/>
    <col min="13828" max="13828" width="16.7109375" style="47" bestFit="1" customWidth="1"/>
    <col min="13829" max="13829" width="15.5703125" style="47" bestFit="1" customWidth="1"/>
    <col min="13830" max="13830" width="18.7109375" style="47" customWidth="1"/>
    <col min="13831" max="13831" width="15" style="47" customWidth="1"/>
    <col min="13832" max="13832" width="18.5703125" style="47" customWidth="1"/>
    <col min="13833" max="13833" width="21.28515625" style="47" customWidth="1"/>
    <col min="13834" max="13834" width="16.140625" style="47" customWidth="1"/>
    <col min="13835" max="13835" width="13.28515625" style="47" customWidth="1"/>
    <col min="13836" max="13836" width="16.28515625" style="47" customWidth="1"/>
    <col min="13837" max="13837" width="18.7109375" style="47" customWidth="1"/>
    <col min="13838" max="13838" width="15.85546875" style="47" customWidth="1"/>
    <col min="13839" max="13839" width="10" style="47" bestFit="1" customWidth="1"/>
    <col min="13840" max="13840" width="13.140625" style="47" customWidth="1"/>
    <col min="13841" max="13842" width="16.42578125" style="47" customWidth="1"/>
    <col min="13843" max="13843" width="12.5703125" style="47" customWidth="1"/>
    <col min="13844" max="14043" width="9.140625" style="47"/>
    <col min="14044" max="14044" width="53.85546875" style="47" customWidth="1"/>
    <col min="14045" max="14045" width="18" style="47" bestFit="1" customWidth="1"/>
    <col min="14046" max="14046" width="23" style="47" customWidth="1"/>
    <col min="14047" max="14047" width="16.7109375" style="47" bestFit="1" customWidth="1"/>
    <col min="14048" max="14048" width="15.5703125" style="47" bestFit="1" customWidth="1"/>
    <col min="14049" max="14049" width="16.7109375" style="47" bestFit="1" customWidth="1"/>
    <col min="14050" max="14050" width="13.5703125" style="47" bestFit="1" customWidth="1"/>
    <col min="14051" max="14051" width="18.7109375" style="47" customWidth="1"/>
    <col min="14052" max="14052" width="15.5703125" style="47" bestFit="1" customWidth="1"/>
    <col min="14053" max="14053" width="16.140625" style="47" customWidth="1"/>
    <col min="14054" max="14054" width="13.28515625" style="47" customWidth="1"/>
    <col min="14055" max="14055" width="16.28515625" style="47" customWidth="1"/>
    <col min="14056" max="14056" width="15.5703125" style="47" customWidth="1"/>
    <col min="14057" max="14057" width="15.85546875" style="47" customWidth="1"/>
    <col min="14058" max="14059" width="10" style="47" bestFit="1" customWidth="1"/>
    <col min="14060" max="14060" width="9.140625" style="47"/>
    <col min="14061" max="14061" width="10.5703125" style="47" bestFit="1" customWidth="1"/>
    <col min="14062" max="14080" width="9.140625" style="47"/>
    <col min="14081" max="14081" width="53.85546875" style="47" customWidth="1"/>
    <col min="14082" max="14082" width="18" style="47" bestFit="1" customWidth="1"/>
    <col min="14083" max="14083" width="18" style="47" customWidth="1"/>
    <col min="14084" max="14084" width="16.7109375" style="47" bestFit="1" customWidth="1"/>
    <col min="14085" max="14085" width="15.5703125" style="47" bestFit="1" customWidth="1"/>
    <col min="14086" max="14086" width="18.7109375" style="47" customWidth="1"/>
    <col min="14087" max="14087" width="15" style="47" customWidth="1"/>
    <col min="14088" max="14088" width="18.5703125" style="47" customWidth="1"/>
    <col min="14089" max="14089" width="21.28515625" style="47" customWidth="1"/>
    <col min="14090" max="14090" width="16.140625" style="47" customWidth="1"/>
    <col min="14091" max="14091" width="13.28515625" style="47" customWidth="1"/>
    <col min="14092" max="14092" width="16.28515625" style="47" customWidth="1"/>
    <col min="14093" max="14093" width="18.7109375" style="47" customWidth="1"/>
    <col min="14094" max="14094" width="15.85546875" style="47" customWidth="1"/>
    <col min="14095" max="14095" width="10" style="47" bestFit="1" customWidth="1"/>
    <col min="14096" max="14096" width="13.140625" style="47" customWidth="1"/>
    <col min="14097" max="14098" width="16.42578125" style="47" customWidth="1"/>
    <col min="14099" max="14099" width="12.5703125" style="47" customWidth="1"/>
    <col min="14100" max="14299" width="9.140625" style="47"/>
    <col min="14300" max="14300" width="53.85546875" style="47" customWidth="1"/>
    <col min="14301" max="14301" width="18" style="47" bestFit="1" customWidth="1"/>
    <col min="14302" max="14302" width="23" style="47" customWidth="1"/>
    <col min="14303" max="14303" width="16.7109375" style="47" bestFit="1" customWidth="1"/>
    <col min="14304" max="14304" width="15.5703125" style="47" bestFit="1" customWidth="1"/>
    <col min="14305" max="14305" width="16.7109375" style="47" bestFit="1" customWidth="1"/>
    <col min="14306" max="14306" width="13.5703125" style="47" bestFit="1" customWidth="1"/>
    <col min="14307" max="14307" width="18.7109375" style="47" customWidth="1"/>
    <col min="14308" max="14308" width="15.5703125" style="47" bestFit="1" customWidth="1"/>
    <col min="14309" max="14309" width="16.140625" style="47" customWidth="1"/>
    <col min="14310" max="14310" width="13.28515625" style="47" customWidth="1"/>
    <col min="14311" max="14311" width="16.28515625" style="47" customWidth="1"/>
    <col min="14312" max="14312" width="15.5703125" style="47" customWidth="1"/>
    <col min="14313" max="14313" width="15.85546875" style="47" customWidth="1"/>
    <col min="14314" max="14315" width="10" style="47" bestFit="1" customWidth="1"/>
    <col min="14316" max="14316" width="9.140625" style="47"/>
    <col min="14317" max="14317" width="10.5703125" style="47" bestFit="1" customWidth="1"/>
    <col min="14318" max="14336" width="9.140625" style="47"/>
    <col min="14337" max="14337" width="53.85546875" style="47" customWidth="1"/>
    <col min="14338" max="14338" width="18" style="47" bestFit="1" customWidth="1"/>
    <col min="14339" max="14339" width="18" style="47" customWidth="1"/>
    <col min="14340" max="14340" width="16.7109375" style="47" bestFit="1" customWidth="1"/>
    <col min="14341" max="14341" width="15.5703125" style="47" bestFit="1" customWidth="1"/>
    <col min="14342" max="14342" width="18.7109375" style="47" customWidth="1"/>
    <col min="14343" max="14343" width="15" style="47" customWidth="1"/>
    <col min="14344" max="14344" width="18.5703125" style="47" customWidth="1"/>
    <col min="14345" max="14345" width="21.28515625" style="47" customWidth="1"/>
    <col min="14346" max="14346" width="16.140625" style="47" customWidth="1"/>
    <col min="14347" max="14347" width="13.28515625" style="47" customWidth="1"/>
    <col min="14348" max="14348" width="16.28515625" style="47" customWidth="1"/>
    <col min="14349" max="14349" width="18.7109375" style="47" customWidth="1"/>
    <col min="14350" max="14350" width="15.85546875" style="47" customWidth="1"/>
    <col min="14351" max="14351" width="10" style="47" bestFit="1" customWidth="1"/>
    <col min="14352" max="14352" width="13.140625" style="47" customWidth="1"/>
    <col min="14353" max="14354" width="16.42578125" style="47" customWidth="1"/>
    <col min="14355" max="14355" width="12.5703125" style="47" customWidth="1"/>
    <col min="14356" max="14555" width="9.140625" style="47"/>
    <col min="14556" max="14556" width="53.85546875" style="47" customWidth="1"/>
    <col min="14557" max="14557" width="18" style="47" bestFit="1" customWidth="1"/>
    <col min="14558" max="14558" width="23" style="47" customWidth="1"/>
    <col min="14559" max="14559" width="16.7109375" style="47" bestFit="1" customWidth="1"/>
    <col min="14560" max="14560" width="15.5703125" style="47" bestFit="1" customWidth="1"/>
    <col min="14561" max="14561" width="16.7109375" style="47" bestFit="1" customWidth="1"/>
    <col min="14562" max="14562" width="13.5703125" style="47" bestFit="1" customWidth="1"/>
    <col min="14563" max="14563" width="18.7109375" style="47" customWidth="1"/>
    <col min="14564" max="14564" width="15.5703125" style="47" bestFit="1" customWidth="1"/>
    <col min="14565" max="14565" width="16.140625" style="47" customWidth="1"/>
    <col min="14566" max="14566" width="13.28515625" style="47" customWidth="1"/>
    <col min="14567" max="14567" width="16.28515625" style="47" customWidth="1"/>
    <col min="14568" max="14568" width="15.5703125" style="47" customWidth="1"/>
    <col min="14569" max="14569" width="15.85546875" style="47" customWidth="1"/>
    <col min="14570" max="14571" width="10" style="47" bestFit="1" customWidth="1"/>
    <col min="14572" max="14572" width="9.140625" style="47"/>
    <col min="14573" max="14573" width="10.5703125" style="47" bestFit="1" customWidth="1"/>
    <col min="14574" max="14592" width="9.140625" style="47"/>
    <col min="14593" max="14593" width="53.85546875" style="47" customWidth="1"/>
    <col min="14594" max="14594" width="18" style="47" bestFit="1" customWidth="1"/>
    <col min="14595" max="14595" width="18" style="47" customWidth="1"/>
    <col min="14596" max="14596" width="16.7109375" style="47" bestFit="1" customWidth="1"/>
    <col min="14597" max="14597" width="15.5703125" style="47" bestFit="1" customWidth="1"/>
    <col min="14598" max="14598" width="18.7109375" style="47" customWidth="1"/>
    <col min="14599" max="14599" width="15" style="47" customWidth="1"/>
    <col min="14600" max="14600" width="18.5703125" style="47" customWidth="1"/>
    <col min="14601" max="14601" width="21.28515625" style="47" customWidth="1"/>
    <col min="14602" max="14602" width="16.140625" style="47" customWidth="1"/>
    <col min="14603" max="14603" width="13.28515625" style="47" customWidth="1"/>
    <col min="14604" max="14604" width="16.28515625" style="47" customWidth="1"/>
    <col min="14605" max="14605" width="18.7109375" style="47" customWidth="1"/>
    <col min="14606" max="14606" width="15.85546875" style="47" customWidth="1"/>
    <col min="14607" max="14607" width="10" style="47" bestFit="1" customWidth="1"/>
    <col min="14608" max="14608" width="13.140625" style="47" customWidth="1"/>
    <col min="14609" max="14610" width="16.42578125" style="47" customWidth="1"/>
    <col min="14611" max="14611" width="12.5703125" style="47" customWidth="1"/>
    <col min="14612" max="14811" width="9.140625" style="47"/>
    <col min="14812" max="14812" width="53.85546875" style="47" customWidth="1"/>
    <col min="14813" max="14813" width="18" style="47" bestFit="1" customWidth="1"/>
    <col min="14814" max="14814" width="23" style="47" customWidth="1"/>
    <col min="14815" max="14815" width="16.7109375" style="47" bestFit="1" customWidth="1"/>
    <col min="14816" max="14816" width="15.5703125" style="47" bestFit="1" customWidth="1"/>
    <col min="14817" max="14817" width="16.7109375" style="47" bestFit="1" customWidth="1"/>
    <col min="14818" max="14818" width="13.5703125" style="47" bestFit="1" customWidth="1"/>
    <col min="14819" max="14819" width="18.7109375" style="47" customWidth="1"/>
    <col min="14820" max="14820" width="15.5703125" style="47" bestFit="1" customWidth="1"/>
    <col min="14821" max="14821" width="16.140625" style="47" customWidth="1"/>
    <col min="14822" max="14822" width="13.28515625" style="47" customWidth="1"/>
    <col min="14823" max="14823" width="16.28515625" style="47" customWidth="1"/>
    <col min="14824" max="14824" width="15.5703125" style="47" customWidth="1"/>
    <col min="14825" max="14825" width="15.85546875" style="47" customWidth="1"/>
    <col min="14826" max="14827" width="10" style="47" bestFit="1" customWidth="1"/>
    <col min="14828" max="14828" width="9.140625" style="47"/>
    <col min="14829" max="14829" width="10.5703125" style="47" bestFit="1" customWidth="1"/>
    <col min="14830" max="14848" width="9.140625" style="47"/>
    <col min="14849" max="14849" width="53.85546875" style="47" customWidth="1"/>
    <col min="14850" max="14850" width="18" style="47" bestFit="1" customWidth="1"/>
    <col min="14851" max="14851" width="18" style="47" customWidth="1"/>
    <col min="14852" max="14852" width="16.7109375" style="47" bestFit="1" customWidth="1"/>
    <col min="14853" max="14853" width="15.5703125" style="47" bestFit="1" customWidth="1"/>
    <col min="14854" max="14854" width="18.7109375" style="47" customWidth="1"/>
    <col min="14855" max="14855" width="15" style="47" customWidth="1"/>
    <col min="14856" max="14856" width="18.5703125" style="47" customWidth="1"/>
    <col min="14857" max="14857" width="21.28515625" style="47" customWidth="1"/>
    <col min="14858" max="14858" width="16.140625" style="47" customWidth="1"/>
    <col min="14859" max="14859" width="13.28515625" style="47" customWidth="1"/>
    <col min="14860" max="14860" width="16.28515625" style="47" customWidth="1"/>
    <col min="14861" max="14861" width="18.7109375" style="47" customWidth="1"/>
    <col min="14862" max="14862" width="15.85546875" style="47" customWidth="1"/>
    <col min="14863" max="14863" width="10" style="47" bestFit="1" customWidth="1"/>
    <col min="14864" max="14864" width="13.140625" style="47" customWidth="1"/>
    <col min="14865" max="14866" width="16.42578125" style="47" customWidth="1"/>
    <col min="14867" max="14867" width="12.5703125" style="47" customWidth="1"/>
    <col min="14868" max="15067" width="9.140625" style="47"/>
    <col min="15068" max="15068" width="53.85546875" style="47" customWidth="1"/>
    <col min="15069" max="15069" width="18" style="47" bestFit="1" customWidth="1"/>
    <col min="15070" max="15070" width="23" style="47" customWidth="1"/>
    <col min="15071" max="15071" width="16.7109375" style="47" bestFit="1" customWidth="1"/>
    <col min="15072" max="15072" width="15.5703125" style="47" bestFit="1" customWidth="1"/>
    <col min="15073" max="15073" width="16.7109375" style="47" bestFit="1" customWidth="1"/>
    <col min="15074" max="15074" width="13.5703125" style="47" bestFit="1" customWidth="1"/>
    <col min="15075" max="15075" width="18.7109375" style="47" customWidth="1"/>
    <col min="15076" max="15076" width="15.5703125" style="47" bestFit="1" customWidth="1"/>
    <col min="15077" max="15077" width="16.140625" style="47" customWidth="1"/>
    <col min="15078" max="15078" width="13.28515625" style="47" customWidth="1"/>
    <col min="15079" max="15079" width="16.28515625" style="47" customWidth="1"/>
    <col min="15080" max="15080" width="15.5703125" style="47" customWidth="1"/>
    <col min="15081" max="15081" width="15.85546875" style="47" customWidth="1"/>
    <col min="15082" max="15083" width="10" style="47" bestFit="1" customWidth="1"/>
    <col min="15084" max="15084" width="9.140625" style="47"/>
    <col min="15085" max="15085" width="10.5703125" style="47" bestFit="1" customWidth="1"/>
    <col min="15086" max="15104" width="9.140625" style="47"/>
    <col min="15105" max="15105" width="53.85546875" style="47" customWidth="1"/>
    <col min="15106" max="15106" width="18" style="47" bestFit="1" customWidth="1"/>
    <col min="15107" max="15107" width="18" style="47" customWidth="1"/>
    <col min="15108" max="15108" width="16.7109375" style="47" bestFit="1" customWidth="1"/>
    <col min="15109" max="15109" width="15.5703125" style="47" bestFit="1" customWidth="1"/>
    <col min="15110" max="15110" width="18.7109375" style="47" customWidth="1"/>
    <col min="15111" max="15111" width="15" style="47" customWidth="1"/>
    <col min="15112" max="15112" width="18.5703125" style="47" customWidth="1"/>
    <col min="15113" max="15113" width="21.28515625" style="47" customWidth="1"/>
    <col min="15114" max="15114" width="16.140625" style="47" customWidth="1"/>
    <col min="15115" max="15115" width="13.28515625" style="47" customWidth="1"/>
    <col min="15116" max="15116" width="16.28515625" style="47" customWidth="1"/>
    <col min="15117" max="15117" width="18.7109375" style="47" customWidth="1"/>
    <col min="15118" max="15118" width="15.85546875" style="47" customWidth="1"/>
    <col min="15119" max="15119" width="10" style="47" bestFit="1" customWidth="1"/>
    <col min="15120" max="15120" width="13.140625" style="47" customWidth="1"/>
    <col min="15121" max="15122" width="16.42578125" style="47" customWidth="1"/>
    <col min="15123" max="15123" width="12.5703125" style="47" customWidth="1"/>
    <col min="15124" max="15323" width="9.140625" style="47"/>
    <col min="15324" max="15324" width="53.85546875" style="47" customWidth="1"/>
    <col min="15325" max="15325" width="18" style="47" bestFit="1" customWidth="1"/>
    <col min="15326" max="15326" width="23" style="47" customWidth="1"/>
    <col min="15327" max="15327" width="16.7109375" style="47" bestFit="1" customWidth="1"/>
    <col min="15328" max="15328" width="15.5703125" style="47" bestFit="1" customWidth="1"/>
    <col min="15329" max="15329" width="16.7109375" style="47" bestFit="1" customWidth="1"/>
    <col min="15330" max="15330" width="13.5703125" style="47" bestFit="1" customWidth="1"/>
    <col min="15331" max="15331" width="18.7109375" style="47" customWidth="1"/>
    <col min="15332" max="15332" width="15.5703125" style="47" bestFit="1" customWidth="1"/>
    <col min="15333" max="15333" width="16.140625" style="47" customWidth="1"/>
    <col min="15334" max="15334" width="13.28515625" style="47" customWidth="1"/>
    <col min="15335" max="15335" width="16.28515625" style="47" customWidth="1"/>
    <col min="15336" max="15336" width="15.5703125" style="47" customWidth="1"/>
    <col min="15337" max="15337" width="15.85546875" style="47" customWidth="1"/>
    <col min="15338" max="15339" width="10" style="47" bestFit="1" customWidth="1"/>
    <col min="15340" max="15340" width="9.140625" style="47"/>
    <col min="15341" max="15341" width="10.5703125" style="47" bestFit="1" customWidth="1"/>
    <col min="15342" max="15360" width="9.140625" style="47"/>
    <col min="15361" max="15361" width="53.85546875" style="47" customWidth="1"/>
    <col min="15362" max="15362" width="18" style="47" bestFit="1" customWidth="1"/>
    <col min="15363" max="15363" width="18" style="47" customWidth="1"/>
    <col min="15364" max="15364" width="16.7109375" style="47" bestFit="1" customWidth="1"/>
    <col min="15365" max="15365" width="15.5703125" style="47" bestFit="1" customWidth="1"/>
    <col min="15366" max="15366" width="18.7109375" style="47" customWidth="1"/>
    <col min="15367" max="15367" width="15" style="47" customWidth="1"/>
    <col min="15368" max="15368" width="18.5703125" style="47" customWidth="1"/>
    <col min="15369" max="15369" width="21.28515625" style="47" customWidth="1"/>
    <col min="15370" max="15370" width="16.140625" style="47" customWidth="1"/>
    <col min="15371" max="15371" width="13.28515625" style="47" customWidth="1"/>
    <col min="15372" max="15372" width="16.28515625" style="47" customWidth="1"/>
    <col min="15373" max="15373" width="18.7109375" style="47" customWidth="1"/>
    <col min="15374" max="15374" width="15.85546875" style="47" customWidth="1"/>
    <col min="15375" max="15375" width="10" style="47" bestFit="1" customWidth="1"/>
    <col min="15376" max="15376" width="13.140625" style="47" customWidth="1"/>
    <col min="15377" max="15378" width="16.42578125" style="47" customWidth="1"/>
    <col min="15379" max="15379" width="12.5703125" style="47" customWidth="1"/>
    <col min="15380" max="15579" width="9.140625" style="47"/>
    <col min="15580" max="15580" width="53.85546875" style="47" customWidth="1"/>
    <col min="15581" max="15581" width="18" style="47" bestFit="1" customWidth="1"/>
    <col min="15582" max="15582" width="23" style="47" customWidth="1"/>
    <col min="15583" max="15583" width="16.7109375" style="47" bestFit="1" customWidth="1"/>
    <col min="15584" max="15584" width="15.5703125" style="47" bestFit="1" customWidth="1"/>
    <col min="15585" max="15585" width="16.7109375" style="47" bestFit="1" customWidth="1"/>
    <col min="15586" max="15586" width="13.5703125" style="47" bestFit="1" customWidth="1"/>
    <col min="15587" max="15587" width="18.7109375" style="47" customWidth="1"/>
    <col min="15588" max="15588" width="15.5703125" style="47" bestFit="1" customWidth="1"/>
    <col min="15589" max="15589" width="16.140625" style="47" customWidth="1"/>
    <col min="15590" max="15590" width="13.28515625" style="47" customWidth="1"/>
    <col min="15591" max="15591" width="16.28515625" style="47" customWidth="1"/>
    <col min="15592" max="15592" width="15.5703125" style="47" customWidth="1"/>
    <col min="15593" max="15593" width="15.85546875" style="47" customWidth="1"/>
    <col min="15594" max="15595" width="10" style="47" bestFit="1" customWidth="1"/>
    <col min="15596" max="15596" width="9.140625" style="47"/>
    <col min="15597" max="15597" width="10.5703125" style="47" bestFit="1" customWidth="1"/>
    <col min="15598" max="15616" width="9.140625" style="47"/>
    <col min="15617" max="15617" width="53.85546875" style="47" customWidth="1"/>
    <col min="15618" max="15618" width="18" style="47" bestFit="1" customWidth="1"/>
    <col min="15619" max="15619" width="18" style="47" customWidth="1"/>
    <col min="15620" max="15620" width="16.7109375" style="47" bestFit="1" customWidth="1"/>
    <col min="15621" max="15621" width="15.5703125" style="47" bestFit="1" customWidth="1"/>
    <col min="15622" max="15622" width="18.7109375" style="47" customWidth="1"/>
    <col min="15623" max="15623" width="15" style="47" customWidth="1"/>
    <col min="15624" max="15624" width="18.5703125" style="47" customWidth="1"/>
    <col min="15625" max="15625" width="21.28515625" style="47" customWidth="1"/>
    <col min="15626" max="15626" width="16.140625" style="47" customWidth="1"/>
    <col min="15627" max="15627" width="13.28515625" style="47" customWidth="1"/>
    <col min="15628" max="15628" width="16.28515625" style="47" customWidth="1"/>
    <col min="15629" max="15629" width="18.7109375" style="47" customWidth="1"/>
    <col min="15630" max="15630" width="15.85546875" style="47" customWidth="1"/>
    <col min="15631" max="15631" width="10" style="47" bestFit="1" customWidth="1"/>
    <col min="15632" max="15632" width="13.140625" style="47" customWidth="1"/>
    <col min="15633" max="15634" width="16.42578125" style="47" customWidth="1"/>
    <col min="15635" max="15635" width="12.5703125" style="47" customWidth="1"/>
    <col min="15636" max="15835" width="9.140625" style="47"/>
    <col min="15836" max="15836" width="53.85546875" style="47" customWidth="1"/>
    <col min="15837" max="15837" width="18" style="47" bestFit="1" customWidth="1"/>
    <col min="15838" max="15838" width="23" style="47" customWidth="1"/>
    <col min="15839" max="15839" width="16.7109375" style="47" bestFit="1" customWidth="1"/>
    <col min="15840" max="15840" width="15.5703125" style="47" bestFit="1" customWidth="1"/>
    <col min="15841" max="15841" width="16.7109375" style="47" bestFit="1" customWidth="1"/>
    <col min="15842" max="15842" width="13.5703125" style="47" bestFit="1" customWidth="1"/>
    <col min="15843" max="15843" width="18.7109375" style="47" customWidth="1"/>
    <col min="15844" max="15844" width="15.5703125" style="47" bestFit="1" customWidth="1"/>
    <col min="15845" max="15845" width="16.140625" style="47" customWidth="1"/>
    <col min="15846" max="15846" width="13.28515625" style="47" customWidth="1"/>
    <col min="15847" max="15847" width="16.28515625" style="47" customWidth="1"/>
    <col min="15848" max="15848" width="15.5703125" style="47" customWidth="1"/>
    <col min="15849" max="15849" width="15.85546875" style="47" customWidth="1"/>
    <col min="15850" max="15851" width="10" style="47" bestFit="1" customWidth="1"/>
    <col min="15852" max="15852" width="9.140625" style="47"/>
    <col min="15853" max="15853" width="10.5703125" style="47" bestFit="1" customWidth="1"/>
    <col min="15854" max="15872" width="9.140625" style="47"/>
    <col min="15873" max="15873" width="53.85546875" style="47" customWidth="1"/>
    <col min="15874" max="15874" width="18" style="47" bestFit="1" customWidth="1"/>
    <col min="15875" max="15875" width="18" style="47" customWidth="1"/>
    <col min="15876" max="15876" width="16.7109375" style="47" bestFit="1" customWidth="1"/>
    <col min="15877" max="15877" width="15.5703125" style="47" bestFit="1" customWidth="1"/>
    <col min="15878" max="15878" width="18.7109375" style="47" customWidth="1"/>
    <col min="15879" max="15879" width="15" style="47" customWidth="1"/>
    <col min="15880" max="15880" width="18.5703125" style="47" customWidth="1"/>
    <col min="15881" max="15881" width="21.28515625" style="47" customWidth="1"/>
    <col min="15882" max="15882" width="16.140625" style="47" customWidth="1"/>
    <col min="15883" max="15883" width="13.28515625" style="47" customWidth="1"/>
    <col min="15884" max="15884" width="16.28515625" style="47" customWidth="1"/>
    <col min="15885" max="15885" width="18.7109375" style="47" customWidth="1"/>
    <col min="15886" max="15886" width="15.85546875" style="47" customWidth="1"/>
    <col min="15887" max="15887" width="10" style="47" bestFit="1" customWidth="1"/>
    <col min="15888" max="15888" width="13.140625" style="47" customWidth="1"/>
    <col min="15889" max="15890" width="16.42578125" style="47" customWidth="1"/>
    <col min="15891" max="15891" width="12.5703125" style="47" customWidth="1"/>
    <col min="15892" max="16091" width="9.140625" style="47"/>
    <col min="16092" max="16092" width="53.85546875" style="47" customWidth="1"/>
    <col min="16093" max="16093" width="18" style="47" bestFit="1" customWidth="1"/>
    <col min="16094" max="16094" width="23" style="47" customWidth="1"/>
    <col min="16095" max="16095" width="16.7109375" style="47" bestFit="1" customWidth="1"/>
    <col min="16096" max="16096" width="15.5703125" style="47" bestFit="1" customWidth="1"/>
    <col min="16097" max="16097" width="16.7109375" style="47" bestFit="1" customWidth="1"/>
    <col min="16098" max="16098" width="13.5703125" style="47" bestFit="1" customWidth="1"/>
    <col min="16099" max="16099" width="18.7109375" style="47" customWidth="1"/>
    <col min="16100" max="16100" width="15.5703125" style="47" bestFit="1" customWidth="1"/>
    <col min="16101" max="16101" width="16.140625" style="47" customWidth="1"/>
    <col min="16102" max="16102" width="13.28515625" style="47" customWidth="1"/>
    <col min="16103" max="16103" width="16.28515625" style="47" customWidth="1"/>
    <col min="16104" max="16104" width="15.5703125" style="47" customWidth="1"/>
    <col min="16105" max="16105" width="15.85546875" style="47" customWidth="1"/>
    <col min="16106" max="16107" width="10" style="47" bestFit="1" customWidth="1"/>
    <col min="16108" max="16108" width="9.140625" style="47"/>
    <col min="16109" max="16109" width="10.5703125" style="47" bestFit="1" customWidth="1"/>
    <col min="16110" max="16128" width="9.140625" style="47"/>
    <col min="16129" max="16129" width="53.85546875" style="47" customWidth="1"/>
    <col min="16130" max="16130" width="18" style="47" bestFit="1" customWidth="1"/>
    <col min="16131" max="16131" width="18" style="47" customWidth="1"/>
    <col min="16132" max="16132" width="16.7109375" style="47" bestFit="1" customWidth="1"/>
    <col min="16133" max="16133" width="15.5703125" style="47" bestFit="1" customWidth="1"/>
    <col min="16134" max="16134" width="18.7109375" style="47" customWidth="1"/>
    <col min="16135" max="16135" width="15" style="47" customWidth="1"/>
    <col min="16136" max="16136" width="18.5703125" style="47" customWidth="1"/>
    <col min="16137" max="16137" width="21.28515625" style="47" customWidth="1"/>
    <col min="16138" max="16138" width="16.140625" style="47" customWidth="1"/>
    <col min="16139" max="16139" width="13.28515625" style="47" customWidth="1"/>
    <col min="16140" max="16140" width="16.28515625" style="47" customWidth="1"/>
    <col min="16141" max="16141" width="18.7109375" style="47" customWidth="1"/>
    <col min="16142" max="16142" width="15.85546875" style="47" customWidth="1"/>
    <col min="16143" max="16143" width="10" style="47" bestFit="1" customWidth="1"/>
    <col min="16144" max="16144" width="13.140625" style="47" customWidth="1"/>
    <col min="16145" max="16146" width="16.42578125" style="47" customWidth="1"/>
    <col min="16147" max="16147" width="12.5703125" style="47" customWidth="1"/>
    <col min="16148" max="16347" width="9.140625" style="47"/>
    <col min="16348" max="16348" width="53.85546875" style="47" customWidth="1"/>
    <col min="16349" max="16349" width="18" style="47" bestFit="1" customWidth="1"/>
    <col min="16350" max="16350" width="23" style="47" customWidth="1"/>
    <col min="16351" max="16351" width="16.7109375" style="47" bestFit="1" customWidth="1"/>
    <col min="16352" max="16352" width="15.5703125" style="47" bestFit="1" customWidth="1"/>
    <col min="16353" max="16353" width="16.7109375" style="47" bestFit="1" customWidth="1"/>
    <col min="16354" max="16354" width="13.5703125" style="47" bestFit="1" customWidth="1"/>
    <col min="16355" max="16355" width="18.7109375" style="47" customWidth="1"/>
    <col min="16356" max="16356" width="15.5703125" style="47" bestFit="1" customWidth="1"/>
    <col min="16357" max="16357" width="16.140625" style="47" customWidth="1"/>
    <col min="16358" max="16358" width="13.28515625" style="47" customWidth="1"/>
    <col min="16359" max="16359" width="16.28515625" style="47" customWidth="1"/>
    <col min="16360" max="16360" width="15.5703125" style="47" customWidth="1"/>
    <col min="16361" max="16361" width="15.85546875" style="47" customWidth="1"/>
    <col min="16362" max="16363" width="10" style="47" bestFit="1" customWidth="1"/>
    <col min="16364" max="16364" width="9.140625" style="47"/>
    <col min="16365" max="16365" width="10.5703125" style="47" bestFit="1" customWidth="1"/>
    <col min="16366" max="16384" width="9.140625" style="47"/>
  </cols>
  <sheetData>
    <row r="1" spans="1:254" ht="20.25" x14ac:dyDescent="0.3">
      <c r="A1" s="164" t="s">
        <v>407</v>
      </c>
      <c r="B1" s="165"/>
      <c r="N1" s="165"/>
      <c r="O1" s="166"/>
    </row>
    <row r="2" spans="1:254" ht="18" x14ac:dyDescent="0.25">
      <c r="A2" s="167" t="s">
        <v>72</v>
      </c>
      <c r="C2" s="81"/>
      <c r="D2" s="81"/>
      <c r="E2" s="81"/>
      <c r="F2" s="81"/>
      <c r="G2" s="81"/>
      <c r="H2" s="81"/>
      <c r="I2" s="81"/>
      <c r="J2" s="81"/>
    </row>
    <row r="3" spans="1:254" ht="15" x14ac:dyDescent="0.25">
      <c r="A3" s="168" t="s">
        <v>73</v>
      </c>
      <c r="C3" s="81"/>
      <c r="D3" s="81"/>
      <c r="E3" s="81"/>
      <c r="I3" s="169"/>
    </row>
    <row r="4" spans="1:254" ht="13.5" thickBot="1" x14ac:dyDescent="0.25"/>
    <row r="5" spans="1:254" ht="15" customHeight="1" x14ac:dyDescent="0.25">
      <c r="A5" s="305"/>
      <c r="B5" s="615" t="s">
        <v>34</v>
      </c>
      <c r="C5" s="617" t="s">
        <v>74</v>
      </c>
      <c r="D5" s="618"/>
      <c r="E5" s="618"/>
      <c r="F5" s="618"/>
      <c r="G5" s="618"/>
      <c r="H5" s="618"/>
      <c r="I5" s="619"/>
      <c r="J5" s="620" t="s">
        <v>75</v>
      </c>
      <c r="K5" s="621"/>
      <c r="L5" s="622"/>
      <c r="M5" s="622"/>
      <c r="N5" s="622"/>
      <c r="O5" s="622"/>
      <c r="P5" s="622"/>
      <c r="Q5" s="623"/>
      <c r="R5" s="615" t="s">
        <v>33</v>
      </c>
      <c r="S5" s="615" t="s">
        <v>76</v>
      </c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P5" s="170"/>
      <c r="AQ5" s="170"/>
      <c r="AR5" s="170"/>
      <c r="AS5" s="170"/>
      <c r="AT5" s="170"/>
      <c r="AU5" s="170"/>
      <c r="AV5" s="170"/>
      <c r="AW5" s="170"/>
      <c r="AX5" s="170"/>
      <c r="AY5" s="170"/>
      <c r="AZ5" s="170"/>
      <c r="BA5" s="170"/>
      <c r="BB5" s="170"/>
      <c r="BC5" s="170"/>
      <c r="BD5" s="170"/>
      <c r="BE5" s="170"/>
      <c r="BF5" s="170"/>
      <c r="BG5" s="170"/>
      <c r="BH5" s="170"/>
      <c r="BI5" s="170"/>
      <c r="BJ5" s="170"/>
      <c r="BK5" s="170"/>
      <c r="BL5" s="170"/>
      <c r="BM5" s="170"/>
      <c r="BN5" s="170"/>
      <c r="BO5" s="170"/>
      <c r="BP5" s="170"/>
      <c r="BQ5" s="170"/>
      <c r="BR5" s="170"/>
      <c r="BS5" s="170"/>
      <c r="BT5" s="170"/>
      <c r="BU5" s="170"/>
      <c r="BV5" s="170"/>
      <c r="BW5" s="170"/>
      <c r="BX5" s="170"/>
      <c r="BY5" s="170"/>
      <c r="BZ5" s="170"/>
      <c r="CA5" s="170"/>
      <c r="CB5" s="170"/>
      <c r="CC5" s="170"/>
      <c r="CD5" s="170"/>
      <c r="CE5" s="170"/>
      <c r="CF5" s="170"/>
      <c r="CG5" s="170"/>
      <c r="CH5" s="170"/>
      <c r="CI5" s="170"/>
      <c r="CJ5" s="170"/>
      <c r="CK5" s="170"/>
      <c r="CL5" s="170"/>
      <c r="CM5" s="170"/>
      <c r="CN5" s="170"/>
      <c r="CO5" s="170"/>
      <c r="CP5" s="170"/>
      <c r="CQ5" s="170"/>
      <c r="CR5" s="170"/>
      <c r="CS5" s="170"/>
      <c r="CT5" s="170"/>
      <c r="CU5" s="170"/>
      <c r="CV5" s="170"/>
      <c r="CW5" s="170"/>
      <c r="CX5" s="170"/>
      <c r="CY5" s="170"/>
      <c r="CZ5" s="170"/>
      <c r="DA5" s="170"/>
      <c r="DB5" s="170"/>
      <c r="DC5" s="170"/>
      <c r="DD5" s="170"/>
      <c r="DE5" s="170"/>
      <c r="DF5" s="170"/>
      <c r="DG5" s="170"/>
      <c r="DH5" s="170"/>
      <c r="DI5" s="170"/>
      <c r="DJ5" s="170"/>
      <c r="DK5" s="170"/>
      <c r="DL5" s="170"/>
      <c r="DM5" s="170"/>
      <c r="DN5" s="170"/>
      <c r="DO5" s="170"/>
      <c r="DP5" s="170"/>
      <c r="DQ5" s="170"/>
      <c r="DR5" s="170"/>
      <c r="DS5" s="170"/>
      <c r="DT5" s="170"/>
      <c r="DU5" s="170"/>
      <c r="DV5" s="170"/>
      <c r="DW5" s="170"/>
      <c r="DX5" s="170"/>
      <c r="DY5" s="170"/>
      <c r="DZ5" s="170"/>
      <c r="EA5" s="170"/>
      <c r="EB5" s="170"/>
      <c r="EC5" s="170"/>
      <c r="ED5" s="170"/>
      <c r="EE5" s="170"/>
      <c r="EF5" s="170"/>
      <c r="EG5" s="170"/>
      <c r="EH5" s="170"/>
      <c r="EI5" s="170"/>
      <c r="EJ5" s="170"/>
      <c r="EK5" s="170"/>
      <c r="EL5" s="170"/>
      <c r="EM5" s="170"/>
      <c r="EN5" s="170"/>
      <c r="EO5" s="170"/>
      <c r="EP5" s="170"/>
      <c r="EQ5" s="170"/>
      <c r="ER5" s="170"/>
      <c r="ES5" s="170"/>
      <c r="ET5" s="170"/>
      <c r="EU5" s="170"/>
      <c r="EV5" s="170"/>
      <c r="EW5" s="170"/>
      <c r="EX5" s="170"/>
      <c r="EY5" s="170"/>
      <c r="EZ5" s="170"/>
      <c r="FA5" s="170"/>
      <c r="FB5" s="170"/>
      <c r="FC5" s="170"/>
      <c r="FD5" s="170"/>
      <c r="FE5" s="170"/>
      <c r="FF5" s="170"/>
      <c r="FG5" s="170"/>
      <c r="FH5" s="170"/>
      <c r="FI5" s="170"/>
      <c r="FJ5" s="170"/>
      <c r="FK5" s="170"/>
      <c r="FL5" s="170"/>
      <c r="FM5" s="170"/>
      <c r="FN5" s="170"/>
      <c r="FO5" s="170"/>
      <c r="FP5" s="170"/>
      <c r="FQ5" s="170"/>
      <c r="FR5" s="170"/>
      <c r="FS5" s="170"/>
      <c r="FT5" s="170"/>
      <c r="FU5" s="170"/>
      <c r="FV5" s="170"/>
      <c r="FW5" s="170"/>
      <c r="FX5" s="170"/>
      <c r="FY5" s="170"/>
      <c r="FZ5" s="170"/>
      <c r="GA5" s="170"/>
      <c r="GB5" s="170"/>
      <c r="GC5" s="170"/>
      <c r="GD5" s="170"/>
      <c r="GE5" s="170"/>
      <c r="GF5" s="170"/>
      <c r="GG5" s="170"/>
      <c r="GH5" s="170"/>
      <c r="GI5" s="170"/>
      <c r="GJ5" s="170"/>
      <c r="GK5" s="170"/>
      <c r="GL5" s="170"/>
      <c r="GM5" s="170"/>
      <c r="GN5" s="170"/>
      <c r="GO5" s="170"/>
      <c r="GP5" s="170"/>
      <c r="GQ5" s="170"/>
      <c r="GR5" s="170"/>
      <c r="GS5" s="170"/>
      <c r="GT5" s="170"/>
      <c r="GU5" s="170"/>
      <c r="GV5" s="170"/>
      <c r="GW5" s="170"/>
      <c r="GX5" s="170"/>
      <c r="GY5" s="170"/>
      <c r="GZ5" s="170"/>
      <c r="HA5" s="170"/>
      <c r="HB5" s="170"/>
      <c r="HC5" s="170"/>
      <c r="HD5" s="170"/>
      <c r="HE5" s="170"/>
      <c r="HF5" s="170"/>
      <c r="HG5" s="170"/>
      <c r="HH5" s="170"/>
      <c r="HI5" s="170"/>
      <c r="HJ5" s="170"/>
      <c r="HK5" s="170"/>
      <c r="HL5" s="170"/>
      <c r="HM5" s="170"/>
      <c r="HN5" s="170"/>
      <c r="HO5" s="170"/>
      <c r="HP5" s="170"/>
      <c r="HQ5" s="170"/>
      <c r="HR5" s="170"/>
      <c r="HS5" s="170"/>
      <c r="HT5" s="170"/>
      <c r="HU5" s="170"/>
      <c r="HV5" s="170"/>
      <c r="HW5" s="170"/>
      <c r="HX5" s="170"/>
      <c r="HY5" s="170"/>
      <c r="HZ5" s="170"/>
      <c r="IA5" s="170"/>
      <c r="IB5" s="170"/>
      <c r="IC5" s="170"/>
      <c r="ID5" s="170"/>
      <c r="IE5" s="170"/>
      <c r="IF5" s="170"/>
      <c r="IG5" s="170"/>
      <c r="IH5" s="170"/>
      <c r="II5" s="170"/>
      <c r="IJ5" s="170"/>
      <c r="IK5" s="170"/>
      <c r="IL5" s="170"/>
      <c r="IM5" s="170"/>
      <c r="IN5" s="170"/>
      <c r="IO5" s="170"/>
      <c r="IP5" s="170"/>
      <c r="IQ5" s="170"/>
      <c r="IR5" s="170"/>
      <c r="IS5" s="170"/>
      <c r="IT5" s="170"/>
    </row>
    <row r="6" spans="1:254" ht="15" customHeight="1" x14ac:dyDescent="0.25">
      <c r="A6" s="306"/>
      <c r="B6" s="616"/>
      <c r="C6" s="624" t="s">
        <v>77</v>
      </c>
      <c r="D6" s="625" t="s">
        <v>37</v>
      </c>
      <c r="E6" s="626"/>
      <c r="F6" s="626"/>
      <c r="G6" s="626"/>
      <c r="H6" s="626"/>
      <c r="I6" s="627"/>
      <c r="J6" s="628" t="s">
        <v>78</v>
      </c>
      <c r="K6" s="630" t="s">
        <v>37</v>
      </c>
      <c r="L6" s="625"/>
      <c r="M6" s="625"/>
      <c r="N6" s="625"/>
      <c r="O6" s="625"/>
      <c r="P6" s="625"/>
      <c r="Q6" s="631"/>
      <c r="R6" s="616"/>
      <c r="S6" s="616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0"/>
      <c r="AO6" s="170"/>
      <c r="AP6" s="170"/>
      <c r="AQ6" s="170"/>
      <c r="AR6" s="170"/>
      <c r="AS6" s="170"/>
      <c r="AT6" s="170"/>
      <c r="AU6" s="170"/>
      <c r="AV6" s="170"/>
      <c r="AW6" s="170"/>
      <c r="AX6" s="170"/>
      <c r="AY6" s="170"/>
      <c r="AZ6" s="170"/>
      <c r="BA6" s="170"/>
      <c r="BB6" s="170"/>
      <c r="BC6" s="170"/>
      <c r="BD6" s="170"/>
      <c r="BE6" s="170"/>
      <c r="BF6" s="170"/>
      <c r="BG6" s="170"/>
      <c r="BH6" s="170"/>
      <c r="BI6" s="170"/>
      <c r="BJ6" s="170"/>
      <c r="BK6" s="170"/>
      <c r="BL6" s="170"/>
      <c r="BM6" s="170"/>
      <c r="BN6" s="170"/>
      <c r="BO6" s="170"/>
      <c r="BP6" s="170"/>
      <c r="BQ6" s="170"/>
      <c r="BR6" s="170"/>
      <c r="BS6" s="170"/>
      <c r="BT6" s="170"/>
      <c r="BU6" s="170"/>
      <c r="BV6" s="170"/>
      <c r="BW6" s="170"/>
      <c r="BX6" s="170"/>
      <c r="BY6" s="170"/>
      <c r="BZ6" s="170"/>
      <c r="CA6" s="170"/>
      <c r="CB6" s="170"/>
      <c r="CC6" s="170"/>
      <c r="CD6" s="170"/>
      <c r="CE6" s="170"/>
      <c r="CF6" s="170"/>
      <c r="CG6" s="170"/>
      <c r="CH6" s="170"/>
      <c r="CI6" s="170"/>
      <c r="CJ6" s="170"/>
      <c r="CK6" s="170"/>
      <c r="CL6" s="170"/>
      <c r="CM6" s="170"/>
      <c r="CN6" s="170"/>
      <c r="CO6" s="170"/>
      <c r="CP6" s="170"/>
      <c r="CQ6" s="170"/>
      <c r="CR6" s="170"/>
      <c r="CS6" s="170"/>
      <c r="CT6" s="170"/>
      <c r="CU6" s="170"/>
      <c r="CV6" s="170"/>
      <c r="CW6" s="170"/>
      <c r="CX6" s="170"/>
      <c r="CY6" s="170"/>
      <c r="CZ6" s="170"/>
      <c r="DA6" s="170"/>
      <c r="DB6" s="170"/>
      <c r="DC6" s="170"/>
      <c r="DD6" s="170"/>
      <c r="DE6" s="170"/>
      <c r="DF6" s="170"/>
      <c r="DG6" s="170"/>
      <c r="DH6" s="170"/>
      <c r="DI6" s="170"/>
      <c r="DJ6" s="170"/>
      <c r="DK6" s="170"/>
      <c r="DL6" s="170"/>
      <c r="DM6" s="170"/>
      <c r="DN6" s="170"/>
      <c r="DO6" s="170"/>
      <c r="DP6" s="170"/>
      <c r="DQ6" s="170"/>
      <c r="DR6" s="170"/>
      <c r="DS6" s="170"/>
      <c r="DT6" s="170"/>
      <c r="DU6" s="170"/>
      <c r="DV6" s="170"/>
      <c r="DW6" s="170"/>
      <c r="DX6" s="170"/>
      <c r="DY6" s="170"/>
      <c r="DZ6" s="170"/>
      <c r="EA6" s="170"/>
      <c r="EB6" s="170"/>
      <c r="EC6" s="170"/>
      <c r="ED6" s="170"/>
      <c r="EE6" s="170"/>
      <c r="EF6" s="170"/>
      <c r="EG6" s="170"/>
      <c r="EH6" s="170"/>
      <c r="EI6" s="170"/>
      <c r="EJ6" s="170"/>
      <c r="EK6" s="170"/>
      <c r="EL6" s="170"/>
      <c r="EM6" s="170"/>
      <c r="EN6" s="170"/>
      <c r="EO6" s="170"/>
      <c r="EP6" s="170"/>
      <c r="EQ6" s="170"/>
      <c r="ER6" s="170"/>
      <c r="ES6" s="170"/>
      <c r="ET6" s="170"/>
      <c r="EU6" s="170"/>
      <c r="EV6" s="170"/>
      <c r="EW6" s="170"/>
      <c r="EX6" s="170"/>
      <c r="EY6" s="170"/>
      <c r="EZ6" s="170"/>
      <c r="FA6" s="170"/>
      <c r="FB6" s="170"/>
      <c r="FC6" s="170"/>
      <c r="FD6" s="170"/>
      <c r="FE6" s="170"/>
      <c r="FF6" s="170"/>
      <c r="FG6" s="170"/>
      <c r="FH6" s="170"/>
      <c r="FI6" s="170"/>
      <c r="FJ6" s="170"/>
      <c r="FK6" s="170"/>
      <c r="FL6" s="170"/>
      <c r="FM6" s="170"/>
      <c r="FN6" s="170"/>
      <c r="FO6" s="170"/>
      <c r="FP6" s="170"/>
      <c r="FQ6" s="170"/>
      <c r="FR6" s="170"/>
      <c r="FS6" s="170"/>
      <c r="FT6" s="170"/>
      <c r="FU6" s="170"/>
      <c r="FV6" s="170"/>
      <c r="FW6" s="170"/>
      <c r="FX6" s="170"/>
      <c r="FY6" s="170"/>
      <c r="FZ6" s="170"/>
      <c r="GA6" s="170"/>
      <c r="GB6" s="170"/>
      <c r="GC6" s="170"/>
      <c r="GD6" s="170"/>
      <c r="GE6" s="170"/>
      <c r="GF6" s="170"/>
      <c r="GG6" s="170"/>
      <c r="GH6" s="170"/>
      <c r="GI6" s="170"/>
      <c r="GJ6" s="170"/>
      <c r="GK6" s="170"/>
      <c r="GL6" s="170"/>
      <c r="GM6" s="170"/>
      <c r="GN6" s="170"/>
      <c r="GO6" s="170"/>
      <c r="GP6" s="170"/>
      <c r="GQ6" s="170"/>
      <c r="GR6" s="170"/>
      <c r="GS6" s="170"/>
      <c r="GT6" s="170"/>
      <c r="GU6" s="170"/>
      <c r="GV6" s="170"/>
      <c r="GW6" s="170"/>
      <c r="GX6" s="170"/>
      <c r="GY6" s="170"/>
      <c r="GZ6" s="170"/>
      <c r="HA6" s="170"/>
      <c r="HB6" s="170"/>
      <c r="HC6" s="170"/>
      <c r="HD6" s="170"/>
      <c r="HE6" s="170"/>
      <c r="HF6" s="170"/>
      <c r="HG6" s="170"/>
      <c r="HH6" s="170"/>
      <c r="HI6" s="170"/>
      <c r="HJ6" s="170"/>
      <c r="HK6" s="170"/>
      <c r="HL6" s="170"/>
      <c r="HM6" s="170"/>
      <c r="HN6" s="170"/>
      <c r="HO6" s="170"/>
      <c r="HP6" s="170"/>
      <c r="HQ6" s="170"/>
      <c r="HR6" s="170"/>
      <c r="HS6" s="170"/>
      <c r="HT6" s="170"/>
      <c r="HU6" s="170"/>
      <c r="HV6" s="170"/>
      <c r="HW6" s="170"/>
      <c r="HX6" s="170"/>
      <c r="HY6" s="170"/>
      <c r="HZ6" s="170"/>
      <c r="IA6" s="170"/>
      <c r="IB6" s="170"/>
      <c r="IC6" s="170"/>
      <c r="ID6" s="170"/>
      <c r="IE6" s="170"/>
      <c r="IF6" s="170"/>
      <c r="IG6" s="170"/>
      <c r="IH6" s="170"/>
      <c r="II6" s="170"/>
      <c r="IJ6" s="170"/>
      <c r="IK6" s="170"/>
      <c r="IL6" s="170"/>
      <c r="IM6" s="170"/>
      <c r="IN6" s="170"/>
      <c r="IO6" s="170"/>
      <c r="IP6" s="170"/>
      <c r="IQ6" s="170"/>
      <c r="IR6" s="170"/>
      <c r="IS6" s="170"/>
      <c r="IT6" s="170"/>
    </row>
    <row r="7" spans="1:254" ht="120" x14ac:dyDescent="0.25">
      <c r="A7" s="307" t="s">
        <v>79</v>
      </c>
      <c r="B7" s="616"/>
      <c r="C7" s="624"/>
      <c r="D7" s="359" t="s">
        <v>336</v>
      </c>
      <c r="E7" s="359" t="s">
        <v>337</v>
      </c>
      <c r="F7" s="359" t="s">
        <v>338</v>
      </c>
      <c r="G7" s="359" t="s">
        <v>339</v>
      </c>
      <c r="H7" s="359" t="s">
        <v>340</v>
      </c>
      <c r="I7" s="360" t="s">
        <v>341</v>
      </c>
      <c r="J7" s="629"/>
      <c r="K7" s="443" t="s">
        <v>80</v>
      </c>
      <c r="L7" s="359" t="s">
        <v>336</v>
      </c>
      <c r="M7" s="359" t="s">
        <v>337</v>
      </c>
      <c r="N7" s="359" t="s">
        <v>338</v>
      </c>
      <c r="O7" s="359" t="s">
        <v>339</v>
      </c>
      <c r="P7" s="359" t="s">
        <v>342</v>
      </c>
      <c r="Q7" s="444" t="s">
        <v>81</v>
      </c>
      <c r="R7" s="616"/>
      <c r="S7" s="616"/>
      <c r="T7" s="170"/>
      <c r="U7" s="170"/>
      <c r="V7" s="170"/>
      <c r="W7" s="170"/>
      <c r="X7" s="170"/>
      <c r="Y7" s="170"/>
      <c r="Z7" s="170"/>
      <c r="AA7" s="170"/>
      <c r="AB7" s="170"/>
      <c r="AC7" s="170"/>
      <c r="AD7" s="170"/>
      <c r="AE7" s="170"/>
      <c r="AF7" s="170"/>
      <c r="AG7" s="170"/>
      <c r="AH7" s="170"/>
      <c r="AI7" s="170"/>
      <c r="AJ7" s="170"/>
      <c r="AK7" s="170"/>
      <c r="AL7" s="170"/>
      <c r="AM7" s="170"/>
      <c r="AN7" s="170"/>
      <c r="AO7" s="170"/>
      <c r="AP7" s="170"/>
      <c r="AQ7" s="170"/>
      <c r="AR7" s="170"/>
      <c r="AS7" s="170"/>
      <c r="AT7" s="170"/>
      <c r="AU7" s="170"/>
      <c r="AV7" s="170"/>
      <c r="AW7" s="170"/>
      <c r="AX7" s="170"/>
      <c r="AY7" s="170"/>
      <c r="AZ7" s="170"/>
      <c r="BA7" s="170"/>
      <c r="BB7" s="170"/>
      <c r="BC7" s="170"/>
      <c r="BD7" s="170"/>
      <c r="BE7" s="170"/>
      <c r="BF7" s="170"/>
      <c r="BG7" s="170"/>
      <c r="BH7" s="170"/>
      <c r="BI7" s="170"/>
      <c r="BJ7" s="170"/>
      <c r="BK7" s="170"/>
      <c r="BL7" s="170"/>
      <c r="BM7" s="170"/>
      <c r="BN7" s="170"/>
      <c r="BO7" s="170"/>
      <c r="BP7" s="170"/>
      <c r="BQ7" s="170"/>
      <c r="BR7" s="170"/>
      <c r="BS7" s="170"/>
      <c r="BT7" s="170"/>
      <c r="BU7" s="170"/>
      <c r="BV7" s="170"/>
      <c r="BW7" s="170"/>
      <c r="BX7" s="170"/>
      <c r="BY7" s="170"/>
      <c r="BZ7" s="170"/>
      <c r="CA7" s="170"/>
      <c r="CB7" s="170"/>
      <c r="CC7" s="170"/>
      <c r="CD7" s="170"/>
      <c r="CE7" s="170"/>
      <c r="CF7" s="170"/>
      <c r="CG7" s="170"/>
      <c r="CH7" s="170"/>
      <c r="CI7" s="170"/>
      <c r="CJ7" s="170"/>
      <c r="CK7" s="170"/>
      <c r="CL7" s="170"/>
      <c r="CM7" s="170"/>
      <c r="CN7" s="170"/>
      <c r="CO7" s="170"/>
      <c r="CP7" s="170"/>
      <c r="CQ7" s="170"/>
      <c r="CR7" s="170"/>
      <c r="CS7" s="170"/>
      <c r="CT7" s="170"/>
      <c r="CU7" s="170"/>
      <c r="CV7" s="170"/>
      <c r="CW7" s="170"/>
      <c r="CX7" s="170"/>
      <c r="CY7" s="170"/>
      <c r="CZ7" s="170"/>
      <c r="DA7" s="170"/>
      <c r="DB7" s="170"/>
      <c r="DC7" s="170"/>
      <c r="DD7" s="170"/>
      <c r="DE7" s="170"/>
      <c r="DF7" s="170"/>
      <c r="DG7" s="170"/>
      <c r="DH7" s="170"/>
      <c r="DI7" s="170"/>
      <c r="DJ7" s="170"/>
      <c r="DK7" s="170"/>
      <c r="DL7" s="170"/>
      <c r="DM7" s="170"/>
      <c r="DN7" s="170"/>
      <c r="DO7" s="170"/>
      <c r="DP7" s="170"/>
      <c r="DQ7" s="170"/>
      <c r="DR7" s="170"/>
      <c r="DS7" s="170"/>
      <c r="DT7" s="170"/>
      <c r="DU7" s="170"/>
      <c r="DV7" s="170"/>
      <c r="DW7" s="170"/>
      <c r="DX7" s="170"/>
      <c r="DY7" s="170"/>
      <c r="DZ7" s="170"/>
      <c r="EA7" s="170"/>
      <c r="EB7" s="170"/>
      <c r="EC7" s="170"/>
      <c r="ED7" s="170"/>
      <c r="EE7" s="170"/>
      <c r="EF7" s="170"/>
      <c r="EG7" s="170"/>
      <c r="EH7" s="170"/>
      <c r="EI7" s="170"/>
      <c r="EJ7" s="170"/>
      <c r="EK7" s="170"/>
      <c r="EL7" s="170"/>
      <c r="EM7" s="170"/>
      <c r="EN7" s="170"/>
      <c r="EO7" s="170"/>
      <c r="EP7" s="170"/>
      <c r="EQ7" s="170"/>
      <c r="ER7" s="170"/>
      <c r="ES7" s="170"/>
      <c r="ET7" s="170"/>
      <c r="EU7" s="170"/>
      <c r="EV7" s="170"/>
      <c r="EW7" s="170"/>
      <c r="EX7" s="170"/>
      <c r="EY7" s="170"/>
      <c r="EZ7" s="170"/>
      <c r="FA7" s="170"/>
      <c r="FB7" s="170"/>
      <c r="FC7" s="170"/>
      <c r="FD7" s="170"/>
      <c r="FE7" s="170"/>
      <c r="FF7" s="170"/>
      <c r="FG7" s="170"/>
      <c r="FH7" s="170"/>
      <c r="FI7" s="170"/>
      <c r="FJ7" s="170"/>
      <c r="FK7" s="170"/>
      <c r="FL7" s="170"/>
      <c r="FM7" s="170"/>
      <c r="FN7" s="170"/>
      <c r="FO7" s="170"/>
      <c r="FP7" s="170"/>
      <c r="FQ7" s="170"/>
      <c r="FR7" s="170"/>
      <c r="FS7" s="170"/>
      <c r="FT7" s="170"/>
      <c r="FU7" s="170"/>
      <c r="FV7" s="170"/>
      <c r="FW7" s="170"/>
      <c r="FX7" s="170"/>
      <c r="FY7" s="170"/>
      <c r="FZ7" s="170"/>
      <c r="GA7" s="170"/>
      <c r="GB7" s="170"/>
      <c r="GC7" s="170"/>
      <c r="GD7" s="170"/>
      <c r="GE7" s="170"/>
      <c r="GF7" s="170"/>
      <c r="GG7" s="170"/>
      <c r="GH7" s="170"/>
      <c r="GI7" s="170"/>
      <c r="GJ7" s="170"/>
      <c r="GK7" s="170"/>
      <c r="GL7" s="170"/>
      <c r="GM7" s="170"/>
      <c r="GN7" s="170"/>
      <c r="GO7" s="170"/>
      <c r="GP7" s="170"/>
      <c r="GQ7" s="170"/>
      <c r="GR7" s="170"/>
      <c r="GS7" s="170"/>
      <c r="GT7" s="170"/>
      <c r="GU7" s="170"/>
      <c r="GV7" s="170"/>
      <c r="GW7" s="170"/>
      <c r="GX7" s="170"/>
      <c r="GY7" s="170"/>
      <c r="GZ7" s="170"/>
      <c r="HA7" s="170"/>
      <c r="HB7" s="170"/>
      <c r="HC7" s="170"/>
      <c r="HD7" s="170"/>
      <c r="HE7" s="170"/>
      <c r="HF7" s="170"/>
      <c r="HG7" s="170"/>
      <c r="HH7" s="170"/>
      <c r="HI7" s="170"/>
      <c r="HJ7" s="170"/>
      <c r="HK7" s="170"/>
      <c r="HL7" s="170"/>
      <c r="HM7" s="170"/>
      <c r="HN7" s="170"/>
      <c r="HO7" s="170"/>
      <c r="HP7" s="170"/>
      <c r="HQ7" s="170"/>
      <c r="HR7" s="170"/>
      <c r="HS7" s="170"/>
      <c r="HT7" s="170"/>
      <c r="HU7" s="170"/>
      <c r="HV7" s="170"/>
      <c r="HW7" s="170"/>
      <c r="HX7" s="170"/>
      <c r="HY7" s="170"/>
      <c r="HZ7" s="170"/>
      <c r="IA7" s="170"/>
      <c r="IB7" s="170"/>
      <c r="IC7" s="170"/>
      <c r="ID7" s="170"/>
      <c r="IE7" s="170"/>
      <c r="IF7" s="170"/>
      <c r="IG7" s="170"/>
      <c r="IH7" s="170"/>
      <c r="II7" s="170"/>
      <c r="IJ7" s="170"/>
      <c r="IK7" s="170"/>
      <c r="IL7" s="170"/>
      <c r="IM7" s="170"/>
      <c r="IN7" s="170"/>
      <c r="IO7" s="170"/>
      <c r="IP7" s="170"/>
      <c r="IQ7" s="170"/>
      <c r="IR7" s="170"/>
      <c r="IS7" s="170"/>
      <c r="IT7" s="170"/>
    </row>
    <row r="8" spans="1:254" ht="15.75" x14ac:dyDescent="0.25">
      <c r="A8" s="481" t="s">
        <v>82</v>
      </c>
      <c r="B8" s="482">
        <f t="shared" ref="B8:P8" si="0">B9+B10+B15+B20+B21+B24+B30</f>
        <v>226467000210</v>
      </c>
      <c r="C8" s="483">
        <f t="shared" si="0"/>
        <v>220060863942</v>
      </c>
      <c r="D8" s="484">
        <f t="shared" si="0"/>
        <v>110285947871</v>
      </c>
      <c r="E8" s="484">
        <f t="shared" si="0"/>
        <v>1216073483</v>
      </c>
      <c r="F8" s="484">
        <f t="shared" si="0"/>
        <v>37660594356</v>
      </c>
      <c r="G8" s="484">
        <f t="shared" si="0"/>
        <v>2205670847</v>
      </c>
      <c r="H8" s="484">
        <f t="shared" si="0"/>
        <v>67197523182</v>
      </c>
      <c r="I8" s="485">
        <f t="shared" si="0"/>
        <v>1495054203</v>
      </c>
      <c r="J8" s="483">
        <f t="shared" si="0"/>
        <v>6406136268</v>
      </c>
      <c r="K8" s="484">
        <f t="shared" si="0"/>
        <v>1002965196</v>
      </c>
      <c r="L8" s="484">
        <f t="shared" si="0"/>
        <v>20607057</v>
      </c>
      <c r="M8" s="484">
        <f t="shared" si="0"/>
        <v>13235638</v>
      </c>
      <c r="N8" s="484">
        <f t="shared" si="0"/>
        <v>8653735</v>
      </c>
      <c r="O8" s="484">
        <f t="shared" si="0"/>
        <v>412146</v>
      </c>
      <c r="P8" s="484">
        <f t="shared" si="0"/>
        <v>960056620</v>
      </c>
      <c r="Q8" s="485">
        <f>Q9+Q15+Q21+Q24+Q30+Q20</f>
        <v>5403171072</v>
      </c>
      <c r="R8" s="486">
        <f>R9+R10+R15+R20+R21+R24+R30</f>
        <v>12282724856</v>
      </c>
      <c r="S8" s="487">
        <f>S9+S10+S15+S20+S21+S24+S30</f>
        <v>255507.35</v>
      </c>
      <c r="T8" s="170"/>
      <c r="U8" s="170"/>
      <c r="V8" s="170"/>
      <c r="W8" s="170"/>
      <c r="X8" s="170"/>
      <c r="Y8" s="170"/>
      <c r="Z8" s="170"/>
      <c r="AA8" s="170"/>
      <c r="AB8" s="170"/>
      <c r="AC8" s="170"/>
      <c r="AD8" s="170"/>
      <c r="AE8" s="170"/>
      <c r="AF8" s="170"/>
      <c r="AG8" s="170"/>
      <c r="AH8" s="170"/>
      <c r="AI8" s="170"/>
      <c r="AJ8" s="170"/>
      <c r="AK8" s="170"/>
      <c r="AL8" s="170"/>
      <c r="AM8" s="170"/>
      <c r="AN8" s="170"/>
      <c r="AO8" s="170"/>
      <c r="AP8" s="170"/>
      <c r="AQ8" s="170"/>
      <c r="AR8" s="170"/>
      <c r="AS8" s="170"/>
      <c r="AT8" s="170"/>
      <c r="AU8" s="170"/>
      <c r="AV8" s="170"/>
      <c r="AW8" s="170"/>
      <c r="AX8" s="170"/>
      <c r="AY8" s="170"/>
      <c r="AZ8" s="170"/>
      <c r="BA8" s="170"/>
      <c r="BB8" s="170"/>
      <c r="BC8" s="170"/>
      <c r="BD8" s="170"/>
      <c r="BE8" s="170"/>
      <c r="BF8" s="170"/>
      <c r="BG8" s="170"/>
      <c r="BH8" s="170"/>
      <c r="BI8" s="170"/>
      <c r="BJ8" s="170"/>
      <c r="BK8" s="170"/>
      <c r="BL8" s="170"/>
      <c r="BM8" s="170"/>
      <c r="BN8" s="170"/>
      <c r="BO8" s="170"/>
      <c r="BP8" s="170"/>
      <c r="BQ8" s="170"/>
      <c r="BR8" s="170"/>
      <c r="BS8" s="170"/>
      <c r="BT8" s="170"/>
      <c r="BU8" s="170"/>
      <c r="BV8" s="170"/>
      <c r="BW8" s="170"/>
      <c r="BX8" s="170"/>
      <c r="BY8" s="170"/>
      <c r="BZ8" s="170"/>
      <c r="CA8" s="170"/>
      <c r="CB8" s="170"/>
      <c r="CC8" s="170"/>
      <c r="CD8" s="170"/>
      <c r="CE8" s="170"/>
      <c r="CF8" s="170"/>
      <c r="CG8" s="170"/>
      <c r="CH8" s="170"/>
      <c r="CI8" s="170"/>
      <c r="CJ8" s="170"/>
      <c r="CK8" s="170"/>
      <c r="CL8" s="170"/>
      <c r="CM8" s="170"/>
      <c r="CN8" s="170"/>
      <c r="CO8" s="170"/>
      <c r="CP8" s="170"/>
      <c r="CQ8" s="170"/>
      <c r="CR8" s="170"/>
      <c r="CS8" s="170"/>
      <c r="CT8" s="170"/>
      <c r="CU8" s="170"/>
      <c r="CV8" s="170"/>
      <c r="CW8" s="170"/>
      <c r="CX8" s="170"/>
      <c r="CY8" s="170"/>
      <c r="CZ8" s="170"/>
      <c r="DA8" s="170"/>
      <c r="DB8" s="170"/>
      <c r="DC8" s="170"/>
      <c r="DD8" s="170"/>
      <c r="DE8" s="170"/>
      <c r="DF8" s="170"/>
      <c r="DG8" s="170"/>
      <c r="DH8" s="170"/>
      <c r="DI8" s="170"/>
      <c r="DJ8" s="170"/>
      <c r="DK8" s="170"/>
      <c r="DL8" s="170"/>
      <c r="DM8" s="170"/>
      <c r="DN8" s="170"/>
      <c r="DO8" s="170"/>
      <c r="DP8" s="170"/>
      <c r="DQ8" s="170"/>
      <c r="DR8" s="170"/>
      <c r="DS8" s="170"/>
      <c r="DT8" s="170"/>
      <c r="DU8" s="170"/>
      <c r="DV8" s="170"/>
      <c r="DW8" s="170"/>
      <c r="DX8" s="170"/>
      <c r="DY8" s="170"/>
      <c r="DZ8" s="170"/>
      <c r="EA8" s="170"/>
      <c r="EB8" s="170"/>
      <c r="EC8" s="170"/>
      <c r="ED8" s="170"/>
      <c r="EE8" s="170"/>
      <c r="EF8" s="170"/>
      <c r="EG8" s="170"/>
      <c r="EH8" s="170"/>
      <c r="EI8" s="170"/>
      <c r="EJ8" s="170"/>
      <c r="EK8" s="170"/>
      <c r="EL8" s="170"/>
      <c r="EM8" s="170"/>
      <c r="EN8" s="170"/>
      <c r="EO8" s="170"/>
      <c r="EP8" s="170"/>
      <c r="EQ8" s="170"/>
      <c r="ER8" s="170"/>
      <c r="ES8" s="170"/>
      <c r="ET8" s="170"/>
      <c r="EU8" s="170"/>
      <c r="EV8" s="170"/>
      <c r="EW8" s="170"/>
      <c r="EX8" s="170"/>
      <c r="EY8" s="170"/>
      <c r="EZ8" s="170"/>
      <c r="FA8" s="170"/>
      <c r="FB8" s="170"/>
      <c r="FC8" s="170"/>
      <c r="FD8" s="170"/>
      <c r="FE8" s="170"/>
      <c r="FF8" s="170"/>
      <c r="FG8" s="170"/>
      <c r="FH8" s="170"/>
      <c r="FI8" s="170"/>
      <c r="FJ8" s="170"/>
      <c r="FK8" s="170"/>
      <c r="FL8" s="170"/>
      <c r="FM8" s="170"/>
      <c r="FN8" s="170"/>
      <c r="FO8" s="170"/>
      <c r="FP8" s="170"/>
      <c r="FQ8" s="170"/>
      <c r="FR8" s="170"/>
      <c r="FS8" s="170"/>
      <c r="FT8" s="170"/>
      <c r="FU8" s="170"/>
      <c r="FV8" s="170"/>
      <c r="FW8" s="170"/>
      <c r="FX8" s="170"/>
      <c r="FY8" s="170"/>
      <c r="FZ8" s="170"/>
      <c r="GA8" s="170"/>
      <c r="GB8" s="170"/>
      <c r="GC8" s="170"/>
      <c r="GD8" s="170"/>
      <c r="GE8" s="170"/>
      <c r="GF8" s="170"/>
      <c r="GG8" s="170"/>
      <c r="GH8" s="170"/>
      <c r="GI8" s="170"/>
      <c r="GJ8" s="170"/>
      <c r="GK8" s="170"/>
      <c r="GL8" s="170"/>
      <c r="GM8" s="170"/>
      <c r="GN8" s="170"/>
      <c r="GO8" s="170"/>
      <c r="GP8" s="170"/>
      <c r="GQ8" s="170"/>
      <c r="GR8" s="170"/>
      <c r="GS8" s="170"/>
      <c r="GT8" s="170"/>
      <c r="GU8" s="170"/>
      <c r="GV8" s="170"/>
      <c r="GW8" s="170"/>
      <c r="GX8" s="170"/>
      <c r="GY8" s="170"/>
      <c r="GZ8" s="170"/>
      <c r="HA8" s="170"/>
      <c r="HB8" s="170"/>
      <c r="HC8" s="170"/>
      <c r="HD8" s="170"/>
      <c r="HE8" s="170"/>
      <c r="HF8" s="170"/>
      <c r="HG8" s="170"/>
      <c r="HH8" s="170"/>
      <c r="HI8" s="170"/>
      <c r="HJ8" s="170"/>
      <c r="HK8" s="170"/>
      <c r="HL8" s="170"/>
      <c r="HM8" s="170"/>
      <c r="HN8" s="170"/>
      <c r="HO8" s="170"/>
      <c r="HP8" s="170"/>
      <c r="HQ8" s="170"/>
      <c r="HR8" s="170"/>
      <c r="HS8" s="170"/>
      <c r="HT8" s="170"/>
      <c r="HU8" s="170"/>
      <c r="HV8" s="170"/>
      <c r="HW8" s="170"/>
      <c r="HX8" s="170"/>
      <c r="HY8" s="170"/>
      <c r="HZ8" s="170"/>
      <c r="IA8" s="170"/>
      <c r="IB8" s="170"/>
      <c r="IC8" s="170"/>
      <c r="ID8" s="170"/>
      <c r="IE8" s="170"/>
      <c r="IF8" s="170"/>
      <c r="IG8" s="170"/>
      <c r="IH8" s="170"/>
      <c r="II8" s="170"/>
      <c r="IJ8" s="170"/>
      <c r="IK8" s="170"/>
      <c r="IL8" s="170"/>
      <c r="IM8" s="170"/>
      <c r="IN8" s="170"/>
      <c r="IO8" s="170"/>
      <c r="IP8" s="170"/>
      <c r="IQ8" s="170"/>
      <c r="IR8" s="170"/>
      <c r="IS8" s="170"/>
      <c r="IT8" s="170"/>
    </row>
    <row r="9" spans="1:254" ht="15.75" x14ac:dyDescent="0.25">
      <c r="A9" s="488" t="s">
        <v>0</v>
      </c>
      <c r="B9" s="489">
        <f>C9+J9</f>
        <v>27411676980</v>
      </c>
      <c r="C9" s="490">
        <f>SUM(D9:I9)</f>
        <v>25165682232</v>
      </c>
      <c r="D9" s="491">
        <v>0</v>
      </c>
      <c r="E9" s="491">
        <v>0</v>
      </c>
      <c r="F9" s="491">
        <v>0</v>
      </c>
      <c r="G9" s="491">
        <v>0</v>
      </c>
      <c r="H9" s="491">
        <v>24615682232</v>
      </c>
      <c r="I9" s="492">
        <v>550000000</v>
      </c>
      <c r="J9" s="490">
        <f>K9+Q9</f>
        <v>2245994748</v>
      </c>
      <c r="K9" s="491">
        <f>P9</f>
        <v>17574537</v>
      </c>
      <c r="L9" s="491"/>
      <c r="M9" s="491"/>
      <c r="N9" s="491"/>
      <c r="O9" s="491"/>
      <c r="P9" s="491">
        <v>17574537</v>
      </c>
      <c r="Q9" s="491">
        <v>2228420211</v>
      </c>
      <c r="R9" s="493"/>
      <c r="S9" s="494"/>
      <c r="T9" s="171"/>
      <c r="U9" s="171"/>
      <c r="V9" s="171"/>
      <c r="W9" s="171"/>
      <c r="X9" s="171"/>
      <c r="Y9" s="171"/>
      <c r="Z9" s="171"/>
      <c r="AA9" s="171"/>
      <c r="AB9" s="171"/>
      <c r="AC9" s="171"/>
      <c r="AD9" s="171"/>
      <c r="AE9" s="171"/>
      <c r="AF9" s="171"/>
      <c r="AG9" s="171"/>
      <c r="AH9" s="171"/>
      <c r="AI9" s="171"/>
      <c r="AJ9" s="171"/>
      <c r="AK9" s="171"/>
      <c r="AL9" s="171"/>
      <c r="AM9" s="171"/>
      <c r="AN9" s="171"/>
      <c r="AO9" s="171"/>
      <c r="AP9" s="171"/>
      <c r="AQ9" s="171"/>
      <c r="AR9" s="171"/>
      <c r="AS9" s="171"/>
      <c r="AT9" s="171"/>
      <c r="AU9" s="171"/>
      <c r="AV9" s="171"/>
      <c r="AW9" s="171"/>
      <c r="AX9" s="171"/>
      <c r="AY9" s="171"/>
      <c r="AZ9" s="171"/>
      <c r="BA9" s="171"/>
      <c r="BB9" s="171"/>
      <c r="BC9" s="171"/>
      <c r="BD9" s="171"/>
      <c r="BE9" s="171"/>
      <c r="BF9" s="171"/>
      <c r="BG9" s="171"/>
      <c r="BH9" s="171"/>
      <c r="BI9" s="171"/>
      <c r="BJ9" s="171"/>
      <c r="BK9" s="171"/>
      <c r="BL9" s="171"/>
      <c r="BM9" s="171"/>
      <c r="BN9" s="171"/>
      <c r="BO9" s="171"/>
      <c r="BP9" s="171"/>
      <c r="BQ9" s="171"/>
      <c r="BR9" s="171"/>
      <c r="BS9" s="171"/>
      <c r="BT9" s="171"/>
      <c r="BU9" s="171"/>
      <c r="BV9" s="171"/>
      <c r="BW9" s="171"/>
      <c r="BX9" s="171"/>
      <c r="BY9" s="171"/>
      <c r="BZ9" s="171"/>
      <c r="CA9" s="171"/>
      <c r="CB9" s="171"/>
      <c r="CC9" s="171"/>
      <c r="CD9" s="171"/>
      <c r="CE9" s="171"/>
      <c r="CF9" s="171"/>
      <c r="CG9" s="171"/>
      <c r="CH9" s="171"/>
      <c r="CI9" s="171"/>
      <c r="CJ9" s="171"/>
      <c r="CK9" s="171"/>
      <c r="CL9" s="171"/>
      <c r="CM9" s="171"/>
      <c r="CN9" s="171"/>
      <c r="CO9" s="171"/>
      <c r="CP9" s="171"/>
      <c r="CQ9" s="171"/>
      <c r="CR9" s="171"/>
      <c r="CS9" s="171"/>
      <c r="CT9" s="171"/>
      <c r="CU9" s="171"/>
      <c r="CV9" s="171"/>
      <c r="CW9" s="171"/>
      <c r="CX9" s="171"/>
      <c r="CY9" s="171"/>
      <c r="CZ9" s="171"/>
      <c r="DA9" s="171"/>
      <c r="DB9" s="171"/>
      <c r="DC9" s="171"/>
      <c r="DD9" s="171"/>
      <c r="DE9" s="171"/>
      <c r="DF9" s="171"/>
      <c r="DG9" s="171"/>
      <c r="DH9" s="171"/>
      <c r="DI9" s="171"/>
      <c r="DJ9" s="171"/>
      <c r="DK9" s="171"/>
      <c r="DL9" s="171"/>
      <c r="DM9" s="171"/>
      <c r="DN9" s="171"/>
      <c r="DO9" s="171"/>
      <c r="DP9" s="171"/>
      <c r="DQ9" s="171"/>
      <c r="DR9" s="171"/>
      <c r="DS9" s="171"/>
      <c r="DT9" s="171"/>
      <c r="DU9" s="171"/>
      <c r="DV9" s="171"/>
      <c r="DW9" s="171"/>
      <c r="DX9" s="171"/>
      <c r="DY9" s="171"/>
      <c r="DZ9" s="171"/>
      <c r="EA9" s="171"/>
      <c r="EB9" s="171"/>
      <c r="EC9" s="171"/>
      <c r="ED9" s="171"/>
      <c r="EE9" s="171"/>
      <c r="EF9" s="171"/>
      <c r="EG9" s="171"/>
      <c r="EH9" s="171"/>
      <c r="EI9" s="171"/>
      <c r="EJ9" s="171"/>
      <c r="EK9" s="171"/>
      <c r="EL9" s="171"/>
      <c r="EM9" s="171"/>
      <c r="EN9" s="171"/>
      <c r="EO9" s="171"/>
      <c r="EP9" s="171"/>
      <c r="EQ9" s="171"/>
      <c r="ER9" s="171"/>
      <c r="ES9" s="171"/>
      <c r="ET9" s="171"/>
      <c r="EU9" s="171"/>
      <c r="EV9" s="171"/>
      <c r="EW9" s="171"/>
      <c r="EX9" s="171"/>
      <c r="EY9" s="171"/>
      <c r="EZ9" s="171"/>
      <c r="FA9" s="171"/>
      <c r="FB9" s="171"/>
      <c r="FC9" s="171"/>
      <c r="FD9" s="171"/>
      <c r="FE9" s="171"/>
      <c r="FF9" s="171"/>
      <c r="FG9" s="171"/>
      <c r="FH9" s="171"/>
      <c r="FI9" s="171"/>
      <c r="FJ9" s="171"/>
      <c r="FK9" s="171"/>
      <c r="FL9" s="171"/>
      <c r="FM9" s="171"/>
      <c r="FN9" s="171"/>
      <c r="FO9" s="171"/>
      <c r="FP9" s="171"/>
      <c r="FQ9" s="171"/>
      <c r="FR9" s="171"/>
      <c r="FS9" s="171"/>
      <c r="FT9" s="171"/>
      <c r="FU9" s="171"/>
      <c r="FV9" s="171"/>
      <c r="FW9" s="171"/>
      <c r="FX9" s="171"/>
      <c r="FY9" s="171"/>
      <c r="FZ9" s="171"/>
      <c r="GA9" s="171"/>
      <c r="GB9" s="171"/>
      <c r="GC9" s="171"/>
      <c r="GD9" s="171"/>
      <c r="GE9" s="171"/>
      <c r="GF9" s="171"/>
      <c r="GG9" s="171"/>
      <c r="GH9" s="171"/>
      <c r="GI9" s="171"/>
      <c r="GJ9" s="171"/>
      <c r="GK9" s="171"/>
      <c r="GL9" s="171"/>
      <c r="GM9" s="171"/>
      <c r="GN9" s="171"/>
      <c r="GO9" s="171"/>
      <c r="GP9" s="171"/>
      <c r="GQ9" s="171"/>
      <c r="GR9" s="171"/>
      <c r="GS9" s="171"/>
      <c r="GT9" s="171"/>
      <c r="GU9" s="171"/>
      <c r="GV9" s="171"/>
      <c r="GW9" s="171"/>
      <c r="GX9" s="171"/>
      <c r="GY9" s="171"/>
      <c r="GZ9" s="171"/>
      <c r="HA9" s="171"/>
      <c r="HB9" s="171"/>
      <c r="HC9" s="171"/>
      <c r="HD9" s="171"/>
      <c r="HE9" s="171"/>
      <c r="HF9" s="171"/>
      <c r="HG9" s="171"/>
      <c r="HH9" s="171"/>
      <c r="HI9" s="171"/>
      <c r="HJ9" s="171"/>
      <c r="HK9" s="171"/>
      <c r="HL9" s="171"/>
      <c r="HM9" s="171"/>
      <c r="HN9" s="171"/>
      <c r="HO9" s="171"/>
      <c r="HP9" s="171"/>
      <c r="HQ9" s="171"/>
      <c r="HR9" s="171"/>
      <c r="HS9" s="171"/>
      <c r="HT9" s="171"/>
      <c r="HU9" s="171"/>
      <c r="HV9" s="171"/>
      <c r="HW9" s="171"/>
      <c r="HX9" s="171"/>
      <c r="HY9" s="171"/>
      <c r="HZ9" s="171"/>
      <c r="IA9" s="171"/>
      <c r="IB9" s="171"/>
      <c r="IC9" s="171"/>
      <c r="ID9" s="171"/>
      <c r="IE9" s="171"/>
      <c r="IF9" s="171"/>
      <c r="IG9" s="171"/>
      <c r="IH9" s="171"/>
      <c r="II9" s="171"/>
      <c r="IJ9" s="171"/>
      <c r="IK9" s="171"/>
      <c r="IL9" s="171"/>
      <c r="IM9" s="171"/>
      <c r="IN9" s="171"/>
      <c r="IO9" s="171"/>
      <c r="IP9" s="171"/>
      <c r="IQ9" s="171"/>
      <c r="IR9" s="171"/>
      <c r="IS9" s="171"/>
      <c r="IT9" s="171"/>
    </row>
    <row r="10" spans="1:254" ht="15" x14ac:dyDescent="0.25">
      <c r="A10" s="495" t="s">
        <v>83</v>
      </c>
      <c r="B10" s="493">
        <f t="shared" ref="B10:B40" si="1">C10+J10</f>
        <v>20958447944</v>
      </c>
      <c r="C10" s="496">
        <f t="shared" ref="C10:C40" si="2">SUM(D10:I10)</f>
        <v>20958447944</v>
      </c>
      <c r="D10" s="497">
        <f t="shared" ref="D10:I10" si="3">SUM(D11:D14)</f>
        <v>10800000</v>
      </c>
      <c r="E10" s="497">
        <f t="shared" si="3"/>
        <v>14182109</v>
      </c>
      <c r="F10" s="497">
        <f t="shared" si="3"/>
        <v>7762716</v>
      </c>
      <c r="G10" s="497">
        <f t="shared" si="3"/>
        <v>218434</v>
      </c>
      <c r="H10" s="497">
        <f t="shared" si="3"/>
        <v>20140639605</v>
      </c>
      <c r="I10" s="498">
        <f t="shared" si="3"/>
        <v>784845080</v>
      </c>
      <c r="J10" s="496"/>
      <c r="K10" s="497"/>
      <c r="L10" s="499"/>
      <c r="M10" s="499"/>
      <c r="N10" s="499"/>
      <c r="O10" s="499"/>
      <c r="P10" s="499"/>
      <c r="Q10" s="498"/>
      <c r="R10" s="493">
        <f>R11+R12+R14+R13</f>
        <v>6511470863</v>
      </c>
      <c r="S10" s="494">
        <f>S11+S12</f>
        <v>20</v>
      </c>
      <c r="T10" s="170"/>
      <c r="U10" s="170"/>
      <c r="V10" s="170"/>
      <c r="W10" s="170"/>
      <c r="X10" s="170"/>
      <c r="Y10" s="170"/>
      <c r="Z10" s="170"/>
      <c r="AA10" s="170"/>
      <c r="AB10" s="170"/>
      <c r="AC10" s="170"/>
      <c r="AD10" s="170"/>
      <c r="AE10" s="170"/>
      <c r="AF10" s="170"/>
      <c r="AG10" s="170"/>
      <c r="AH10" s="170"/>
      <c r="AI10" s="170"/>
      <c r="AJ10" s="170"/>
      <c r="AK10" s="170"/>
      <c r="AL10" s="170"/>
      <c r="AM10" s="170"/>
      <c r="AN10" s="170"/>
      <c r="AO10" s="170"/>
      <c r="AP10" s="170"/>
      <c r="AQ10" s="170"/>
      <c r="AR10" s="170"/>
      <c r="AS10" s="170"/>
      <c r="AT10" s="170"/>
      <c r="AU10" s="170"/>
      <c r="AV10" s="170"/>
      <c r="AW10" s="170"/>
      <c r="AX10" s="170"/>
      <c r="AY10" s="170"/>
      <c r="AZ10" s="170"/>
      <c r="BA10" s="170"/>
      <c r="BB10" s="170"/>
      <c r="BC10" s="170"/>
      <c r="BD10" s="170"/>
      <c r="BE10" s="170"/>
      <c r="BF10" s="170"/>
      <c r="BG10" s="170"/>
      <c r="BH10" s="170"/>
      <c r="BI10" s="170"/>
      <c r="BJ10" s="170"/>
      <c r="BK10" s="170"/>
      <c r="BL10" s="170"/>
      <c r="BM10" s="170"/>
      <c r="BN10" s="170"/>
      <c r="BO10" s="170"/>
      <c r="BP10" s="170"/>
      <c r="BQ10" s="170"/>
      <c r="BR10" s="170"/>
      <c r="BS10" s="170"/>
      <c r="BT10" s="170"/>
      <c r="BU10" s="170"/>
      <c r="BV10" s="170"/>
      <c r="BW10" s="170"/>
      <c r="BX10" s="170"/>
      <c r="BY10" s="170"/>
      <c r="BZ10" s="170"/>
      <c r="CA10" s="170"/>
      <c r="CB10" s="170"/>
      <c r="CC10" s="170"/>
      <c r="CD10" s="170"/>
      <c r="CE10" s="170"/>
      <c r="CF10" s="170"/>
      <c r="CG10" s="170"/>
      <c r="CH10" s="170"/>
      <c r="CI10" s="170"/>
      <c r="CJ10" s="170"/>
      <c r="CK10" s="170"/>
      <c r="CL10" s="170"/>
      <c r="CM10" s="170"/>
      <c r="CN10" s="170"/>
      <c r="CO10" s="170"/>
      <c r="CP10" s="170"/>
      <c r="CQ10" s="170"/>
      <c r="CR10" s="170"/>
      <c r="CS10" s="170"/>
      <c r="CT10" s="170"/>
      <c r="CU10" s="170"/>
      <c r="CV10" s="170"/>
      <c r="CW10" s="170"/>
      <c r="CX10" s="170"/>
      <c r="CY10" s="170"/>
      <c r="CZ10" s="170"/>
      <c r="DA10" s="170"/>
      <c r="DB10" s="170"/>
      <c r="DC10" s="170"/>
      <c r="DD10" s="170"/>
      <c r="DE10" s="170"/>
      <c r="DF10" s="170"/>
      <c r="DG10" s="170"/>
      <c r="DH10" s="170"/>
      <c r="DI10" s="170"/>
      <c r="DJ10" s="170"/>
      <c r="DK10" s="170"/>
      <c r="DL10" s="170"/>
      <c r="DM10" s="170"/>
      <c r="DN10" s="170"/>
      <c r="DO10" s="170"/>
      <c r="DP10" s="170"/>
      <c r="DQ10" s="170"/>
      <c r="DR10" s="170"/>
      <c r="DS10" s="170"/>
      <c r="DT10" s="170"/>
      <c r="DU10" s="170"/>
      <c r="DV10" s="170"/>
      <c r="DW10" s="170"/>
      <c r="DX10" s="170"/>
      <c r="DY10" s="170"/>
      <c r="DZ10" s="170"/>
      <c r="EA10" s="170"/>
      <c r="EB10" s="170"/>
      <c r="EC10" s="170"/>
      <c r="ED10" s="170"/>
      <c r="EE10" s="170"/>
      <c r="EF10" s="170"/>
      <c r="EG10" s="170"/>
      <c r="EH10" s="170"/>
      <c r="EI10" s="170"/>
      <c r="EJ10" s="170"/>
      <c r="EK10" s="170"/>
      <c r="EL10" s="170"/>
      <c r="EM10" s="170"/>
      <c r="EN10" s="170"/>
      <c r="EO10" s="170"/>
      <c r="EP10" s="170"/>
      <c r="EQ10" s="170"/>
      <c r="ER10" s="170"/>
      <c r="ES10" s="170"/>
      <c r="ET10" s="170"/>
      <c r="EU10" s="170"/>
      <c r="EV10" s="170"/>
      <c r="EW10" s="170"/>
      <c r="EX10" s="170"/>
      <c r="EY10" s="170"/>
      <c r="EZ10" s="170"/>
      <c r="FA10" s="170"/>
      <c r="FB10" s="170"/>
      <c r="FC10" s="170"/>
      <c r="FD10" s="170"/>
      <c r="FE10" s="170"/>
      <c r="FF10" s="170"/>
      <c r="FG10" s="170"/>
      <c r="FH10" s="170"/>
      <c r="FI10" s="170"/>
      <c r="FJ10" s="170"/>
      <c r="FK10" s="170"/>
      <c r="FL10" s="170"/>
      <c r="FM10" s="170"/>
      <c r="FN10" s="170"/>
      <c r="FO10" s="170"/>
      <c r="FP10" s="170"/>
      <c r="FQ10" s="170"/>
      <c r="FR10" s="170"/>
      <c r="FS10" s="170"/>
      <c r="FT10" s="170"/>
      <c r="FU10" s="170"/>
      <c r="FV10" s="170"/>
      <c r="FW10" s="170"/>
      <c r="FX10" s="170"/>
      <c r="FY10" s="170"/>
      <c r="FZ10" s="170"/>
      <c r="GA10" s="170"/>
      <c r="GB10" s="170"/>
      <c r="GC10" s="170"/>
      <c r="GD10" s="170"/>
      <c r="GE10" s="170"/>
      <c r="GF10" s="170"/>
      <c r="GG10" s="170"/>
      <c r="GH10" s="170"/>
      <c r="GI10" s="170"/>
      <c r="GJ10" s="170"/>
      <c r="GK10" s="170"/>
      <c r="GL10" s="170"/>
      <c r="GM10" s="170"/>
      <c r="GN10" s="170"/>
      <c r="GO10" s="170"/>
      <c r="GP10" s="170"/>
      <c r="GQ10" s="170"/>
      <c r="GR10" s="170"/>
      <c r="GS10" s="170"/>
      <c r="GT10" s="170"/>
      <c r="GU10" s="170"/>
      <c r="GV10" s="170"/>
      <c r="GW10" s="170"/>
      <c r="GX10" s="170"/>
      <c r="GY10" s="170"/>
      <c r="GZ10" s="170"/>
      <c r="HA10" s="170"/>
      <c r="HB10" s="170"/>
      <c r="HC10" s="170"/>
      <c r="HD10" s="170"/>
      <c r="HE10" s="170"/>
      <c r="HF10" s="170"/>
      <c r="HG10" s="170"/>
      <c r="HH10" s="170"/>
      <c r="HI10" s="170"/>
      <c r="HJ10" s="170"/>
      <c r="HK10" s="170"/>
      <c r="HL10" s="170"/>
      <c r="HM10" s="170"/>
      <c r="HN10" s="170"/>
      <c r="HO10" s="170"/>
      <c r="HP10" s="170"/>
      <c r="HQ10" s="170"/>
      <c r="HR10" s="170"/>
      <c r="HS10" s="170"/>
      <c r="HT10" s="170"/>
      <c r="HU10" s="170"/>
      <c r="HV10" s="170"/>
      <c r="HW10" s="170"/>
      <c r="HX10" s="170"/>
      <c r="HY10" s="170"/>
      <c r="HZ10" s="170"/>
      <c r="IA10" s="170"/>
      <c r="IB10" s="170"/>
      <c r="IC10" s="170"/>
      <c r="ID10" s="170"/>
      <c r="IE10" s="170"/>
      <c r="IF10" s="170"/>
      <c r="IG10" s="170"/>
      <c r="IH10" s="170"/>
      <c r="II10" s="170"/>
      <c r="IJ10" s="170"/>
      <c r="IK10" s="170"/>
      <c r="IL10" s="170"/>
      <c r="IM10" s="170"/>
      <c r="IN10" s="170"/>
      <c r="IO10" s="170"/>
      <c r="IP10" s="170"/>
      <c r="IQ10" s="170"/>
      <c r="IR10" s="170"/>
      <c r="IS10" s="170"/>
      <c r="IT10" s="170"/>
    </row>
    <row r="11" spans="1:254" ht="30" x14ac:dyDescent="0.25">
      <c r="A11" s="500" t="s">
        <v>561</v>
      </c>
      <c r="B11" s="501">
        <f t="shared" si="1"/>
        <v>13857427743</v>
      </c>
      <c r="C11" s="490">
        <f t="shared" si="2"/>
        <v>13857427743</v>
      </c>
      <c r="D11" s="491"/>
      <c r="E11" s="491">
        <v>10186540</v>
      </c>
      <c r="F11" s="491">
        <v>3431280</v>
      </c>
      <c r="G11" s="491"/>
      <c r="H11" s="502">
        <v>13537442843</v>
      </c>
      <c r="I11" s="492">
        <v>306367080</v>
      </c>
      <c r="J11" s="490"/>
      <c r="K11" s="491"/>
      <c r="L11" s="503"/>
      <c r="M11" s="503"/>
      <c r="N11" s="503"/>
      <c r="O11" s="503"/>
      <c r="P11" s="503"/>
      <c r="Q11" s="492"/>
      <c r="R11" s="501"/>
      <c r="S11" s="504"/>
      <c r="T11" s="170"/>
      <c r="U11" s="170"/>
      <c r="V11" s="170"/>
      <c r="W11" s="170"/>
      <c r="X11" s="170"/>
      <c r="Y11" s="170"/>
      <c r="Z11" s="170"/>
      <c r="AA11" s="170"/>
      <c r="AB11" s="170"/>
      <c r="AC11" s="170"/>
      <c r="AD11" s="170"/>
      <c r="AE11" s="170"/>
      <c r="AF11" s="170"/>
      <c r="AG11" s="170"/>
      <c r="AH11" s="170"/>
      <c r="AI11" s="170"/>
      <c r="AJ11" s="170"/>
      <c r="AK11" s="170"/>
      <c r="AL11" s="170"/>
      <c r="AM11" s="170"/>
      <c r="AN11" s="170"/>
      <c r="AO11" s="170"/>
      <c r="AP11" s="170"/>
      <c r="AQ11" s="170"/>
      <c r="AR11" s="170"/>
      <c r="AS11" s="170"/>
      <c r="AT11" s="170"/>
      <c r="AU11" s="170"/>
      <c r="AV11" s="170"/>
      <c r="AW11" s="170"/>
      <c r="AX11" s="170"/>
      <c r="AY11" s="170"/>
      <c r="AZ11" s="170"/>
      <c r="BA11" s="170"/>
      <c r="BB11" s="170"/>
      <c r="BC11" s="170"/>
      <c r="BD11" s="170"/>
      <c r="BE11" s="170"/>
      <c r="BF11" s="170"/>
      <c r="BG11" s="170"/>
      <c r="BH11" s="170"/>
      <c r="BI11" s="170"/>
      <c r="BJ11" s="170"/>
      <c r="BK11" s="170"/>
      <c r="BL11" s="170"/>
      <c r="BM11" s="170"/>
      <c r="BN11" s="170"/>
      <c r="BO11" s="170"/>
      <c r="BP11" s="170"/>
      <c r="BQ11" s="170"/>
      <c r="BR11" s="170"/>
      <c r="BS11" s="170"/>
      <c r="BT11" s="170"/>
      <c r="BU11" s="170"/>
      <c r="BV11" s="170"/>
      <c r="BW11" s="170"/>
      <c r="BX11" s="170"/>
      <c r="BY11" s="170"/>
      <c r="BZ11" s="170"/>
      <c r="CA11" s="170"/>
      <c r="CB11" s="170"/>
      <c r="CC11" s="170"/>
      <c r="CD11" s="170"/>
      <c r="CE11" s="170"/>
      <c r="CF11" s="170"/>
      <c r="CG11" s="170"/>
      <c r="CH11" s="170"/>
      <c r="CI11" s="170"/>
      <c r="CJ11" s="170"/>
      <c r="CK11" s="170"/>
      <c r="CL11" s="170"/>
      <c r="CM11" s="170"/>
      <c r="CN11" s="170"/>
      <c r="CO11" s="170"/>
      <c r="CP11" s="170"/>
      <c r="CQ11" s="170"/>
      <c r="CR11" s="170"/>
      <c r="CS11" s="170"/>
      <c r="CT11" s="170"/>
      <c r="CU11" s="170"/>
      <c r="CV11" s="170"/>
      <c r="CW11" s="170"/>
      <c r="CX11" s="170"/>
      <c r="CY11" s="170"/>
      <c r="CZ11" s="170"/>
      <c r="DA11" s="170"/>
      <c r="DB11" s="170"/>
      <c r="DC11" s="170"/>
      <c r="DD11" s="170"/>
      <c r="DE11" s="170"/>
      <c r="DF11" s="170"/>
      <c r="DG11" s="170"/>
      <c r="DH11" s="170"/>
      <c r="DI11" s="170"/>
      <c r="DJ11" s="170"/>
      <c r="DK11" s="170"/>
      <c r="DL11" s="170"/>
      <c r="DM11" s="170"/>
      <c r="DN11" s="170"/>
      <c r="DO11" s="170"/>
      <c r="DP11" s="170"/>
      <c r="DQ11" s="170"/>
      <c r="DR11" s="170"/>
      <c r="DS11" s="170"/>
      <c r="DT11" s="170"/>
      <c r="DU11" s="170"/>
      <c r="DV11" s="170"/>
      <c r="DW11" s="170"/>
      <c r="DX11" s="170"/>
      <c r="DY11" s="170"/>
      <c r="DZ11" s="170"/>
      <c r="EA11" s="170"/>
      <c r="EB11" s="170"/>
      <c r="EC11" s="170"/>
      <c r="ED11" s="170"/>
      <c r="EE11" s="170"/>
      <c r="EF11" s="170"/>
      <c r="EG11" s="170"/>
      <c r="EH11" s="170"/>
      <c r="EI11" s="170"/>
      <c r="EJ11" s="170"/>
      <c r="EK11" s="170"/>
      <c r="EL11" s="170"/>
      <c r="EM11" s="170"/>
      <c r="EN11" s="170"/>
      <c r="EO11" s="170"/>
      <c r="EP11" s="170"/>
      <c r="EQ11" s="170"/>
      <c r="ER11" s="170"/>
      <c r="ES11" s="170"/>
      <c r="ET11" s="170"/>
      <c r="EU11" s="170"/>
      <c r="EV11" s="170"/>
      <c r="EW11" s="170"/>
      <c r="EX11" s="170"/>
      <c r="EY11" s="170"/>
      <c r="EZ11" s="170"/>
      <c r="FA11" s="170"/>
      <c r="FB11" s="170"/>
      <c r="FC11" s="170"/>
      <c r="FD11" s="170"/>
      <c r="FE11" s="170"/>
      <c r="FF11" s="170"/>
      <c r="FG11" s="170"/>
      <c r="FH11" s="170"/>
      <c r="FI11" s="170"/>
      <c r="FJ11" s="170"/>
      <c r="FK11" s="170"/>
      <c r="FL11" s="170"/>
      <c r="FM11" s="170"/>
      <c r="FN11" s="170"/>
      <c r="FO11" s="170"/>
      <c r="FP11" s="170"/>
      <c r="FQ11" s="170"/>
      <c r="FR11" s="170"/>
      <c r="FS11" s="170"/>
      <c r="FT11" s="170"/>
      <c r="FU11" s="170"/>
      <c r="FV11" s="170"/>
      <c r="FW11" s="170"/>
      <c r="FX11" s="170"/>
      <c r="FY11" s="170"/>
      <c r="FZ11" s="170"/>
      <c r="GA11" s="170"/>
      <c r="GB11" s="170"/>
      <c r="GC11" s="170"/>
      <c r="GD11" s="170"/>
      <c r="GE11" s="170"/>
      <c r="GF11" s="170"/>
      <c r="GG11" s="170"/>
      <c r="GH11" s="170"/>
      <c r="GI11" s="170"/>
      <c r="GJ11" s="170"/>
      <c r="GK11" s="170"/>
      <c r="GL11" s="170"/>
      <c r="GM11" s="170"/>
      <c r="GN11" s="170"/>
      <c r="GO11" s="170"/>
      <c r="GP11" s="170"/>
      <c r="GQ11" s="170"/>
      <c r="GR11" s="170"/>
      <c r="GS11" s="170"/>
      <c r="GT11" s="170"/>
      <c r="GU11" s="170"/>
      <c r="GV11" s="170"/>
      <c r="GW11" s="170"/>
      <c r="GX11" s="170"/>
      <c r="GY11" s="170"/>
      <c r="GZ11" s="170"/>
      <c r="HA11" s="170"/>
      <c r="HB11" s="170"/>
      <c r="HC11" s="170"/>
      <c r="HD11" s="170"/>
      <c r="HE11" s="170"/>
      <c r="HF11" s="170"/>
      <c r="HG11" s="170"/>
      <c r="HH11" s="170"/>
      <c r="HI11" s="170"/>
      <c r="HJ11" s="170"/>
      <c r="HK11" s="170"/>
      <c r="HL11" s="170"/>
      <c r="HM11" s="170"/>
      <c r="HN11" s="170"/>
      <c r="HO11" s="170"/>
      <c r="HP11" s="170"/>
      <c r="HQ11" s="170"/>
      <c r="HR11" s="170"/>
      <c r="HS11" s="170"/>
      <c r="HT11" s="170"/>
      <c r="HU11" s="170"/>
      <c r="HV11" s="170"/>
      <c r="HW11" s="170"/>
      <c r="HX11" s="170"/>
      <c r="HY11" s="170"/>
      <c r="HZ11" s="170"/>
      <c r="IA11" s="170"/>
      <c r="IB11" s="170"/>
      <c r="IC11" s="170"/>
      <c r="ID11" s="170"/>
      <c r="IE11" s="170"/>
      <c r="IF11" s="170"/>
      <c r="IG11" s="170"/>
      <c r="IH11" s="170"/>
      <c r="II11" s="170"/>
      <c r="IJ11" s="170"/>
      <c r="IK11" s="170"/>
      <c r="IL11" s="170"/>
      <c r="IM11" s="170"/>
      <c r="IN11" s="170"/>
      <c r="IO11" s="170"/>
      <c r="IP11" s="170"/>
      <c r="IQ11" s="170"/>
      <c r="IR11" s="170"/>
      <c r="IS11" s="170"/>
      <c r="IT11" s="170"/>
    </row>
    <row r="12" spans="1:254" ht="15" x14ac:dyDescent="0.25">
      <c r="A12" s="500" t="s">
        <v>343</v>
      </c>
      <c r="B12" s="501">
        <f t="shared" si="1"/>
        <v>7051744338</v>
      </c>
      <c r="C12" s="490">
        <f t="shared" si="2"/>
        <v>7051744338</v>
      </c>
      <c r="D12" s="491">
        <f>3753739+7046261</f>
        <v>10800000</v>
      </c>
      <c r="E12" s="491">
        <f>2323410+1672159</f>
        <v>3995569</v>
      </c>
      <c r="F12" s="491">
        <v>4331436</v>
      </c>
      <c r="G12" s="491">
        <v>218434</v>
      </c>
      <c r="H12" s="491">
        <f>6553952899-32000</f>
        <v>6553920899</v>
      </c>
      <c r="I12" s="492">
        <v>478478000</v>
      </c>
      <c r="J12" s="490"/>
      <c r="K12" s="491"/>
      <c r="L12" s="503"/>
      <c r="M12" s="503"/>
      <c r="N12" s="503"/>
      <c r="O12" s="503"/>
      <c r="P12" s="503"/>
      <c r="Q12" s="492"/>
      <c r="R12" s="501">
        <v>6500000000</v>
      </c>
      <c r="S12" s="504">
        <v>20</v>
      </c>
      <c r="T12" s="172"/>
      <c r="U12" s="172"/>
      <c r="V12" s="172"/>
      <c r="W12" s="172"/>
      <c r="X12" s="172"/>
      <c r="Y12" s="172"/>
      <c r="Z12" s="172"/>
      <c r="AA12" s="172"/>
      <c r="AB12" s="172"/>
      <c r="AC12" s="172"/>
      <c r="AD12" s="172"/>
      <c r="AE12" s="172"/>
      <c r="AF12" s="172"/>
      <c r="AG12" s="172"/>
      <c r="AH12" s="172"/>
      <c r="AI12" s="172"/>
      <c r="AJ12" s="172"/>
      <c r="AK12" s="172"/>
      <c r="AL12" s="172"/>
      <c r="AM12" s="172"/>
      <c r="AN12" s="172"/>
      <c r="AO12" s="172"/>
      <c r="AP12" s="172"/>
      <c r="AQ12" s="172"/>
      <c r="AR12" s="172"/>
      <c r="AS12" s="172"/>
      <c r="AT12" s="172"/>
      <c r="AU12" s="172"/>
      <c r="AV12" s="172"/>
      <c r="AW12" s="172"/>
      <c r="AX12" s="172"/>
      <c r="AY12" s="172"/>
      <c r="AZ12" s="172"/>
      <c r="BA12" s="172"/>
      <c r="BB12" s="172"/>
      <c r="BC12" s="172"/>
      <c r="BD12" s="172"/>
      <c r="BE12" s="172"/>
      <c r="BF12" s="172"/>
      <c r="BG12" s="172"/>
      <c r="BH12" s="172"/>
      <c r="BI12" s="172"/>
      <c r="BJ12" s="172"/>
      <c r="BK12" s="172"/>
      <c r="BL12" s="172"/>
      <c r="BM12" s="172"/>
      <c r="BN12" s="172"/>
      <c r="BO12" s="172"/>
      <c r="BP12" s="172"/>
      <c r="BQ12" s="172"/>
      <c r="BR12" s="172"/>
      <c r="BS12" s="172"/>
      <c r="BT12" s="172"/>
      <c r="BU12" s="172"/>
      <c r="BV12" s="172"/>
      <c r="BW12" s="172"/>
      <c r="BX12" s="172"/>
      <c r="BY12" s="172"/>
      <c r="BZ12" s="172"/>
      <c r="CA12" s="172"/>
      <c r="CB12" s="172"/>
      <c r="CC12" s="172"/>
      <c r="CD12" s="172"/>
      <c r="CE12" s="172"/>
      <c r="CF12" s="172"/>
      <c r="CG12" s="172"/>
      <c r="CH12" s="172"/>
      <c r="CI12" s="172"/>
      <c r="CJ12" s="172"/>
      <c r="CK12" s="172"/>
      <c r="CL12" s="172"/>
      <c r="CM12" s="172"/>
      <c r="CN12" s="172"/>
      <c r="CO12" s="172"/>
      <c r="CP12" s="172"/>
      <c r="CQ12" s="172"/>
      <c r="CR12" s="172"/>
      <c r="CS12" s="172"/>
      <c r="CT12" s="172"/>
      <c r="CU12" s="172"/>
      <c r="CV12" s="172"/>
      <c r="CW12" s="172"/>
      <c r="CX12" s="172"/>
      <c r="CY12" s="172"/>
      <c r="CZ12" s="172"/>
      <c r="DA12" s="172"/>
      <c r="DB12" s="172"/>
      <c r="DC12" s="172"/>
      <c r="DD12" s="172"/>
      <c r="DE12" s="172"/>
      <c r="DF12" s="172"/>
      <c r="DG12" s="172"/>
      <c r="DH12" s="172"/>
      <c r="DI12" s="172"/>
      <c r="DJ12" s="172"/>
      <c r="DK12" s="172"/>
      <c r="DL12" s="172"/>
      <c r="DM12" s="172"/>
      <c r="DN12" s="172"/>
      <c r="DO12" s="172"/>
      <c r="DP12" s="172"/>
      <c r="DQ12" s="172"/>
      <c r="DR12" s="172"/>
      <c r="DS12" s="172"/>
      <c r="DT12" s="172"/>
      <c r="DU12" s="172"/>
      <c r="DV12" s="172"/>
      <c r="DW12" s="172"/>
      <c r="DX12" s="172"/>
      <c r="DY12" s="172"/>
      <c r="DZ12" s="172"/>
      <c r="EA12" s="172"/>
      <c r="EB12" s="172"/>
      <c r="EC12" s="172"/>
      <c r="ED12" s="172"/>
      <c r="EE12" s="172"/>
      <c r="EF12" s="172"/>
      <c r="EG12" s="172"/>
      <c r="EH12" s="172"/>
      <c r="EI12" s="172"/>
      <c r="EJ12" s="172"/>
      <c r="EK12" s="172"/>
      <c r="EL12" s="172"/>
      <c r="EM12" s="172"/>
      <c r="EN12" s="172"/>
      <c r="EO12" s="172"/>
      <c r="EP12" s="172"/>
      <c r="EQ12" s="172"/>
      <c r="ER12" s="172"/>
      <c r="ES12" s="172"/>
      <c r="ET12" s="172"/>
      <c r="EU12" s="172"/>
      <c r="EV12" s="172"/>
      <c r="EW12" s="172"/>
      <c r="EX12" s="172"/>
      <c r="EY12" s="172"/>
      <c r="EZ12" s="172"/>
      <c r="FA12" s="172"/>
      <c r="FB12" s="172"/>
      <c r="FC12" s="172"/>
      <c r="FD12" s="172"/>
      <c r="FE12" s="172"/>
      <c r="FF12" s="172"/>
      <c r="FG12" s="172"/>
      <c r="FH12" s="172"/>
      <c r="FI12" s="172"/>
      <c r="FJ12" s="172"/>
      <c r="FK12" s="172"/>
      <c r="FL12" s="172"/>
      <c r="FM12" s="172"/>
      <c r="FN12" s="172"/>
      <c r="FO12" s="172"/>
      <c r="FP12" s="172"/>
      <c r="FQ12" s="172"/>
      <c r="FR12" s="172"/>
      <c r="FS12" s="172"/>
      <c r="FT12" s="172"/>
      <c r="FU12" s="172"/>
      <c r="FV12" s="172"/>
      <c r="FW12" s="172"/>
      <c r="FX12" s="172"/>
      <c r="FY12" s="172"/>
      <c r="FZ12" s="172"/>
      <c r="GA12" s="172"/>
      <c r="GB12" s="172"/>
      <c r="GC12" s="172"/>
      <c r="GD12" s="172"/>
      <c r="GE12" s="172"/>
      <c r="GF12" s="172"/>
      <c r="GG12" s="172"/>
      <c r="GH12" s="172"/>
      <c r="GI12" s="172"/>
      <c r="GJ12" s="172"/>
      <c r="GK12" s="172"/>
      <c r="GL12" s="172"/>
      <c r="GM12" s="172"/>
      <c r="GN12" s="172"/>
      <c r="GO12" s="172"/>
      <c r="GP12" s="172"/>
      <c r="GQ12" s="172"/>
      <c r="GR12" s="172"/>
      <c r="GS12" s="172"/>
      <c r="GT12" s="172"/>
      <c r="GU12" s="172"/>
      <c r="GV12" s="172"/>
      <c r="GW12" s="172"/>
      <c r="GX12" s="172"/>
      <c r="GY12" s="172"/>
      <c r="GZ12" s="172"/>
      <c r="HA12" s="172"/>
      <c r="HB12" s="172"/>
      <c r="HC12" s="172"/>
      <c r="HD12" s="172"/>
      <c r="HE12" s="172"/>
      <c r="HF12" s="172"/>
      <c r="HG12" s="172"/>
      <c r="HH12" s="172"/>
      <c r="HI12" s="172"/>
      <c r="HJ12" s="172"/>
      <c r="HK12" s="172"/>
      <c r="HL12" s="172"/>
      <c r="HM12" s="172"/>
      <c r="HN12" s="172"/>
      <c r="HO12" s="172"/>
      <c r="HP12" s="172"/>
      <c r="HQ12" s="172"/>
      <c r="HR12" s="172"/>
      <c r="HS12" s="172"/>
      <c r="HT12" s="172"/>
      <c r="HU12" s="172"/>
      <c r="HV12" s="172"/>
      <c r="HW12" s="172"/>
      <c r="HX12" s="172"/>
      <c r="HY12" s="172"/>
      <c r="HZ12" s="172"/>
      <c r="IA12" s="172"/>
      <c r="IB12" s="172"/>
      <c r="IC12" s="172"/>
      <c r="ID12" s="172"/>
      <c r="IE12" s="172"/>
      <c r="IF12" s="172"/>
      <c r="IG12" s="172"/>
      <c r="IH12" s="172"/>
      <c r="II12" s="172"/>
      <c r="IJ12" s="172"/>
      <c r="IK12" s="172"/>
      <c r="IL12" s="172"/>
      <c r="IM12" s="172"/>
      <c r="IN12" s="172"/>
      <c r="IO12" s="172"/>
      <c r="IP12" s="172"/>
      <c r="IQ12" s="172"/>
      <c r="IR12" s="172"/>
      <c r="IS12" s="172"/>
      <c r="IT12" s="172"/>
    </row>
    <row r="13" spans="1:254" ht="15" x14ac:dyDescent="0.25">
      <c r="A13" s="500" t="s">
        <v>344</v>
      </c>
      <c r="B13" s="501">
        <f t="shared" si="1"/>
        <v>4275863</v>
      </c>
      <c r="C13" s="490">
        <f t="shared" si="2"/>
        <v>4275863</v>
      </c>
      <c r="D13" s="491"/>
      <c r="E13" s="491"/>
      <c r="F13" s="491"/>
      <c r="G13" s="491"/>
      <c r="H13" s="491">
        <v>4275863</v>
      </c>
      <c r="I13" s="492"/>
      <c r="J13" s="490"/>
      <c r="K13" s="491"/>
      <c r="L13" s="503"/>
      <c r="M13" s="503"/>
      <c r="N13" s="503"/>
      <c r="O13" s="503"/>
      <c r="P13" s="503"/>
      <c r="Q13" s="492"/>
      <c r="R13" s="501">
        <v>220863</v>
      </c>
      <c r="S13" s="504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2"/>
      <c r="AJ13" s="172"/>
      <c r="AK13" s="172"/>
      <c r="AL13" s="172"/>
      <c r="AM13" s="172"/>
      <c r="AN13" s="172"/>
      <c r="AO13" s="172"/>
      <c r="AP13" s="172"/>
      <c r="AQ13" s="172"/>
      <c r="AR13" s="172"/>
      <c r="AS13" s="172"/>
      <c r="AT13" s="172"/>
      <c r="AU13" s="172"/>
      <c r="AV13" s="172"/>
      <c r="AW13" s="172"/>
      <c r="AX13" s="172"/>
      <c r="AY13" s="172"/>
      <c r="AZ13" s="172"/>
      <c r="BA13" s="172"/>
      <c r="BB13" s="172"/>
      <c r="BC13" s="172"/>
      <c r="BD13" s="172"/>
      <c r="BE13" s="172"/>
      <c r="BF13" s="172"/>
      <c r="BG13" s="172"/>
      <c r="BH13" s="172"/>
      <c r="BI13" s="172"/>
      <c r="BJ13" s="172"/>
      <c r="BK13" s="172"/>
      <c r="BL13" s="172"/>
      <c r="BM13" s="172"/>
      <c r="BN13" s="172"/>
      <c r="BO13" s="172"/>
      <c r="BP13" s="172"/>
      <c r="BQ13" s="172"/>
      <c r="BR13" s="172"/>
      <c r="BS13" s="172"/>
      <c r="BT13" s="172"/>
      <c r="BU13" s="172"/>
      <c r="BV13" s="172"/>
      <c r="BW13" s="172"/>
      <c r="BX13" s="172"/>
      <c r="BY13" s="172"/>
      <c r="BZ13" s="172"/>
      <c r="CA13" s="172"/>
      <c r="CB13" s="172"/>
      <c r="CC13" s="172"/>
      <c r="CD13" s="172"/>
      <c r="CE13" s="172"/>
      <c r="CF13" s="172"/>
      <c r="CG13" s="172"/>
      <c r="CH13" s="172"/>
      <c r="CI13" s="172"/>
      <c r="CJ13" s="172"/>
      <c r="CK13" s="172"/>
      <c r="CL13" s="172"/>
      <c r="CM13" s="172"/>
      <c r="CN13" s="172"/>
      <c r="CO13" s="172"/>
      <c r="CP13" s="172"/>
      <c r="CQ13" s="172"/>
      <c r="CR13" s="172"/>
      <c r="CS13" s="172"/>
      <c r="CT13" s="172"/>
      <c r="CU13" s="172"/>
      <c r="CV13" s="172"/>
      <c r="CW13" s="172"/>
      <c r="CX13" s="172"/>
      <c r="CY13" s="172"/>
      <c r="CZ13" s="172"/>
      <c r="DA13" s="172"/>
      <c r="DB13" s="172"/>
      <c r="DC13" s="172"/>
      <c r="DD13" s="172"/>
      <c r="DE13" s="172"/>
      <c r="DF13" s="172"/>
      <c r="DG13" s="172"/>
      <c r="DH13" s="172"/>
      <c r="DI13" s="172"/>
      <c r="DJ13" s="172"/>
      <c r="DK13" s="172"/>
      <c r="DL13" s="172"/>
      <c r="DM13" s="172"/>
      <c r="DN13" s="172"/>
      <c r="DO13" s="172"/>
      <c r="DP13" s="172"/>
      <c r="DQ13" s="172"/>
      <c r="DR13" s="172"/>
      <c r="DS13" s="172"/>
      <c r="DT13" s="172"/>
      <c r="DU13" s="172"/>
      <c r="DV13" s="172"/>
      <c r="DW13" s="172"/>
      <c r="DX13" s="172"/>
      <c r="DY13" s="172"/>
      <c r="DZ13" s="172"/>
      <c r="EA13" s="172"/>
      <c r="EB13" s="172"/>
      <c r="EC13" s="172"/>
      <c r="ED13" s="172"/>
      <c r="EE13" s="172"/>
      <c r="EF13" s="172"/>
      <c r="EG13" s="172"/>
      <c r="EH13" s="172"/>
      <c r="EI13" s="172"/>
      <c r="EJ13" s="172"/>
      <c r="EK13" s="172"/>
      <c r="EL13" s="172"/>
      <c r="EM13" s="172"/>
      <c r="EN13" s="172"/>
      <c r="EO13" s="172"/>
      <c r="EP13" s="172"/>
      <c r="EQ13" s="172"/>
      <c r="ER13" s="172"/>
      <c r="ES13" s="172"/>
      <c r="ET13" s="172"/>
      <c r="EU13" s="172"/>
      <c r="EV13" s="172"/>
      <c r="EW13" s="172"/>
      <c r="EX13" s="172"/>
      <c r="EY13" s="172"/>
      <c r="EZ13" s="172"/>
      <c r="FA13" s="172"/>
      <c r="FB13" s="172"/>
      <c r="FC13" s="172"/>
      <c r="FD13" s="172"/>
      <c r="FE13" s="172"/>
      <c r="FF13" s="172"/>
      <c r="FG13" s="172"/>
      <c r="FH13" s="172"/>
      <c r="FI13" s="172"/>
      <c r="FJ13" s="172"/>
      <c r="FK13" s="172"/>
      <c r="FL13" s="172"/>
      <c r="FM13" s="172"/>
      <c r="FN13" s="172"/>
      <c r="FO13" s="172"/>
      <c r="FP13" s="172"/>
      <c r="FQ13" s="172"/>
      <c r="FR13" s="172"/>
      <c r="FS13" s="172"/>
      <c r="FT13" s="172"/>
      <c r="FU13" s="172"/>
      <c r="FV13" s="172"/>
      <c r="FW13" s="172"/>
      <c r="FX13" s="172"/>
      <c r="FY13" s="172"/>
      <c r="FZ13" s="172"/>
      <c r="GA13" s="172"/>
      <c r="GB13" s="172"/>
      <c r="GC13" s="172"/>
      <c r="GD13" s="172"/>
      <c r="GE13" s="172"/>
      <c r="GF13" s="172"/>
      <c r="GG13" s="172"/>
      <c r="GH13" s="172"/>
      <c r="GI13" s="172"/>
      <c r="GJ13" s="172"/>
      <c r="GK13" s="172"/>
      <c r="GL13" s="172"/>
      <c r="GM13" s="172"/>
      <c r="GN13" s="172"/>
      <c r="GO13" s="172"/>
      <c r="GP13" s="172"/>
      <c r="GQ13" s="172"/>
      <c r="GR13" s="172"/>
      <c r="GS13" s="172"/>
      <c r="GT13" s="172"/>
      <c r="GU13" s="172"/>
      <c r="GV13" s="172"/>
      <c r="GW13" s="172"/>
      <c r="GX13" s="172"/>
      <c r="GY13" s="172"/>
      <c r="GZ13" s="172"/>
      <c r="HA13" s="172"/>
      <c r="HB13" s="172"/>
      <c r="HC13" s="172"/>
      <c r="HD13" s="172"/>
      <c r="HE13" s="172"/>
      <c r="HF13" s="172"/>
      <c r="HG13" s="172"/>
      <c r="HH13" s="172"/>
      <c r="HI13" s="172"/>
      <c r="HJ13" s="172"/>
      <c r="HK13" s="172"/>
      <c r="HL13" s="172"/>
      <c r="HM13" s="172"/>
      <c r="HN13" s="172"/>
      <c r="HO13" s="172"/>
      <c r="HP13" s="172"/>
      <c r="HQ13" s="172"/>
      <c r="HR13" s="172"/>
      <c r="HS13" s="172"/>
      <c r="HT13" s="172"/>
      <c r="HU13" s="172"/>
      <c r="HV13" s="172"/>
      <c r="HW13" s="172"/>
      <c r="HX13" s="172"/>
      <c r="HY13" s="172"/>
      <c r="HZ13" s="172"/>
      <c r="IA13" s="172"/>
      <c r="IB13" s="172"/>
      <c r="IC13" s="172"/>
      <c r="ID13" s="172"/>
      <c r="IE13" s="172"/>
      <c r="IF13" s="172"/>
      <c r="IG13" s="172"/>
      <c r="IH13" s="172"/>
      <c r="II13" s="172"/>
      <c r="IJ13" s="172"/>
      <c r="IK13" s="172"/>
      <c r="IL13" s="172"/>
      <c r="IM13" s="172"/>
      <c r="IN13" s="172"/>
      <c r="IO13" s="172"/>
      <c r="IP13" s="172"/>
      <c r="IQ13" s="172"/>
      <c r="IR13" s="172"/>
      <c r="IS13" s="172"/>
      <c r="IT13" s="172"/>
    </row>
    <row r="14" spans="1:254" ht="15" x14ac:dyDescent="0.25">
      <c r="A14" s="500" t="s">
        <v>345</v>
      </c>
      <c r="B14" s="501">
        <f t="shared" si="1"/>
        <v>45000000</v>
      </c>
      <c r="C14" s="490">
        <f t="shared" si="2"/>
        <v>45000000</v>
      </c>
      <c r="D14" s="491"/>
      <c r="E14" s="491"/>
      <c r="F14" s="491"/>
      <c r="G14" s="491"/>
      <c r="H14" s="491">
        <v>45000000</v>
      </c>
      <c r="I14" s="492"/>
      <c r="J14" s="490"/>
      <c r="K14" s="491"/>
      <c r="L14" s="503"/>
      <c r="M14" s="503"/>
      <c r="N14" s="503"/>
      <c r="O14" s="503"/>
      <c r="P14" s="503"/>
      <c r="Q14" s="492"/>
      <c r="R14" s="501">
        <v>11250000</v>
      </c>
      <c r="S14" s="504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  <c r="AW14" s="172"/>
      <c r="AX14" s="172"/>
      <c r="AY14" s="172"/>
      <c r="AZ14" s="172"/>
      <c r="BA14" s="172"/>
      <c r="BB14" s="172"/>
      <c r="BC14" s="172"/>
      <c r="BD14" s="172"/>
      <c r="BE14" s="172"/>
      <c r="BF14" s="172"/>
      <c r="BG14" s="172"/>
      <c r="BH14" s="172"/>
      <c r="BI14" s="172"/>
      <c r="BJ14" s="172"/>
      <c r="BK14" s="172"/>
      <c r="BL14" s="172"/>
      <c r="BM14" s="172"/>
      <c r="BN14" s="172"/>
      <c r="BO14" s="172"/>
      <c r="BP14" s="172"/>
      <c r="BQ14" s="172"/>
      <c r="BR14" s="172"/>
      <c r="BS14" s="172"/>
      <c r="BT14" s="172"/>
      <c r="BU14" s="172"/>
      <c r="BV14" s="172"/>
      <c r="BW14" s="172"/>
      <c r="BX14" s="172"/>
      <c r="BY14" s="172"/>
      <c r="BZ14" s="172"/>
      <c r="CA14" s="172"/>
      <c r="CB14" s="172"/>
      <c r="CC14" s="172"/>
      <c r="CD14" s="172"/>
      <c r="CE14" s="172"/>
      <c r="CF14" s="172"/>
      <c r="CG14" s="172"/>
      <c r="CH14" s="172"/>
      <c r="CI14" s="172"/>
      <c r="CJ14" s="172"/>
      <c r="CK14" s="172"/>
      <c r="CL14" s="172"/>
      <c r="CM14" s="172"/>
      <c r="CN14" s="172"/>
      <c r="CO14" s="172"/>
      <c r="CP14" s="172"/>
      <c r="CQ14" s="172"/>
      <c r="CR14" s="172"/>
      <c r="CS14" s="172"/>
      <c r="CT14" s="172"/>
      <c r="CU14" s="172"/>
      <c r="CV14" s="172"/>
      <c r="CW14" s="172"/>
      <c r="CX14" s="172"/>
      <c r="CY14" s="172"/>
      <c r="CZ14" s="172"/>
      <c r="DA14" s="172"/>
      <c r="DB14" s="172"/>
      <c r="DC14" s="172"/>
      <c r="DD14" s="172"/>
      <c r="DE14" s="172"/>
      <c r="DF14" s="172"/>
      <c r="DG14" s="172"/>
      <c r="DH14" s="172"/>
      <c r="DI14" s="172"/>
      <c r="DJ14" s="172"/>
      <c r="DK14" s="172"/>
      <c r="DL14" s="172"/>
      <c r="DM14" s="172"/>
      <c r="DN14" s="172"/>
      <c r="DO14" s="172"/>
      <c r="DP14" s="172"/>
      <c r="DQ14" s="172"/>
      <c r="DR14" s="172"/>
      <c r="DS14" s="172"/>
      <c r="DT14" s="172"/>
      <c r="DU14" s="172"/>
      <c r="DV14" s="172"/>
      <c r="DW14" s="172"/>
      <c r="DX14" s="172"/>
      <c r="DY14" s="172"/>
      <c r="DZ14" s="172"/>
      <c r="EA14" s="172"/>
      <c r="EB14" s="172"/>
      <c r="EC14" s="172"/>
      <c r="ED14" s="172"/>
      <c r="EE14" s="172"/>
      <c r="EF14" s="172"/>
      <c r="EG14" s="172"/>
      <c r="EH14" s="172"/>
      <c r="EI14" s="172"/>
      <c r="EJ14" s="172"/>
      <c r="EK14" s="172"/>
      <c r="EL14" s="172"/>
      <c r="EM14" s="172"/>
      <c r="EN14" s="172"/>
      <c r="EO14" s="172"/>
      <c r="EP14" s="172"/>
      <c r="EQ14" s="172"/>
      <c r="ER14" s="172"/>
      <c r="ES14" s="172"/>
      <c r="ET14" s="172"/>
      <c r="EU14" s="172"/>
      <c r="EV14" s="172"/>
      <c r="EW14" s="172"/>
      <c r="EX14" s="172"/>
      <c r="EY14" s="172"/>
      <c r="EZ14" s="172"/>
      <c r="FA14" s="172"/>
      <c r="FB14" s="172"/>
      <c r="FC14" s="172"/>
      <c r="FD14" s="172"/>
      <c r="FE14" s="172"/>
      <c r="FF14" s="172"/>
      <c r="FG14" s="172"/>
      <c r="FH14" s="172"/>
      <c r="FI14" s="172"/>
      <c r="FJ14" s="172"/>
      <c r="FK14" s="172"/>
      <c r="FL14" s="172"/>
      <c r="FM14" s="172"/>
      <c r="FN14" s="172"/>
      <c r="FO14" s="172"/>
      <c r="FP14" s="172"/>
      <c r="FQ14" s="172"/>
      <c r="FR14" s="172"/>
      <c r="FS14" s="172"/>
      <c r="FT14" s="172"/>
      <c r="FU14" s="172"/>
      <c r="FV14" s="172"/>
      <c r="FW14" s="172"/>
      <c r="FX14" s="172"/>
      <c r="FY14" s="172"/>
      <c r="FZ14" s="172"/>
      <c r="GA14" s="172"/>
      <c r="GB14" s="172"/>
      <c r="GC14" s="172"/>
      <c r="GD14" s="172"/>
      <c r="GE14" s="172"/>
      <c r="GF14" s="172"/>
      <c r="GG14" s="172"/>
      <c r="GH14" s="172"/>
      <c r="GI14" s="172"/>
      <c r="GJ14" s="172"/>
      <c r="GK14" s="172"/>
      <c r="GL14" s="172"/>
      <c r="GM14" s="172"/>
      <c r="GN14" s="172"/>
      <c r="GO14" s="172"/>
      <c r="GP14" s="172"/>
      <c r="GQ14" s="172"/>
      <c r="GR14" s="172"/>
      <c r="GS14" s="172"/>
      <c r="GT14" s="172"/>
      <c r="GU14" s="172"/>
      <c r="GV14" s="172"/>
      <c r="GW14" s="172"/>
      <c r="GX14" s="172"/>
      <c r="GY14" s="172"/>
      <c r="GZ14" s="172"/>
      <c r="HA14" s="172"/>
      <c r="HB14" s="172"/>
      <c r="HC14" s="172"/>
      <c r="HD14" s="172"/>
      <c r="HE14" s="172"/>
      <c r="HF14" s="172"/>
      <c r="HG14" s="172"/>
      <c r="HH14" s="172"/>
      <c r="HI14" s="172"/>
      <c r="HJ14" s="172"/>
      <c r="HK14" s="172"/>
      <c r="HL14" s="172"/>
      <c r="HM14" s="172"/>
      <c r="HN14" s="172"/>
      <c r="HO14" s="172"/>
      <c r="HP14" s="172"/>
      <c r="HQ14" s="172"/>
      <c r="HR14" s="172"/>
      <c r="HS14" s="172"/>
      <c r="HT14" s="172"/>
      <c r="HU14" s="172"/>
      <c r="HV14" s="172"/>
      <c r="HW14" s="172"/>
      <c r="HX14" s="172"/>
      <c r="HY14" s="172"/>
      <c r="HZ14" s="172"/>
      <c r="IA14" s="172"/>
      <c r="IB14" s="172"/>
      <c r="IC14" s="172"/>
      <c r="ID14" s="172"/>
      <c r="IE14" s="172"/>
      <c r="IF14" s="172"/>
      <c r="IG14" s="172"/>
      <c r="IH14" s="172"/>
      <c r="II14" s="172"/>
      <c r="IJ14" s="172"/>
      <c r="IK14" s="172"/>
      <c r="IL14" s="172"/>
      <c r="IM14" s="172"/>
      <c r="IN14" s="172"/>
      <c r="IO14" s="172"/>
      <c r="IP14" s="172"/>
      <c r="IQ14" s="172"/>
      <c r="IR14" s="172"/>
      <c r="IS14" s="172"/>
      <c r="IT14" s="172"/>
    </row>
    <row r="15" spans="1:254" ht="15" x14ac:dyDescent="0.25">
      <c r="A15" s="495" t="s">
        <v>84</v>
      </c>
      <c r="B15" s="493">
        <f t="shared" si="1"/>
        <v>161482083817</v>
      </c>
      <c r="C15" s="496">
        <f t="shared" ref="C15:H15" si="4">SUM(C16:C19)</f>
        <v>160926683817</v>
      </c>
      <c r="D15" s="497">
        <f t="shared" si="4"/>
        <v>108974737510</v>
      </c>
      <c r="E15" s="497">
        <f t="shared" si="4"/>
        <v>902939150</v>
      </c>
      <c r="F15" s="497">
        <f t="shared" si="4"/>
        <v>37132102898</v>
      </c>
      <c r="G15" s="497">
        <f t="shared" si="4"/>
        <v>2179496196</v>
      </c>
      <c r="H15" s="497">
        <f t="shared" si="4"/>
        <v>11737408063</v>
      </c>
      <c r="I15" s="498"/>
      <c r="J15" s="496">
        <f>K15+Q15</f>
        <v>555400000</v>
      </c>
      <c r="K15" s="497">
        <f t="shared" ref="K15:P15" si="5">SUM(K16:K19)</f>
        <v>3582942</v>
      </c>
      <c r="L15" s="499">
        <f t="shared" si="5"/>
        <v>0</v>
      </c>
      <c r="M15" s="499">
        <f t="shared" si="5"/>
        <v>0</v>
      </c>
      <c r="N15" s="499">
        <f t="shared" si="5"/>
        <v>0</v>
      </c>
      <c r="O15" s="499">
        <f t="shared" si="5"/>
        <v>0</v>
      </c>
      <c r="P15" s="499">
        <f t="shared" si="5"/>
        <v>3582942</v>
      </c>
      <c r="Q15" s="498">
        <f>SUM(Q16:Q19)</f>
        <v>551817058</v>
      </c>
      <c r="R15" s="493"/>
      <c r="S15" s="494">
        <f>SUM(S16:S19)</f>
        <v>252938</v>
      </c>
      <c r="T15" s="170"/>
      <c r="U15" s="170"/>
      <c r="V15" s="170"/>
      <c r="W15" s="170"/>
      <c r="X15" s="170"/>
      <c r="Y15" s="170"/>
      <c r="Z15" s="170"/>
      <c r="AA15" s="170"/>
      <c r="AB15" s="170"/>
      <c r="AC15" s="170"/>
      <c r="AD15" s="170"/>
      <c r="AE15" s="170"/>
      <c r="AF15" s="170"/>
      <c r="AG15" s="170"/>
      <c r="AH15" s="170"/>
      <c r="AI15" s="170"/>
      <c r="AJ15" s="170"/>
      <c r="AK15" s="170"/>
      <c r="AL15" s="170"/>
      <c r="AM15" s="170"/>
      <c r="AN15" s="170"/>
      <c r="AO15" s="170"/>
      <c r="AP15" s="170"/>
      <c r="AQ15" s="170"/>
      <c r="AR15" s="170"/>
      <c r="AS15" s="170"/>
      <c r="AT15" s="170"/>
      <c r="AU15" s="170"/>
      <c r="AV15" s="170"/>
      <c r="AW15" s="170"/>
      <c r="AX15" s="170"/>
      <c r="AY15" s="170"/>
      <c r="AZ15" s="170"/>
      <c r="BA15" s="170"/>
      <c r="BB15" s="170"/>
      <c r="BC15" s="170"/>
      <c r="BD15" s="170"/>
      <c r="BE15" s="170"/>
      <c r="BF15" s="170"/>
      <c r="BG15" s="170"/>
      <c r="BH15" s="170"/>
      <c r="BI15" s="170"/>
      <c r="BJ15" s="170"/>
      <c r="BK15" s="170"/>
      <c r="BL15" s="170"/>
      <c r="BM15" s="170"/>
      <c r="BN15" s="170"/>
      <c r="BO15" s="170"/>
      <c r="BP15" s="170"/>
      <c r="BQ15" s="170"/>
      <c r="BR15" s="170"/>
      <c r="BS15" s="170"/>
      <c r="BT15" s="170"/>
      <c r="BU15" s="170"/>
      <c r="BV15" s="170"/>
      <c r="BW15" s="170"/>
      <c r="BX15" s="170"/>
      <c r="BY15" s="170"/>
      <c r="BZ15" s="170"/>
      <c r="CA15" s="170"/>
      <c r="CB15" s="170"/>
      <c r="CC15" s="170"/>
      <c r="CD15" s="170"/>
      <c r="CE15" s="170"/>
      <c r="CF15" s="170"/>
      <c r="CG15" s="170"/>
      <c r="CH15" s="170"/>
      <c r="CI15" s="170"/>
      <c r="CJ15" s="170"/>
      <c r="CK15" s="170"/>
      <c r="CL15" s="170"/>
      <c r="CM15" s="170"/>
      <c r="CN15" s="170"/>
      <c r="CO15" s="170"/>
      <c r="CP15" s="170"/>
      <c r="CQ15" s="170"/>
      <c r="CR15" s="170"/>
      <c r="CS15" s="170"/>
      <c r="CT15" s="170"/>
      <c r="CU15" s="170"/>
      <c r="CV15" s="170"/>
      <c r="CW15" s="170"/>
      <c r="CX15" s="170"/>
      <c r="CY15" s="170"/>
      <c r="CZ15" s="170"/>
      <c r="DA15" s="170"/>
      <c r="DB15" s="170"/>
      <c r="DC15" s="170"/>
      <c r="DD15" s="170"/>
      <c r="DE15" s="170"/>
      <c r="DF15" s="170"/>
      <c r="DG15" s="170"/>
      <c r="DH15" s="170"/>
      <c r="DI15" s="170"/>
      <c r="DJ15" s="170"/>
      <c r="DK15" s="170"/>
      <c r="DL15" s="170"/>
      <c r="DM15" s="170"/>
      <c r="DN15" s="170"/>
      <c r="DO15" s="170"/>
      <c r="DP15" s="170"/>
      <c r="DQ15" s="170"/>
      <c r="DR15" s="170"/>
      <c r="DS15" s="170"/>
      <c r="DT15" s="170"/>
      <c r="DU15" s="170"/>
      <c r="DV15" s="170"/>
      <c r="DW15" s="170"/>
      <c r="DX15" s="170"/>
      <c r="DY15" s="170"/>
      <c r="DZ15" s="170"/>
      <c r="EA15" s="170"/>
      <c r="EB15" s="170"/>
      <c r="EC15" s="170"/>
      <c r="ED15" s="170"/>
      <c r="EE15" s="170"/>
      <c r="EF15" s="170"/>
      <c r="EG15" s="170"/>
      <c r="EH15" s="170"/>
      <c r="EI15" s="170"/>
      <c r="EJ15" s="170"/>
      <c r="EK15" s="170"/>
      <c r="EL15" s="170"/>
      <c r="EM15" s="170"/>
      <c r="EN15" s="170"/>
      <c r="EO15" s="170"/>
      <c r="EP15" s="170"/>
      <c r="EQ15" s="170"/>
      <c r="ER15" s="170"/>
      <c r="ES15" s="170"/>
      <c r="ET15" s="170"/>
      <c r="EU15" s="170"/>
      <c r="EV15" s="170"/>
      <c r="EW15" s="170"/>
      <c r="EX15" s="170"/>
      <c r="EY15" s="170"/>
      <c r="EZ15" s="170"/>
      <c r="FA15" s="170"/>
      <c r="FB15" s="170"/>
      <c r="FC15" s="170"/>
      <c r="FD15" s="170"/>
      <c r="FE15" s="170"/>
      <c r="FF15" s="170"/>
      <c r="FG15" s="170"/>
      <c r="FH15" s="170"/>
      <c r="FI15" s="170"/>
      <c r="FJ15" s="170"/>
      <c r="FK15" s="170"/>
      <c r="FL15" s="170"/>
      <c r="FM15" s="170"/>
      <c r="FN15" s="170"/>
      <c r="FO15" s="170"/>
      <c r="FP15" s="170"/>
      <c r="FQ15" s="170"/>
      <c r="FR15" s="170"/>
      <c r="FS15" s="170"/>
      <c r="FT15" s="170"/>
      <c r="FU15" s="170"/>
      <c r="FV15" s="170"/>
      <c r="FW15" s="170"/>
      <c r="FX15" s="170"/>
      <c r="FY15" s="170"/>
      <c r="FZ15" s="170"/>
      <c r="GA15" s="170"/>
      <c r="GB15" s="170"/>
      <c r="GC15" s="170"/>
      <c r="GD15" s="170"/>
      <c r="GE15" s="170"/>
      <c r="GF15" s="170"/>
      <c r="GG15" s="170"/>
      <c r="GH15" s="170"/>
      <c r="GI15" s="170"/>
      <c r="GJ15" s="170"/>
      <c r="GK15" s="170"/>
      <c r="GL15" s="170"/>
      <c r="GM15" s="170"/>
      <c r="GN15" s="170"/>
      <c r="GO15" s="170"/>
      <c r="GP15" s="170"/>
      <c r="GQ15" s="170"/>
      <c r="GR15" s="170"/>
      <c r="GS15" s="170"/>
      <c r="GT15" s="170"/>
      <c r="GU15" s="170"/>
      <c r="GV15" s="170"/>
      <c r="GW15" s="170"/>
      <c r="GX15" s="170"/>
      <c r="GY15" s="170"/>
      <c r="GZ15" s="170"/>
      <c r="HA15" s="170"/>
      <c r="HB15" s="170"/>
      <c r="HC15" s="170"/>
      <c r="HD15" s="170"/>
      <c r="HE15" s="170"/>
      <c r="HF15" s="170"/>
      <c r="HG15" s="170"/>
      <c r="HH15" s="170"/>
      <c r="HI15" s="170"/>
      <c r="HJ15" s="170"/>
      <c r="HK15" s="170"/>
      <c r="HL15" s="170"/>
      <c r="HM15" s="170"/>
      <c r="HN15" s="170"/>
      <c r="HO15" s="170"/>
      <c r="HP15" s="170"/>
      <c r="HQ15" s="170"/>
      <c r="HR15" s="170"/>
      <c r="HS15" s="170"/>
      <c r="HT15" s="170"/>
      <c r="HU15" s="170"/>
      <c r="HV15" s="170"/>
      <c r="HW15" s="170"/>
      <c r="HX15" s="170"/>
      <c r="HY15" s="170"/>
      <c r="HZ15" s="170"/>
      <c r="IA15" s="170"/>
      <c r="IB15" s="170"/>
      <c r="IC15" s="170"/>
      <c r="ID15" s="170"/>
      <c r="IE15" s="170"/>
      <c r="IF15" s="170"/>
      <c r="IG15" s="170"/>
      <c r="IH15" s="170"/>
      <c r="II15" s="170"/>
      <c r="IJ15" s="170"/>
      <c r="IK15" s="170"/>
      <c r="IL15" s="170"/>
      <c r="IM15" s="170"/>
      <c r="IN15" s="170"/>
      <c r="IO15" s="170"/>
      <c r="IP15" s="170"/>
      <c r="IQ15" s="170"/>
      <c r="IR15" s="170"/>
      <c r="IS15" s="170"/>
      <c r="IT15" s="170"/>
    </row>
    <row r="16" spans="1:254" ht="15" x14ac:dyDescent="0.25">
      <c r="A16" s="505" t="s">
        <v>85</v>
      </c>
      <c r="B16" s="501">
        <f t="shared" si="1"/>
        <v>148893696580</v>
      </c>
      <c r="C16" s="490">
        <f t="shared" si="2"/>
        <v>148403296580</v>
      </c>
      <c r="D16" s="491">
        <v>106781876550</v>
      </c>
      <c r="E16" s="491">
        <v>885581454</v>
      </c>
      <c r="F16" s="491">
        <v>36381040147</v>
      </c>
      <c r="G16" s="491">
        <f>2135638975+199061414-3582942-195478472</f>
        <v>2135638975</v>
      </c>
      <c r="H16" s="491">
        <f>2023680982+195478472</f>
        <v>2219159454</v>
      </c>
      <c r="I16" s="492"/>
      <c r="J16" s="490">
        <f>K16+Q16</f>
        <v>490400000</v>
      </c>
      <c r="K16" s="491">
        <f>P16</f>
        <v>3582942</v>
      </c>
      <c r="L16" s="503"/>
      <c r="M16" s="503"/>
      <c r="N16" s="503"/>
      <c r="O16" s="503"/>
      <c r="P16" s="503">
        <v>3582942</v>
      </c>
      <c r="Q16" s="492">
        <f>476817058+10000000</f>
        <v>486817058</v>
      </c>
      <c r="R16" s="501"/>
      <c r="S16" s="504">
        <v>248481.5</v>
      </c>
      <c r="T16" s="172"/>
      <c r="U16" s="172"/>
      <c r="V16" s="172"/>
      <c r="W16" s="172"/>
      <c r="X16" s="172"/>
      <c r="Y16" s="172"/>
      <c r="Z16" s="172"/>
      <c r="AA16" s="172"/>
      <c r="AB16" s="172"/>
      <c r="AC16" s="172"/>
      <c r="AD16" s="172"/>
      <c r="AE16" s="172"/>
      <c r="AF16" s="172"/>
      <c r="AG16" s="172"/>
      <c r="AH16" s="172"/>
      <c r="AI16" s="172"/>
      <c r="AJ16" s="172"/>
      <c r="AK16" s="172"/>
      <c r="AL16" s="172"/>
      <c r="AM16" s="172"/>
      <c r="AN16" s="172"/>
      <c r="AO16" s="172"/>
      <c r="AP16" s="172"/>
      <c r="AQ16" s="172"/>
      <c r="AR16" s="172"/>
      <c r="AS16" s="172"/>
      <c r="AT16" s="172"/>
      <c r="AU16" s="172"/>
      <c r="AV16" s="172"/>
      <c r="AW16" s="172"/>
      <c r="AX16" s="172"/>
      <c r="AY16" s="172"/>
      <c r="AZ16" s="172"/>
      <c r="BA16" s="172"/>
      <c r="BB16" s="172"/>
      <c r="BC16" s="172"/>
      <c r="BD16" s="172"/>
      <c r="BE16" s="172"/>
      <c r="BF16" s="172"/>
      <c r="BG16" s="172"/>
      <c r="BH16" s="172"/>
      <c r="BI16" s="172"/>
      <c r="BJ16" s="172"/>
      <c r="BK16" s="172"/>
      <c r="BL16" s="172"/>
      <c r="BM16" s="172"/>
      <c r="BN16" s="172"/>
      <c r="BO16" s="172"/>
      <c r="BP16" s="172"/>
      <c r="BQ16" s="172"/>
      <c r="BR16" s="172"/>
      <c r="BS16" s="172"/>
      <c r="BT16" s="172"/>
      <c r="BU16" s="172"/>
      <c r="BV16" s="172"/>
      <c r="BW16" s="172"/>
      <c r="BX16" s="172"/>
      <c r="BY16" s="172"/>
      <c r="BZ16" s="172"/>
      <c r="CA16" s="172"/>
      <c r="CB16" s="172"/>
      <c r="CC16" s="172"/>
      <c r="CD16" s="172"/>
      <c r="CE16" s="172"/>
      <c r="CF16" s="172"/>
      <c r="CG16" s="172"/>
      <c r="CH16" s="172"/>
      <c r="CI16" s="172"/>
      <c r="CJ16" s="172"/>
      <c r="CK16" s="172"/>
      <c r="CL16" s="172"/>
      <c r="CM16" s="172"/>
      <c r="CN16" s="172"/>
      <c r="CO16" s="172"/>
      <c r="CP16" s="172"/>
      <c r="CQ16" s="172"/>
      <c r="CR16" s="172"/>
      <c r="CS16" s="172"/>
      <c r="CT16" s="172"/>
      <c r="CU16" s="172"/>
      <c r="CV16" s="172"/>
      <c r="CW16" s="172"/>
      <c r="CX16" s="172"/>
      <c r="CY16" s="172"/>
      <c r="CZ16" s="172"/>
      <c r="DA16" s="172"/>
      <c r="DB16" s="172"/>
      <c r="DC16" s="172"/>
      <c r="DD16" s="172"/>
      <c r="DE16" s="172"/>
      <c r="DF16" s="172"/>
      <c r="DG16" s="172"/>
      <c r="DH16" s="172"/>
      <c r="DI16" s="172"/>
      <c r="DJ16" s="172"/>
      <c r="DK16" s="172"/>
      <c r="DL16" s="172"/>
      <c r="DM16" s="172"/>
      <c r="DN16" s="172"/>
      <c r="DO16" s="172"/>
      <c r="DP16" s="172"/>
      <c r="DQ16" s="172"/>
      <c r="DR16" s="172"/>
      <c r="DS16" s="172"/>
      <c r="DT16" s="172"/>
      <c r="DU16" s="172"/>
      <c r="DV16" s="172"/>
      <c r="DW16" s="172"/>
      <c r="DX16" s="172"/>
      <c r="DY16" s="172"/>
      <c r="DZ16" s="172"/>
      <c r="EA16" s="172"/>
      <c r="EB16" s="172"/>
      <c r="EC16" s="172"/>
      <c r="ED16" s="172"/>
      <c r="EE16" s="172"/>
      <c r="EF16" s="172"/>
      <c r="EG16" s="172"/>
      <c r="EH16" s="172"/>
      <c r="EI16" s="172"/>
      <c r="EJ16" s="172"/>
      <c r="EK16" s="172"/>
      <c r="EL16" s="172"/>
      <c r="EM16" s="172"/>
      <c r="EN16" s="172"/>
      <c r="EO16" s="172"/>
      <c r="EP16" s="172"/>
      <c r="EQ16" s="172"/>
      <c r="ER16" s="172"/>
      <c r="ES16" s="172"/>
      <c r="ET16" s="172"/>
      <c r="EU16" s="172"/>
      <c r="EV16" s="172"/>
      <c r="EW16" s="172"/>
      <c r="EX16" s="172"/>
      <c r="EY16" s="172"/>
      <c r="EZ16" s="172"/>
      <c r="FA16" s="172"/>
      <c r="FB16" s="172"/>
      <c r="FC16" s="172"/>
      <c r="FD16" s="172"/>
      <c r="FE16" s="172"/>
      <c r="FF16" s="172"/>
      <c r="FG16" s="172"/>
      <c r="FH16" s="172"/>
      <c r="FI16" s="172"/>
      <c r="FJ16" s="172"/>
      <c r="FK16" s="172"/>
      <c r="FL16" s="172"/>
      <c r="FM16" s="172"/>
      <c r="FN16" s="172"/>
      <c r="FO16" s="172"/>
      <c r="FP16" s="172"/>
      <c r="FQ16" s="172"/>
      <c r="FR16" s="172"/>
      <c r="FS16" s="172"/>
      <c r="FT16" s="172"/>
      <c r="FU16" s="172"/>
      <c r="FV16" s="172"/>
      <c r="FW16" s="172"/>
      <c r="FX16" s="172"/>
      <c r="FY16" s="172"/>
      <c r="FZ16" s="172"/>
      <c r="GA16" s="172"/>
      <c r="GB16" s="172"/>
      <c r="GC16" s="172"/>
      <c r="GD16" s="172"/>
      <c r="GE16" s="172"/>
      <c r="GF16" s="172"/>
      <c r="GG16" s="172"/>
      <c r="GH16" s="172"/>
      <c r="GI16" s="172"/>
      <c r="GJ16" s="172"/>
      <c r="GK16" s="172"/>
      <c r="GL16" s="172"/>
      <c r="GM16" s="172"/>
      <c r="GN16" s="172"/>
      <c r="GO16" s="172"/>
      <c r="GP16" s="172"/>
      <c r="GQ16" s="172"/>
      <c r="GR16" s="172"/>
      <c r="GS16" s="172"/>
      <c r="GT16" s="172"/>
      <c r="GU16" s="172"/>
      <c r="GV16" s="172"/>
      <c r="GW16" s="172"/>
      <c r="GX16" s="172"/>
      <c r="GY16" s="172"/>
      <c r="GZ16" s="172"/>
      <c r="HA16" s="172"/>
      <c r="HB16" s="172"/>
      <c r="HC16" s="172"/>
      <c r="HD16" s="172"/>
      <c r="HE16" s="172"/>
      <c r="HF16" s="172"/>
      <c r="HG16" s="172"/>
      <c r="HH16" s="172"/>
      <c r="HI16" s="172"/>
      <c r="HJ16" s="172"/>
      <c r="HK16" s="172"/>
      <c r="HL16" s="172"/>
      <c r="HM16" s="172"/>
      <c r="HN16" s="172"/>
      <c r="HO16" s="172"/>
      <c r="HP16" s="172"/>
      <c r="HQ16" s="172"/>
      <c r="HR16" s="172"/>
      <c r="HS16" s="172"/>
      <c r="HT16" s="172"/>
      <c r="HU16" s="172"/>
      <c r="HV16" s="172"/>
      <c r="HW16" s="172"/>
      <c r="HX16" s="172"/>
      <c r="HY16" s="172"/>
      <c r="HZ16" s="172"/>
      <c r="IA16" s="172"/>
      <c r="IB16" s="172"/>
      <c r="IC16" s="172"/>
      <c r="ID16" s="172"/>
      <c r="IE16" s="172"/>
      <c r="IF16" s="172"/>
      <c r="IG16" s="172"/>
      <c r="IH16" s="172"/>
      <c r="II16" s="172"/>
      <c r="IJ16" s="172"/>
      <c r="IK16" s="172"/>
      <c r="IL16" s="172"/>
      <c r="IM16" s="172"/>
      <c r="IN16" s="172"/>
      <c r="IO16" s="172"/>
      <c r="IP16" s="172"/>
      <c r="IQ16" s="172"/>
      <c r="IR16" s="172"/>
      <c r="IS16" s="172"/>
      <c r="IT16" s="172"/>
    </row>
    <row r="17" spans="1:254" ht="15" x14ac:dyDescent="0.25">
      <c r="A17" s="505" t="s">
        <v>86</v>
      </c>
      <c r="B17" s="501">
        <f t="shared" si="1"/>
        <v>7252957500</v>
      </c>
      <c r="C17" s="490">
        <f t="shared" si="2"/>
        <v>7252957500</v>
      </c>
      <c r="D17" s="491"/>
      <c r="E17" s="491"/>
      <c r="F17" s="491"/>
      <c r="G17" s="491"/>
      <c r="H17" s="491">
        <v>7252957500</v>
      </c>
      <c r="I17" s="492"/>
      <c r="J17" s="490"/>
      <c r="K17" s="491"/>
      <c r="L17" s="503"/>
      <c r="M17" s="503"/>
      <c r="N17" s="503"/>
      <c r="O17" s="503"/>
      <c r="P17" s="503"/>
      <c r="Q17" s="492"/>
      <c r="R17" s="501"/>
      <c r="S17" s="504">
        <v>0</v>
      </c>
      <c r="T17" s="172"/>
      <c r="U17" s="172"/>
      <c r="V17" s="172"/>
      <c r="W17" s="172"/>
      <c r="X17" s="172"/>
      <c r="Y17" s="172"/>
      <c r="Z17" s="172"/>
      <c r="AA17" s="172"/>
      <c r="AB17" s="172"/>
      <c r="AC17" s="172"/>
      <c r="AD17" s="172"/>
      <c r="AE17" s="172"/>
      <c r="AF17" s="172"/>
      <c r="AG17" s="172"/>
      <c r="AH17" s="172"/>
      <c r="AI17" s="172"/>
      <c r="AJ17" s="172"/>
      <c r="AK17" s="172"/>
      <c r="AL17" s="172"/>
      <c r="AM17" s="172"/>
      <c r="AN17" s="172"/>
      <c r="AO17" s="172"/>
      <c r="AP17" s="172"/>
      <c r="AQ17" s="172"/>
      <c r="AR17" s="172"/>
      <c r="AS17" s="172"/>
      <c r="AT17" s="172"/>
      <c r="AU17" s="172"/>
      <c r="AV17" s="172"/>
      <c r="AW17" s="172"/>
      <c r="AX17" s="172"/>
      <c r="AY17" s="172"/>
      <c r="AZ17" s="172"/>
      <c r="BA17" s="172"/>
      <c r="BB17" s="172"/>
      <c r="BC17" s="172"/>
      <c r="BD17" s="172"/>
      <c r="BE17" s="172"/>
      <c r="BF17" s="172"/>
      <c r="BG17" s="172"/>
      <c r="BH17" s="172"/>
      <c r="BI17" s="172"/>
      <c r="BJ17" s="172"/>
      <c r="BK17" s="172"/>
      <c r="BL17" s="172"/>
      <c r="BM17" s="172"/>
      <c r="BN17" s="172"/>
      <c r="BO17" s="172"/>
      <c r="BP17" s="172"/>
      <c r="BQ17" s="172"/>
      <c r="BR17" s="172"/>
      <c r="BS17" s="172"/>
      <c r="BT17" s="172"/>
      <c r="BU17" s="172"/>
      <c r="BV17" s="172"/>
      <c r="BW17" s="172"/>
      <c r="BX17" s="172"/>
      <c r="BY17" s="172"/>
      <c r="BZ17" s="172"/>
      <c r="CA17" s="172"/>
      <c r="CB17" s="172"/>
      <c r="CC17" s="172"/>
      <c r="CD17" s="172"/>
      <c r="CE17" s="172"/>
      <c r="CF17" s="172"/>
      <c r="CG17" s="172"/>
      <c r="CH17" s="172"/>
      <c r="CI17" s="172"/>
      <c r="CJ17" s="172"/>
      <c r="CK17" s="172"/>
      <c r="CL17" s="172"/>
      <c r="CM17" s="172"/>
      <c r="CN17" s="172"/>
      <c r="CO17" s="172"/>
      <c r="CP17" s="172"/>
      <c r="CQ17" s="172"/>
      <c r="CR17" s="172"/>
      <c r="CS17" s="172"/>
      <c r="CT17" s="172"/>
      <c r="CU17" s="172"/>
      <c r="CV17" s="172"/>
      <c r="CW17" s="172"/>
      <c r="CX17" s="172"/>
      <c r="CY17" s="172"/>
      <c r="CZ17" s="172"/>
      <c r="DA17" s="172"/>
      <c r="DB17" s="172"/>
      <c r="DC17" s="172"/>
      <c r="DD17" s="172"/>
      <c r="DE17" s="172"/>
      <c r="DF17" s="172"/>
      <c r="DG17" s="172"/>
      <c r="DH17" s="172"/>
      <c r="DI17" s="172"/>
      <c r="DJ17" s="172"/>
      <c r="DK17" s="172"/>
      <c r="DL17" s="172"/>
      <c r="DM17" s="172"/>
      <c r="DN17" s="172"/>
      <c r="DO17" s="172"/>
      <c r="DP17" s="172"/>
      <c r="DQ17" s="172"/>
      <c r="DR17" s="172"/>
      <c r="DS17" s="172"/>
      <c r="DT17" s="172"/>
      <c r="DU17" s="172"/>
      <c r="DV17" s="172"/>
      <c r="DW17" s="172"/>
      <c r="DX17" s="172"/>
      <c r="DY17" s="172"/>
      <c r="DZ17" s="172"/>
      <c r="EA17" s="172"/>
      <c r="EB17" s="172"/>
      <c r="EC17" s="172"/>
      <c r="ED17" s="172"/>
      <c r="EE17" s="172"/>
      <c r="EF17" s="172"/>
      <c r="EG17" s="172"/>
      <c r="EH17" s="172"/>
      <c r="EI17" s="172"/>
      <c r="EJ17" s="172"/>
      <c r="EK17" s="172"/>
      <c r="EL17" s="172"/>
      <c r="EM17" s="172"/>
      <c r="EN17" s="172"/>
      <c r="EO17" s="172"/>
      <c r="EP17" s="172"/>
      <c r="EQ17" s="172"/>
      <c r="ER17" s="172"/>
      <c r="ES17" s="172"/>
      <c r="ET17" s="172"/>
      <c r="EU17" s="172"/>
      <c r="EV17" s="172"/>
      <c r="EW17" s="172"/>
      <c r="EX17" s="172"/>
      <c r="EY17" s="172"/>
      <c r="EZ17" s="172"/>
      <c r="FA17" s="172"/>
      <c r="FB17" s="172"/>
      <c r="FC17" s="172"/>
      <c r="FD17" s="172"/>
      <c r="FE17" s="172"/>
      <c r="FF17" s="172"/>
      <c r="FG17" s="172"/>
      <c r="FH17" s="172"/>
      <c r="FI17" s="172"/>
      <c r="FJ17" s="172"/>
      <c r="FK17" s="172"/>
      <c r="FL17" s="172"/>
      <c r="FM17" s="172"/>
      <c r="FN17" s="172"/>
      <c r="FO17" s="172"/>
      <c r="FP17" s="172"/>
      <c r="FQ17" s="172"/>
      <c r="FR17" s="172"/>
      <c r="FS17" s="172"/>
      <c r="FT17" s="172"/>
      <c r="FU17" s="172"/>
      <c r="FV17" s="172"/>
      <c r="FW17" s="172"/>
      <c r="FX17" s="172"/>
      <c r="FY17" s="172"/>
      <c r="FZ17" s="172"/>
      <c r="GA17" s="172"/>
      <c r="GB17" s="172"/>
      <c r="GC17" s="172"/>
      <c r="GD17" s="172"/>
      <c r="GE17" s="172"/>
      <c r="GF17" s="172"/>
      <c r="GG17" s="172"/>
      <c r="GH17" s="172"/>
      <c r="GI17" s="172"/>
      <c r="GJ17" s="172"/>
      <c r="GK17" s="172"/>
      <c r="GL17" s="172"/>
      <c r="GM17" s="172"/>
      <c r="GN17" s="172"/>
      <c r="GO17" s="172"/>
      <c r="GP17" s="172"/>
      <c r="GQ17" s="172"/>
      <c r="GR17" s="172"/>
      <c r="GS17" s="172"/>
      <c r="GT17" s="172"/>
      <c r="GU17" s="172"/>
      <c r="GV17" s="172"/>
      <c r="GW17" s="172"/>
      <c r="GX17" s="172"/>
      <c r="GY17" s="172"/>
      <c r="GZ17" s="172"/>
      <c r="HA17" s="172"/>
      <c r="HB17" s="172"/>
      <c r="HC17" s="172"/>
      <c r="HD17" s="172"/>
      <c r="HE17" s="172"/>
      <c r="HF17" s="172"/>
      <c r="HG17" s="172"/>
      <c r="HH17" s="172"/>
      <c r="HI17" s="172"/>
      <c r="HJ17" s="172"/>
      <c r="HK17" s="172"/>
      <c r="HL17" s="172"/>
      <c r="HM17" s="172"/>
      <c r="HN17" s="172"/>
      <c r="HO17" s="172"/>
      <c r="HP17" s="172"/>
      <c r="HQ17" s="172"/>
      <c r="HR17" s="172"/>
      <c r="HS17" s="172"/>
      <c r="HT17" s="172"/>
      <c r="HU17" s="172"/>
      <c r="HV17" s="172"/>
      <c r="HW17" s="172"/>
      <c r="HX17" s="172"/>
      <c r="HY17" s="172"/>
      <c r="HZ17" s="172"/>
      <c r="IA17" s="172"/>
      <c r="IB17" s="172"/>
      <c r="IC17" s="172"/>
      <c r="ID17" s="172"/>
      <c r="IE17" s="172"/>
      <c r="IF17" s="172"/>
      <c r="IG17" s="172"/>
      <c r="IH17" s="172"/>
      <c r="II17" s="172"/>
      <c r="IJ17" s="172"/>
      <c r="IK17" s="172"/>
      <c r="IL17" s="172"/>
      <c r="IM17" s="172"/>
      <c r="IN17" s="172"/>
      <c r="IO17" s="172"/>
      <c r="IP17" s="172"/>
      <c r="IQ17" s="172"/>
      <c r="IR17" s="172"/>
      <c r="IS17" s="172"/>
      <c r="IT17" s="172"/>
    </row>
    <row r="18" spans="1:254" ht="15" x14ac:dyDescent="0.25">
      <c r="A18" s="505" t="s">
        <v>87</v>
      </c>
      <c r="B18" s="501">
        <f t="shared" si="1"/>
        <v>1940178133</v>
      </c>
      <c r="C18" s="490">
        <f t="shared" si="2"/>
        <v>1940178133</v>
      </c>
      <c r="D18" s="491"/>
      <c r="E18" s="491"/>
      <c r="F18" s="491"/>
      <c r="G18" s="491"/>
      <c r="H18" s="491">
        <v>1940178133</v>
      </c>
      <c r="I18" s="492"/>
      <c r="J18" s="490"/>
      <c r="K18" s="491"/>
      <c r="L18" s="503"/>
      <c r="M18" s="503"/>
      <c r="N18" s="503"/>
      <c r="O18" s="503"/>
      <c r="P18" s="503"/>
      <c r="Q18" s="492"/>
      <c r="R18" s="501"/>
      <c r="S18" s="504">
        <v>0</v>
      </c>
      <c r="T18" s="172"/>
      <c r="U18" s="172"/>
      <c r="V18" s="172"/>
      <c r="W18" s="172"/>
      <c r="X18" s="172"/>
      <c r="Y18" s="172"/>
      <c r="Z18" s="172"/>
      <c r="AA18" s="172"/>
      <c r="AB18" s="172"/>
      <c r="AC18" s="172"/>
      <c r="AD18" s="172"/>
      <c r="AE18" s="172"/>
      <c r="AF18" s="172"/>
      <c r="AG18" s="172"/>
      <c r="AH18" s="172"/>
      <c r="AI18" s="172"/>
      <c r="AJ18" s="172"/>
      <c r="AK18" s="172"/>
      <c r="AL18" s="172"/>
      <c r="AM18" s="172"/>
      <c r="AN18" s="172"/>
      <c r="AO18" s="172"/>
      <c r="AP18" s="172"/>
      <c r="AQ18" s="172"/>
      <c r="AR18" s="172"/>
      <c r="AS18" s="172"/>
      <c r="AT18" s="172"/>
      <c r="AU18" s="172"/>
      <c r="AV18" s="172"/>
      <c r="AW18" s="172"/>
      <c r="AX18" s="172"/>
      <c r="AY18" s="172"/>
      <c r="AZ18" s="172"/>
      <c r="BA18" s="172"/>
      <c r="BB18" s="172"/>
      <c r="BC18" s="172"/>
      <c r="BD18" s="172"/>
      <c r="BE18" s="172"/>
      <c r="BF18" s="172"/>
      <c r="BG18" s="172"/>
      <c r="BH18" s="172"/>
      <c r="BI18" s="172"/>
      <c r="BJ18" s="172"/>
      <c r="BK18" s="172"/>
      <c r="BL18" s="172"/>
      <c r="BM18" s="172"/>
      <c r="BN18" s="172"/>
      <c r="BO18" s="172"/>
      <c r="BP18" s="172"/>
      <c r="BQ18" s="172"/>
      <c r="BR18" s="172"/>
      <c r="BS18" s="172"/>
      <c r="BT18" s="172"/>
      <c r="BU18" s="172"/>
      <c r="BV18" s="172"/>
      <c r="BW18" s="172"/>
      <c r="BX18" s="172"/>
      <c r="BY18" s="172"/>
      <c r="BZ18" s="172"/>
      <c r="CA18" s="172"/>
      <c r="CB18" s="172"/>
      <c r="CC18" s="172"/>
      <c r="CD18" s="172"/>
      <c r="CE18" s="172"/>
      <c r="CF18" s="172"/>
      <c r="CG18" s="172"/>
      <c r="CH18" s="172"/>
      <c r="CI18" s="172"/>
      <c r="CJ18" s="172"/>
      <c r="CK18" s="172"/>
      <c r="CL18" s="172"/>
      <c r="CM18" s="172"/>
      <c r="CN18" s="172"/>
      <c r="CO18" s="172"/>
      <c r="CP18" s="172"/>
      <c r="CQ18" s="172"/>
      <c r="CR18" s="172"/>
      <c r="CS18" s="172"/>
      <c r="CT18" s="172"/>
      <c r="CU18" s="172"/>
      <c r="CV18" s="172"/>
      <c r="CW18" s="172"/>
      <c r="CX18" s="172"/>
      <c r="CY18" s="172"/>
      <c r="CZ18" s="172"/>
      <c r="DA18" s="172"/>
      <c r="DB18" s="172"/>
      <c r="DC18" s="172"/>
      <c r="DD18" s="172"/>
      <c r="DE18" s="172"/>
      <c r="DF18" s="172"/>
      <c r="DG18" s="172"/>
      <c r="DH18" s="172"/>
      <c r="DI18" s="172"/>
      <c r="DJ18" s="172"/>
      <c r="DK18" s="172"/>
      <c r="DL18" s="172"/>
      <c r="DM18" s="172"/>
      <c r="DN18" s="172"/>
      <c r="DO18" s="172"/>
      <c r="DP18" s="172"/>
      <c r="DQ18" s="172"/>
      <c r="DR18" s="172"/>
      <c r="DS18" s="172"/>
      <c r="DT18" s="172"/>
      <c r="DU18" s="172"/>
      <c r="DV18" s="172"/>
      <c r="DW18" s="172"/>
      <c r="DX18" s="172"/>
      <c r="DY18" s="172"/>
      <c r="DZ18" s="172"/>
      <c r="EA18" s="172"/>
      <c r="EB18" s="172"/>
      <c r="EC18" s="172"/>
      <c r="ED18" s="172"/>
      <c r="EE18" s="172"/>
      <c r="EF18" s="172"/>
      <c r="EG18" s="172"/>
      <c r="EH18" s="172"/>
      <c r="EI18" s="172"/>
      <c r="EJ18" s="172"/>
      <c r="EK18" s="172"/>
      <c r="EL18" s="172"/>
      <c r="EM18" s="172"/>
      <c r="EN18" s="172"/>
      <c r="EO18" s="172"/>
      <c r="EP18" s="172"/>
      <c r="EQ18" s="172"/>
      <c r="ER18" s="172"/>
      <c r="ES18" s="172"/>
      <c r="ET18" s="172"/>
      <c r="EU18" s="172"/>
      <c r="EV18" s="172"/>
      <c r="EW18" s="172"/>
      <c r="EX18" s="172"/>
      <c r="EY18" s="172"/>
      <c r="EZ18" s="172"/>
      <c r="FA18" s="172"/>
      <c r="FB18" s="172"/>
      <c r="FC18" s="172"/>
      <c r="FD18" s="172"/>
      <c r="FE18" s="172"/>
      <c r="FF18" s="172"/>
      <c r="FG18" s="172"/>
      <c r="FH18" s="172"/>
      <c r="FI18" s="172"/>
      <c r="FJ18" s="172"/>
      <c r="FK18" s="172"/>
      <c r="FL18" s="172"/>
      <c r="FM18" s="172"/>
      <c r="FN18" s="172"/>
      <c r="FO18" s="172"/>
      <c r="FP18" s="172"/>
      <c r="FQ18" s="172"/>
      <c r="FR18" s="172"/>
      <c r="FS18" s="172"/>
      <c r="FT18" s="172"/>
      <c r="FU18" s="172"/>
      <c r="FV18" s="172"/>
      <c r="FW18" s="172"/>
      <c r="FX18" s="172"/>
      <c r="FY18" s="172"/>
      <c r="FZ18" s="172"/>
      <c r="GA18" s="172"/>
      <c r="GB18" s="172"/>
      <c r="GC18" s="172"/>
      <c r="GD18" s="172"/>
      <c r="GE18" s="172"/>
      <c r="GF18" s="172"/>
      <c r="GG18" s="172"/>
      <c r="GH18" s="172"/>
      <c r="GI18" s="172"/>
      <c r="GJ18" s="172"/>
      <c r="GK18" s="172"/>
      <c r="GL18" s="172"/>
      <c r="GM18" s="172"/>
      <c r="GN18" s="172"/>
      <c r="GO18" s="172"/>
      <c r="GP18" s="172"/>
      <c r="GQ18" s="172"/>
      <c r="GR18" s="172"/>
      <c r="GS18" s="172"/>
      <c r="GT18" s="172"/>
      <c r="GU18" s="172"/>
      <c r="GV18" s="172"/>
      <c r="GW18" s="172"/>
      <c r="GX18" s="172"/>
      <c r="GY18" s="172"/>
      <c r="GZ18" s="172"/>
      <c r="HA18" s="172"/>
      <c r="HB18" s="172"/>
      <c r="HC18" s="172"/>
      <c r="HD18" s="172"/>
      <c r="HE18" s="172"/>
      <c r="HF18" s="172"/>
      <c r="HG18" s="172"/>
      <c r="HH18" s="172"/>
      <c r="HI18" s="172"/>
      <c r="HJ18" s="172"/>
      <c r="HK18" s="172"/>
      <c r="HL18" s="172"/>
      <c r="HM18" s="172"/>
      <c r="HN18" s="172"/>
      <c r="HO18" s="172"/>
      <c r="HP18" s="172"/>
      <c r="HQ18" s="172"/>
      <c r="HR18" s="172"/>
      <c r="HS18" s="172"/>
      <c r="HT18" s="172"/>
      <c r="HU18" s="172"/>
      <c r="HV18" s="172"/>
      <c r="HW18" s="172"/>
      <c r="HX18" s="172"/>
      <c r="HY18" s="172"/>
      <c r="HZ18" s="172"/>
      <c r="IA18" s="172"/>
      <c r="IB18" s="172"/>
      <c r="IC18" s="172"/>
      <c r="ID18" s="172"/>
      <c r="IE18" s="172"/>
      <c r="IF18" s="172"/>
      <c r="IG18" s="172"/>
      <c r="IH18" s="172"/>
      <c r="II18" s="172"/>
      <c r="IJ18" s="172"/>
      <c r="IK18" s="172"/>
      <c r="IL18" s="172"/>
      <c r="IM18" s="172"/>
      <c r="IN18" s="172"/>
      <c r="IO18" s="172"/>
      <c r="IP18" s="172"/>
      <c r="IQ18" s="172"/>
      <c r="IR18" s="172"/>
      <c r="IS18" s="172"/>
      <c r="IT18" s="172"/>
    </row>
    <row r="19" spans="1:254" ht="15" x14ac:dyDescent="0.25">
      <c r="A19" s="505" t="s">
        <v>88</v>
      </c>
      <c r="B19" s="501">
        <f t="shared" si="1"/>
        <v>3395251604</v>
      </c>
      <c r="C19" s="490">
        <f t="shared" si="2"/>
        <v>3330251604</v>
      </c>
      <c r="D19" s="491">
        <v>2192860960</v>
      </c>
      <c r="E19" s="491">
        <v>17357696</v>
      </c>
      <c r="F19" s="491">
        <v>751062751</v>
      </c>
      <c r="G19" s="491">
        <v>43857221</v>
      </c>
      <c r="H19" s="491">
        <v>325112976</v>
      </c>
      <c r="I19" s="492"/>
      <c r="J19" s="490">
        <f>K19+Q19</f>
        <v>65000000</v>
      </c>
      <c r="K19" s="491"/>
      <c r="L19" s="503"/>
      <c r="M19" s="503"/>
      <c r="N19" s="503"/>
      <c r="O19" s="503"/>
      <c r="P19" s="503"/>
      <c r="Q19" s="492">
        <v>65000000</v>
      </c>
      <c r="R19" s="501"/>
      <c r="S19" s="504">
        <v>4456.5</v>
      </c>
      <c r="T19" s="172"/>
      <c r="U19" s="172"/>
      <c r="V19" s="172"/>
      <c r="W19" s="172"/>
      <c r="X19" s="172"/>
      <c r="Y19" s="172"/>
      <c r="Z19" s="172"/>
      <c r="AA19" s="172"/>
      <c r="AB19" s="172"/>
      <c r="AC19" s="172"/>
      <c r="AD19" s="172"/>
      <c r="AE19" s="172"/>
      <c r="AF19" s="172"/>
      <c r="AG19" s="172"/>
      <c r="AH19" s="172"/>
      <c r="AI19" s="172"/>
      <c r="AJ19" s="172"/>
      <c r="AK19" s="172"/>
      <c r="AL19" s="172"/>
      <c r="AM19" s="172"/>
      <c r="AN19" s="172"/>
      <c r="AO19" s="172"/>
      <c r="AP19" s="172"/>
      <c r="AQ19" s="172"/>
      <c r="AR19" s="172"/>
      <c r="AS19" s="172"/>
      <c r="AT19" s="172"/>
      <c r="AU19" s="172"/>
      <c r="AV19" s="172"/>
      <c r="AW19" s="172"/>
      <c r="AX19" s="172"/>
      <c r="AY19" s="172"/>
      <c r="AZ19" s="172"/>
      <c r="BA19" s="172"/>
      <c r="BB19" s="172"/>
      <c r="BC19" s="172"/>
      <c r="BD19" s="172"/>
      <c r="BE19" s="172"/>
      <c r="BF19" s="172"/>
      <c r="BG19" s="172"/>
      <c r="BH19" s="172"/>
      <c r="BI19" s="172"/>
      <c r="BJ19" s="172"/>
      <c r="BK19" s="172"/>
      <c r="BL19" s="172"/>
      <c r="BM19" s="172"/>
      <c r="BN19" s="172"/>
      <c r="BO19" s="172"/>
      <c r="BP19" s="172"/>
      <c r="BQ19" s="172"/>
      <c r="BR19" s="172"/>
      <c r="BS19" s="172"/>
      <c r="BT19" s="172"/>
      <c r="BU19" s="172"/>
      <c r="BV19" s="172"/>
      <c r="BW19" s="172"/>
      <c r="BX19" s="172"/>
      <c r="BY19" s="172"/>
      <c r="BZ19" s="172"/>
      <c r="CA19" s="172"/>
      <c r="CB19" s="172"/>
      <c r="CC19" s="172"/>
      <c r="CD19" s="172"/>
      <c r="CE19" s="172"/>
      <c r="CF19" s="172"/>
      <c r="CG19" s="172"/>
      <c r="CH19" s="172"/>
      <c r="CI19" s="172"/>
      <c r="CJ19" s="172"/>
      <c r="CK19" s="172"/>
      <c r="CL19" s="172"/>
      <c r="CM19" s="172"/>
      <c r="CN19" s="172"/>
      <c r="CO19" s="172"/>
      <c r="CP19" s="172"/>
      <c r="CQ19" s="172"/>
      <c r="CR19" s="172"/>
      <c r="CS19" s="172"/>
      <c r="CT19" s="172"/>
      <c r="CU19" s="172"/>
      <c r="CV19" s="172"/>
      <c r="CW19" s="172"/>
      <c r="CX19" s="172"/>
      <c r="CY19" s="172"/>
      <c r="CZ19" s="172"/>
      <c r="DA19" s="172"/>
      <c r="DB19" s="172"/>
      <c r="DC19" s="172"/>
      <c r="DD19" s="172"/>
      <c r="DE19" s="172"/>
      <c r="DF19" s="172"/>
      <c r="DG19" s="172"/>
      <c r="DH19" s="172"/>
      <c r="DI19" s="172"/>
      <c r="DJ19" s="172"/>
      <c r="DK19" s="172"/>
      <c r="DL19" s="172"/>
      <c r="DM19" s="172"/>
      <c r="DN19" s="172"/>
      <c r="DO19" s="172"/>
      <c r="DP19" s="172"/>
      <c r="DQ19" s="172"/>
      <c r="DR19" s="172"/>
      <c r="DS19" s="172"/>
      <c r="DT19" s="172"/>
      <c r="DU19" s="172"/>
      <c r="DV19" s="172"/>
      <c r="DW19" s="172"/>
      <c r="DX19" s="172"/>
      <c r="DY19" s="172"/>
      <c r="DZ19" s="172"/>
      <c r="EA19" s="172"/>
      <c r="EB19" s="172"/>
      <c r="EC19" s="172"/>
      <c r="ED19" s="172"/>
      <c r="EE19" s="172"/>
      <c r="EF19" s="172"/>
      <c r="EG19" s="172"/>
      <c r="EH19" s="172"/>
      <c r="EI19" s="172"/>
      <c r="EJ19" s="172"/>
      <c r="EK19" s="172"/>
      <c r="EL19" s="172"/>
      <c r="EM19" s="172"/>
      <c r="EN19" s="172"/>
      <c r="EO19" s="172"/>
      <c r="EP19" s="172"/>
      <c r="EQ19" s="172"/>
      <c r="ER19" s="172"/>
      <c r="ES19" s="172"/>
      <c r="ET19" s="172"/>
      <c r="EU19" s="172"/>
      <c r="EV19" s="172"/>
      <c r="EW19" s="172"/>
      <c r="EX19" s="172"/>
      <c r="EY19" s="172"/>
      <c r="EZ19" s="172"/>
      <c r="FA19" s="172"/>
      <c r="FB19" s="172"/>
      <c r="FC19" s="172"/>
      <c r="FD19" s="172"/>
      <c r="FE19" s="172"/>
      <c r="FF19" s="172"/>
      <c r="FG19" s="172"/>
      <c r="FH19" s="172"/>
      <c r="FI19" s="172"/>
      <c r="FJ19" s="172"/>
      <c r="FK19" s="172"/>
      <c r="FL19" s="172"/>
      <c r="FM19" s="172"/>
      <c r="FN19" s="172"/>
      <c r="FO19" s="172"/>
      <c r="FP19" s="172"/>
      <c r="FQ19" s="172"/>
      <c r="FR19" s="172"/>
      <c r="FS19" s="172"/>
      <c r="FT19" s="172"/>
      <c r="FU19" s="172"/>
      <c r="FV19" s="172"/>
      <c r="FW19" s="172"/>
      <c r="FX19" s="172"/>
      <c r="FY19" s="172"/>
      <c r="FZ19" s="172"/>
      <c r="GA19" s="172"/>
      <c r="GB19" s="172"/>
      <c r="GC19" s="172"/>
      <c r="GD19" s="172"/>
      <c r="GE19" s="172"/>
      <c r="GF19" s="172"/>
      <c r="GG19" s="172"/>
      <c r="GH19" s="172"/>
      <c r="GI19" s="172"/>
      <c r="GJ19" s="172"/>
      <c r="GK19" s="172"/>
      <c r="GL19" s="172"/>
      <c r="GM19" s="172"/>
      <c r="GN19" s="172"/>
      <c r="GO19" s="172"/>
      <c r="GP19" s="172"/>
      <c r="GQ19" s="172"/>
      <c r="GR19" s="172"/>
      <c r="GS19" s="172"/>
      <c r="GT19" s="172"/>
      <c r="GU19" s="172"/>
      <c r="GV19" s="172"/>
      <c r="GW19" s="172"/>
      <c r="GX19" s="172"/>
      <c r="GY19" s="172"/>
      <c r="GZ19" s="172"/>
      <c r="HA19" s="172"/>
      <c r="HB19" s="172"/>
      <c r="HC19" s="172"/>
      <c r="HD19" s="172"/>
      <c r="HE19" s="172"/>
      <c r="HF19" s="172"/>
      <c r="HG19" s="172"/>
      <c r="HH19" s="172"/>
      <c r="HI19" s="172"/>
      <c r="HJ19" s="172"/>
      <c r="HK19" s="172"/>
      <c r="HL19" s="172"/>
      <c r="HM19" s="172"/>
      <c r="HN19" s="172"/>
      <c r="HO19" s="172"/>
      <c r="HP19" s="172"/>
      <c r="HQ19" s="172"/>
      <c r="HR19" s="172"/>
      <c r="HS19" s="172"/>
      <c r="HT19" s="172"/>
      <c r="HU19" s="172"/>
      <c r="HV19" s="172"/>
      <c r="HW19" s="172"/>
      <c r="HX19" s="172"/>
      <c r="HY19" s="172"/>
      <c r="HZ19" s="172"/>
      <c r="IA19" s="172"/>
      <c r="IB19" s="172"/>
      <c r="IC19" s="172"/>
      <c r="ID19" s="172"/>
      <c r="IE19" s="172"/>
      <c r="IF19" s="172"/>
      <c r="IG19" s="172"/>
      <c r="IH19" s="172"/>
      <c r="II19" s="172"/>
      <c r="IJ19" s="172"/>
      <c r="IK19" s="172"/>
      <c r="IL19" s="172"/>
      <c r="IM19" s="172"/>
      <c r="IN19" s="172"/>
      <c r="IO19" s="172"/>
      <c r="IP19" s="172"/>
      <c r="IQ19" s="172"/>
      <c r="IR19" s="172"/>
      <c r="IS19" s="172"/>
      <c r="IT19" s="172"/>
    </row>
    <row r="20" spans="1:254" ht="15" x14ac:dyDescent="0.25">
      <c r="A20" s="495" t="s">
        <v>46</v>
      </c>
      <c r="B20" s="493">
        <f t="shared" si="1"/>
        <v>276266938</v>
      </c>
      <c r="C20" s="496">
        <f t="shared" si="2"/>
        <v>251072838</v>
      </c>
      <c r="D20" s="497">
        <v>642000</v>
      </c>
      <c r="E20" s="497">
        <f>9525000+80000</f>
        <v>9605000</v>
      </c>
      <c r="F20" s="497">
        <v>304000</v>
      </c>
      <c r="G20" s="497">
        <v>0</v>
      </c>
      <c r="H20" s="497">
        <f>240601838-80000</f>
        <v>240521838</v>
      </c>
      <c r="I20" s="498"/>
      <c r="J20" s="496">
        <f>K20+Q20</f>
        <v>25194100</v>
      </c>
      <c r="K20" s="497"/>
      <c r="L20" s="499"/>
      <c r="M20" s="499"/>
      <c r="N20" s="499"/>
      <c r="O20" s="499"/>
      <c r="P20" s="499"/>
      <c r="Q20" s="498">
        <v>25194100</v>
      </c>
      <c r="R20" s="493"/>
      <c r="S20" s="494"/>
      <c r="T20" s="170"/>
      <c r="U20" s="170"/>
      <c r="V20" s="170"/>
      <c r="W20" s="170"/>
      <c r="X20" s="170"/>
      <c r="Y20" s="170"/>
      <c r="Z20" s="170"/>
      <c r="AA20" s="170"/>
      <c r="AB20" s="170"/>
      <c r="AC20" s="170"/>
      <c r="AD20" s="170"/>
      <c r="AE20" s="170"/>
      <c r="AF20" s="170"/>
      <c r="AG20" s="170"/>
      <c r="AH20" s="170"/>
      <c r="AI20" s="170"/>
      <c r="AJ20" s="170"/>
      <c r="AK20" s="170"/>
      <c r="AL20" s="170"/>
      <c r="AM20" s="170"/>
      <c r="AN20" s="170"/>
      <c r="AO20" s="170"/>
      <c r="AP20" s="170"/>
      <c r="AQ20" s="170"/>
      <c r="AR20" s="170"/>
      <c r="AS20" s="170"/>
      <c r="AT20" s="170"/>
      <c r="AU20" s="170"/>
      <c r="AV20" s="170"/>
      <c r="AW20" s="170"/>
      <c r="AX20" s="170"/>
      <c r="AY20" s="170"/>
      <c r="AZ20" s="170"/>
      <c r="BA20" s="170"/>
      <c r="BB20" s="170"/>
      <c r="BC20" s="170"/>
      <c r="BD20" s="170"/>
      <c r="BE20" s="170"/>
      <c r="BF20" s="170"/>
      <c r="BG20" s="170"/>
      <c r="BH20" s="170"/>
      <c r="BI20" s="170"/>
      <c r="BJ20" s="170"/>
      <c r="BK20" s="170"/>
      <c r="BL20" s="170"/>
      <c r="BM20" s="170"/>
      <c r="BN20" s="170"/>
      <c r="BO20" s="170"/>
      <c r="BP20" s="170"/>
      <c r="BQ20" s="170"/>
      <c r="BR20" s="170"/>
      <c r="BS20" s="170"/>
      <c r="BT20" s="170"/>
      <c r="BU20" s="170"/>
      <c r="BV20" s="170"/>
      <c r="BW20" s="170"/>
      <c r="BX20" s="170"/>
      <c r="BY20" s="170"/>
      <c r="BZ20" s="170"/>
      <c r="CA20" s="170"/>
      <c r="CB20" s="170"/>
      <c r="CC20" s="170"/>
      <c r="CD20" s="170"/>
      <c r="CE20" s="170"/>
      <c r="CF20" s="170"/>
      <c r="CG20" s="170"/>
      <c r="CH20" s="170"/>
      <c r="CI20" s="170"/>
      <c r="CJ20" s="170"/>
      <c r="CK20" s="170"/>
      <c r="CL20" s="170"/>
      <c r="CM20" s="170"/>
      <c r="CN20" s="170"/>
      <c r="CO20" s="170"/>
      <c r="CP20" s="170"/>
      <c r="CQ20" s="170"/>
      <c r="CR20" s="170"/>
      <c r="CS20" s="170"/>
      <c r="CT20" s="170"/>
      <c r="CU20" s="170"/>
      <c r="CV20" s="170"/>
      <c r="CW20" s="170"/>
      <c r="CX20" s="170"/>
      <c r="CY20" s="170"/>
      <c r="CZ20" s="170"/>
      <c r="DA20" s="170"/>
      <c r="DB20" s="170"/>
      <c r="DC20" s="170"/>
      <c r="DD20" s="170"/>
      <c r="DE20" s="170"/>
      <c r="DF20" s="170"/>
      <c r="DG20" s="170"/>
      <c r="DH20" s="170"/>
      <c r="DI20" s="170"/>
      <c r="DJ20" s="170"/>
      <c r="DK20" s="170"/>
      <c r="DL20" s="170"/>
      <c r="DM20" s="170"/>
      <c r="DN20" s="170"/>
      <c r="DO20" s="170"/>
      <c r="DP20" s="170"/>
      <c r="DQ20" s="170"/>
      <c r="DR20" s="170"/>
      <c r="DS20" s="170"/>
      <c r="DT20" s="170"/>
      <c r="DU20" s="170"/>
      <c r="DV20" s="170"/>
      <c r="DW20" s="170"/>
      <c r="DX20" s="170"/>
      <c r="DY20" s="170"/>
      <c r="DZ20" s="170"/>
      <c r="EA20" s="170"/>
      <c r="EB20" s="170"/>
      <c r="EC20" s="170"/>
      <c r="ED20" s="170"/>
      <c r="EE20" s="170"/>
      <c r="EF20" s="170"/>
      <c r="EG20" s="170"/>
      <c r="EH20" s="170"/>
      <c r="EI20" s="170"/>
      <c r="EJ20" s="170"/>
      <c r="EK20" s="170"/>
      <c r="EL20" s="170"/>
      <c r="EM20" s="170"/>
      <c r="EN20" s="170"/>
      <c r="EO20" s="170"/>
      <c r="EP20" s="170"/>
      <c r="EQ20" s="170"/>
      <c r="ER20" s="170"/>
      <c r="ES20" s="170"/>
      <c r="ET20" s="170"/>
      <c r="EU20" s="170"/>
      <c r="EV20" s="170"/>
      <c r="EW20" s="170"/>
      <c r="EX20" s="170"/>
      <c r="EY20" s="170"/>
      <c r="EZ20" s="170"/>
      <c r="FA20" s="170"/>
      <c r="FB20" s="170"/>
      <c r="FC20" s="170"/>
      <c r="FD20" s="170"/>
      <c r="FE20" s="170"/>
      <c r="FF20" s="170"/>
      <c r="FG20" s="170"/>
      <c r="FH20" s="170"/>
      <c r="FI20" s="170"/>
      <c r="FJ20" s="170"/>
      <c r="FK20" s="170"/>
      <c r="FL20" s="170"/>
      <c r="FM20" s="170"/>
      <c r="FN20" s="170"/>
      <c r="FO20" s="170"/>
      <c r="FP20" s="170"/>
      <c r="FQ20" s="170"/>
      <c r="FR20" s="170"/>
      <c r="FS20" s="170"/>
      <c r="FT20" s="170"/>
      <c r="FU20" s="170"/>
      <c r="FV20" s="170"/>
      <c r="FW20" s="170"/>
      <c r="FX20" s="170"/>
      <c r="FY20" s="170"/>
      <c r="FZ20" s="170"/>
      <c r="GA20" s="170"/>
      <c r="GB20" s="170"/>
      <c r="GC20" s="170"/>
      <c r="GD20" s="170"/>
      <c r="GE20" s="170"/>
      <c r="GF20" s="170"/>
      <c r="GG20" s="170"/>
      <c r="GH20" s="170"/>
      <c r="GI20" s="170"/>
      <c r="GJ20" s="170"/>
      <c r="GK20" s="170"/>
      <c r="GL20" s="170"/>
      <c r="GM20" s="170"/>
      <c r="GN20" s="170"/>
      <c r="GO20" s="170"/>
      <c r="GP20" s="170"/>
      <c r="GQ20" s="170"/>
      <c r="GR20" s="170"/>
      <c r="GS20" s="170"/>
      <c r="GT20" s="170"/>
      <c r="GU20" s="170"/>
      <c r="GV20" s="170"/>
      <c r="GW20" s="170"/>
      <c r="GX20" s="170"/>
      <c r="GY20" s="170"/>
      <c r="GZ20" s="170"/>
      <c r="HA20" s="170"/>
      <c r="HB20" s="170"/>
      <c r="HC20" s="170"/>
      <c r="HD20" s="170"/>
      <c r="HE20" s="170"/>
      <c r="HF20" s="170"/>
      <c r="HG20" s="170"/>
      <c r="HH20" s="170"/>
      <c r="HI20" s="170"/>
      <c r="HJ20" s="170"/>
      <c r="HK20" s="170"/>
      <c r="HL20" s="170"/>
      <c r="HM20" s="170"/>
      <c r="HN20" s="170"/>
      <c r="HO20" s="170"/>
      <c r="HP20" s="170"/>
      <c r="HQ20" s="170"/>
      <c r="HR20" s="170"/>
      <c r="HS20" s="170"/>
      <c r="HT20" s="170"/>
      <c r="HU20" s="170"/>
      <c r="HV20" s="170"/>
      <c r="HW20" s="170"/>
      <c r="HX20" s="170"/>
      <c r="HY20" s="170"/>
      <c r="HZ20" s="170"/>
      <c r="IA20" s="170"/>
      <c r="IB20" s="170"/>
      <c r="IC20" s="170"/>
      <c r="ID20" s="170"/>
      <c r="IE20" s="170"/>
      <c r="IF20" s="170"/>
      <c r="IG20" s="170"/>
      <c r="IH20" s="170"/>
      <c r="II20" s="170"/>
      <c r="IJ20" s="170"/>
      <c r="IK20" s="170"/>
      <c r="IL20" s="170"/>
      <c r="IM20" s="170"/>
      <c r="IN20" s="170"/>
      <c r="IO20" s="170"/>
      <c r="IP20" s="170"/>
      <c r="IQ20" s="170"/>
      <c r="IR20" s="170"/>
      <c r="IS20" s="170"/>
      <c r="IT20" s="170"/>
    </row>
    <row r="21" spans="1:254" ht="15" x14ac:dyDescent="0.25">
      <c r="A21" s="495" t="s">
        <v>47</v>
      </c>
      <c r="B21" s="493">
        <f t="shared" si="1"/>
        <v>7204727784</v>
      </c>
      <c r="C21" s="496">
        <f t="shared" ref="C21:H21" si="6">C22+C23</f>
        <v>4970552784</v>
      </c>
      <c r="D21" s="497">
        <f t="shared" si="6"/>
        <v>64624850</v>
      </c>
      <c r="E21" s="497">
        <f t="shared" si="6"/>
        <v>7541811</v>
      </c>
      <c r="F21" s="497">
        <f t="shared" si="6"/>
        <v>24392333</v>
      </c>
      <c r="G21" s="497">
        <f t="shared" si="6"/>
        <v>1292497</v>
      </c>
      <c r="H21" s="497">
        <f t="shared" si="6"/>
        <v>4872701293</v>
      </c>
      <c r="I21" s="498"/>
      <c r="J21" s="496">
        <f>K21+Q21</f>
        <v>2234175000</v>
      </c>
      <c r="K21" s="497"/>
      <c r="L21" s="499"/>
      <c r="M21" s="499"/>
      <c r="N21" s="499"/>
      <c r="O21" s="499"/>
      <c r="P21" s="499"/>
      <c r="Q21" s="498">
        <f>SUM(Q22:Q23)</f>
        <v>2234175000</v>
      </c>
      <c r="R21" s="493">
        <f>R22+R23</f>
        <v>66000</v>
      </c>
      <c r="S21" s="494">
        <f>S22+S23</f>
        <v>127</v>
      </c>
      <c r="T21" s="170"/>
      <c r="U21" s="170"/>
      <c r="V21" s="170"/>
      <c r="W21" s="170"/>
      <c r="X21" s="170"/>
      <c r="Y21" s="170"/>
      <c r="Z21" s="170"/>
      <c r="AA21" s="170"/>
      <c r="AB21" s="170"/>
      <c r="AC21" s="170"/>
      <c r="AD21" s="170"/>
      <c r="AE21" s="170"/>
      <c r="AF21" s="170"/>
      <c r="AG21" s="170"/>
      <c r="AH21" s="170"/>
      <c r="AI21" s="170"/>
      <c r="AJ21" s="170"/>
      <c r="AK21" s="170"/>
      <c r="AL21" s="170"/>
      <c r="AM21" s="170"/>
      <c r="AN21" s="170"/>
      <c r="AO21" s="170"/>
      <c r="AP21" s="170"/>
      <c r="AQ21" s="170"/>
      <c r="AR21" s="170"/>
      <c r="AS21" s="170"/>
      <c r="AT21" s="170"/>
      <c r="AU21" s="170"/>
      <c r="AV21" s="170"/>
      <c r="AW21" s="170"/>
      <c r="AX21" s="170"/>
      <c r="AY21" s="170"/>
      <c r="AZ21" s="170"/>
      <c r="BA21" s="170"/>
      <c r="BB21" s="170"/>
      <c r="BC21" s="170"/>
      <c r="BD21" s="170"/>
      <c r="BE21" s="170"/>
      <c r="BF21" s="170"/>
      <c r="BG21" s="170"/>
      <c r="BH21" s="170"/>
      <c r="BI21" s="170"/>
      <c r="BJ21" s="170"/>
      <c r="BK21" s="170"/>
      <c r="BL21" s="170"/>
      <c r="BM21" s="170"/>
      <c r="BN21" s="170"/>
      <c r="BO21" s="170"/>
      <c r="BP21" s="170"/>
      <c r="BQ21" s="170"/>
      <c r="BR21" s="170"/>
      <c r="BS21" s="170"/>
      <c r="BT21" s="170"/>
      <c r="BU21" s="170"/>
      <c r="BV21" s="170"/>
      <c r="BW21" s="170"/>
      <c r="BX21" s="170"/>
      <c r="BY21" s="170"/>
      <c r="BZ21" s="170"/>
      <c r="CA21" s="170"/>
      <c r="CB21" s="170"/>
      <c r="CC21" s="170"/>
      <c r="CD21" s="170"/>
      <c r="CE21" s="170"/>
      <c r="CF21" s="170"/>
      <c r="CG21" s="170"/>
      <c r="CH21" s="170"/>
      <c r="CI21" s="170"/>
      <c r="CJ21" s="170"/>
      <c r="CK21" s="170"/>
      <c r="CL21" s="170"/>
      <c r="CM21" s="170"/>
      <c r="CN21" s="170"/>
      <c r="CO21" s="170"/>
      <c r="CP21" s="170"/>
      <c r="CQ21" s="170"/>
      <c r="CR21" s="170"/>
      <c r="CS21" s="170"/>
      <c r="CT21" s="170"/>
      <c r="CU21" s="170"/>
      <c r="CV21" s="170"/>
      <c r="CW21" s="170"/>
      <c r="CX21" s="170"/>
      <c r="CY21" s="170"/>
      <c r="CZ21" s="170"/>
      <c r="DA21" s="170"/>
      <c r="DB21" s="170"/>
      <c r="DC21" s="170"/>
      <c r="DD21" s="170"/>
      <c r="DE21" s="170"/>
      <c r="DF21" s="170"/>
      <c r="DG21" s="170"/>
      <c r="DH21" s="170"/>
      <c r="DI21" s="170"/>
      <c r="DJ21" s="170"/>
      <c r="DK21" s="170"/>
      <c r="DL21" s="170"/>
      <c r="DM21" s="170"/>
      <c r="DN21" s="170"/>
      <c r="DO21" s="170"/>
      <c r="DP21" s="170"/>
      <c r="DQ21" s="170"/>
      <c r="DR21" s="170"/>
      <c r="DS21" s="170"/>
      <c r="DT21" s="170"/>
      <c r="DU21" s="170"/>
      <c r="DV21" s="170"/>
      <c r="DW21" s="170"/>
      <c r="DX21" s="170"/>
      <c r="DY21" s="170"/>
      <c r="DZ21" s="170"/>
      <c r="EA21" s="170"/>
      <c r="EB21" s="170"/>
      <c r="EC21" s="170"/>
      <c r="ED21" s="170"/>
      <c r="EE21" s="170"/>
      <c r="EF21" s="170"/>
      <c r="EG21" s="170"/>
      <c r="EH21" s="170"/>
      <c r="EI21" s="170"/>
      <c r="EJ21" s="170"/>
      <c r="EK21" s="170"/>
      <c r="EL21" s="170"/>
      <c r="EM21" s="170"/>
      <c r="EN21" s="170"/>
      <c r="EO21" s="170"/>
      <c r="EP21" s="170"/>
      <c r="EQ21" s="170"/>
      <c r="ER21" s="170"/>
      <c r="ES21" s="170"/>
      <c r="ET21" s="170"/>
      <c r="EU21" s="170"/>
      <c r="EV21" s="170"/>
      <c r="EW21" s="170"/>
      <c r="EX21" s="170"/>
      <c r="EY21" s="170"/>
      <c r="EZ21" s="170"/>
      <c r="FA21" s="170"/>
      <c r="FB21" s="170"/>
      <c r="FC21" s="170"/>
      <c r="FD21" s="170"/>
      <c r="FE21" s="170"/>
      <c r="FF21" s="170"/>
      <c r="FG21" s="170"/>
      <c r="FH21" s="170"/>
      <c r="FI21" s="170"/>
      <c r="FJ21" s="170"/>
      <c r="FK21" s="170"/>
      <c r="FL21" s="170"/>
      <c r="FM21" s="170"/>
      <c r="FN21" s="170"/>
      <c r="FO21" s="170"/>
      <c r="FP21" s="170"/>
      <c r="FQ21" s="170"/>
      <c r="FR21" s="170"/>
      <c r="FS21" s="170"/>
      <c r="FT21" s="170"/>
      <c r="FU21" s="170"/>
      <c r="FV21" s="170"/>
      <c r="FW21" s="170"/>
      <c r="FX21" s="170"/>
      <c r="FY21" s="170"/>
      <c r="FZ21" s="170"/>
      <c r="GA21" s="170"/>
      <c r="GB21" s="170"/>
      <c r="GC21" s="170"/>
      <c r="GD21" s="170"/>
      <c r="GE21" s="170"/>
      <c r="GF21" s="170"/>
      <c r="GG21" s="170"/>
      <c r="GH21" s="170"/>
      <c r="GI21" s="170"/>
      <c r="GJ21" s="170"/>
      <c r="GK21" s="170"/>
      <c r="GL21" s="170"/>
      <c r="GM21" s="170"/>
      <c r="GN21" s="170"/>
      <c r="GO21" s="170"/>
      <c r="GP21" s="170"/>
      <c r="GQ21" s="170"/>
      <c r="GR21" s="170"/>
      <c r="GS21" s="170"/>
      <c r="GT21" s="170"/>
      <c r="GU21" s="170"/>
      <c r="GV21" s="170"/>
      <c r="GW21" s="170"/>
      <c r="GX21" s="170"/>
      <c r="GY21" s="170"/>
      <c r="GZ21" s="170"/>
      <c r="HA21" s="170"/>
      <c r="HB21" s="170"/>
      <c r="HC21" s="170"/>
      <c r="HD21" s="170"/>
      <c r="HE21" s="170"/>
      <c r="HF21" s="170"/>
      <c r="HG21" s="170"/>
      <c r="HH21" s="170"/>
      <c r="HI21" s="170"/>
      <c r="HJ21" s="170"/>
      <c r="HK21" s="170"/>
      <c r="HL21" s="170"/>
      <c r="HM21" s="170"/>
      <c r="HN21" s="170"/>
      <c r="HO21" s="170"/>
      <c r="HP21" s="170"/>
      <c r="HQ21" s="170"/>
      <c r="HR21" s="170"/>
      <c r="HS21" s="170"/>
      <c r="HT21" s="170"/>
      <c r="HU21" s="170"/>
      <c r="HV21" s="170"/>
      <c r="HW21" s="170"/>
      <c r="HX21" s="170"/>
      <c r="HY21" s="170"/>
      <c r="HZ21" s="170"/>
      <c r="IA21" s="170"/>
      <c r="IB21" s="170"/>
      <c r="IC21" s="170"/>
      <c r="ID21" s="170"/>
      <c r="IE21" s="170"/>
      <c r="IF21" s="170"/>
      <c r="IG21" s="170"/>
      <c r="IH21" s="170"/>
      <c r="II21" s="170"/>
      <c r="IJ21" s="170"/>
      <c r="IK21" s="170"/>
      <c r="IL21" s="170"/>
      <c r="IM21" s="170"/>
      <c r="IN21" s="170"/>
      <c r="IO21" s="170"/>
      <c r="IP21" s="170"/>
      <c r="IQ21" s="170"/>
      <c r="IR21" s="170"/>
      <c r="IS21" s="170"/>
      <c r="IT21" s="170"/>
    </row>
    <row r="22" spans="1:254" ht="15" x14ac:dyDescent="0.25">
      <c r="A22" s="500" t="s">
        <v>89</v>
      </c>
      <c r="B22" s="501">
        <f t="shared" si="1"/>
        <v>1948071203</v>
      </c>
      <c r="C22" s="490">
        <f t="shared" si="2"/>
        <v>1928071203</v>
      </c>
      <c r="D22" s="491">
        <v>64624850</v>
      </c>
      <c r="E22" s="491">
        <v>7541811</v>
      </c>
      <c r="F22" s="491">
        <v>24392333</v>
      </c>
      <c r="G22" s="491">
        <v>1292497</v>
      </c>
      <c r="H22" s="491">
        <f>1852419600-22199888</f>
        <v>1830219712</v>
      </c>
      <c r="I22" s="492"/>
      <c r="J22" s="496">
        <f>K22+Q22</f>
        <v>20000000</v>
      </c>
      <c r="K22" s="491"/>
      <c r="L22" s="503"/>
      <c r="M22" s="503"/>
      <c r="N22" s="503"/>
      <c r="O22" s="503"/>
      <c r="P22" s="503"/>
      <c r="Q22" s="492">
        <v>20000000</v>
      </c>
      <c r="R22" s="501">
        <v>66000</v>
      </c>
      <c r="S22" s="504">
        <v>127</v>
      </c>
      <c r="T22" s="172"/>
      <c r="U22" s="172"/>
      <c r="V22" s="172"/>
      <c r="W22" s="172"/>
      <c r="X22" s="172"/>
      <c r="Y22" s="172"/>
      <c r="Z22" s="172"/>
      <c r="AA22" s="172"/>
      <c r="AB22" s="172"/>
      <c r="AC22" s="172"/>
      <c r="AD22" s="172"/>
      <c r="AE22" s="172"/>
      <c r="AF22" s="172"/>
      <c r="AG22" s="172"/>
      <c r="AH22" s="172"/>
      <c r="AI22" s="172"/>
      <c r="AJ22" s="172"/>
      <c r="AK22" s="172"/>
      <c r="AL22" s="172"/>
      <c r="AM22" s="172"/>
      <c r="AN22" s="172"/>
      <c r="AO22" s="172"/>
      <c r="AP22" s="172"/>
      <c r="AQ22" s="172"/>
      <c r="AR22" s="172"/>
      <c r="AS22" s="172"/>
      <c r="AT22" s="172"/>
      <c r="AU22" s="172"/>
      <c r="AV22" s="172"/>
      <c r="AW22" s="172"/>
      <c r="AX22" s="172"/>
      <c r="AY22" s="172"/>
      <c r="AZ22" s="172"/>
      <c r="BA22" s="172"/>
      <c r="BB22" s="172"/>
      <c r="BC22" s="172"/>
      <c r="BD22" s="172"/>
      <c r="BE22" s="172"/>
      <c r="BF22" s="172"/>
      <c r="BG22" s="172"/>
      <c r="BH22" s="172"/>
      <c r="BI22" s="172"/>
      <c r="BJ22" s="172"/>
      <c r="BK22" s="172"/>
      <c r="BL22" s="172"/>
      <c r="BM22" s="172"/>
      <c r="BN22" s="172"/>
      <c r="BO22" s="172"/>
      <c r="BP22" s="172"/>
      <c r="BQ22" s="172"/>
      <c r="BR22" s="172"/>
      <c r="BS22" s="172"/>
      <c r="BT22" s="172"/>
      <c r="BU22" s="172"/>
      <c r="BV22" s="172"/>
      <c r="BW22" s="172"/>
      <c r="BX22" s="172"/>
      <c r="BY22" s="172"/>
      <c r="BZ22" s="172"/>
      <c r="CA22" s="172"/>
      <c r="CB22" s="172"/>
      <c r="CC22" s="172"/>
      <c r="CD22" s="172"/>
      <c r="CE22" s="172"/>
      <c r="CF22" s="172"/>
      <c r="CG22" s="172"/>
      <c r="CH22" s="172"/>
      <c r="CI22" s="172"/>
      <c r="CJ22" s="172"/>
      <c r="CK22" s="172"/>
      <c r="CL22" s="172"/>
      <c r="CM22" s="172"/>
      <c r="CN22" s="172"/>
      <c r="CO22" s="172"/>
      <c r="CP22" s="172"/>
      <c r="CQ22" s="172"/>
      <c r="CR22" s="172"/>
      <c r="CS22" s="172"/>
      <c r="CT22" s="172"/>
      <c r="CU22" s="172"/>
      <c r="CV22" s="172"/>
      <c r="CW22" s="172"/>
      <c r="CX22" s="172"/>
      <c r="CY22" s="172"/>
      <c r="CZ22" s="172"/>
      <c r="DA22" s="172"/>
      <c r="DB22" s="172"/>
      <c r="DC22" s="172"/>
      <c r="DD22" s="172"/>
      <c r="DE22" s="172"/>
      <c r="DF22" s="172"/>
      <c r="DG22" s="172"/>
      <c r="DH22" s="172"/>
      <c r="DI22" s="172"/>
      <c r="DJ22" s="172"/>
      <c r="DK22" s="172"/>
      <c r="DL22" s="172"/>
      <c r="DM22" s="172"/>
      <c r="DN22" s="172"/>
      <c r="DO22" s="172"/>
      <c r="DP22" s="172"/>
      <c r="DQ22" s="172"/>
      <c r="DR22" s="172"/>
      <c r="DS22" s="172"/>
      <c r="DT22" s="172"/>
      <c r="DU22" s="172"/>
      <c r="DV22" s="172"/>
      <c r="DW22" s="172"/>
      <c r="DX22" s="172"/>
      <c r="DY22" s="172"/>
      <c r="DZ22" s="172"/>
      <c r="EA22" s="172"/>
      <c r="EB22" s="172"/>
      <c r="EC22" s="172"/>
      <c r="ED22" s="172"/>
      <c r="EE22" s="172"/>
      <c r="EF22" s="172"/>
      <c r="EG22" s="172"/>
      <c r="EH22" s="172"/>
      <c r="EI22" s="172"/>
      <c r="EJ22" s="172"/>
      <c r="EK22" s="172"/>
      <c r="EL22" s="172"/>
      <c r="EM22" s="172"/>
      <c r="EN22" s="172"/>
      <c r="EO22" s="172"/>
      <c r="EP22" s="172"/>
      <c r="EQ22" s="172"/>
      <c r="ER22" s="172"/>
      <c r="ES22" s="172"/>
      <c r="ET22" s="172"/>
      <c r="EU22" s="172"/>
      <c r="EV22" s="172"/>
      <c r="EW22" s="172"/>
      <c r="EX22" s="172"/>
      <c r="EY22" s="172"/>
      <c r="EZ22" s="172"/>
      <c r="FA22" s="172"/>
      <c r="FB22" s="172"/>
      <c r="FC22" s="172"/>
      <c r="FD22" s="172"/>
      <c r="FE22" s="172"/>
      <c r="FF22" s="172"/>
      <c r="FG22" s="172"/>
      <c r="FH22" s="172"/>
      <c r="FI22" s="172"/>
      <c r="FJ22" s="172"/>
      <c r="FK22" s="172"/>
      <c r="FL22" s="172"/>
      <c r="FM22" s="172"/>
      <c r="FN22" s="172"/>
      <c r="FO22" s="172"/>
      <c r="FP22" s="172"/>
      <c r="FQ22" s="172"/>
      <c r="FR22" s="172"/>
      <c r="FS22" s="172"/>
      <c r="FT22" s="172"/>
      <c r="FU22" s="172"/>
      <c r="FV22" s="172"/>
      <c r="FW22" s="172"/>
      <c r="FX22" s="172"/>
      <c r="FY22" s="172"/>
      <c r="FZ22" s="172"/>
      <c r="GA22" s="172"/>
      <c r="GB22" s="172"/>
      <c r="GC22" s="172"/>
      <c r="GD22" s="172"/>
      <c r="GE22" s="172"/>
      <c r="GF22" s="172"/>
      <c r="GG22" s="172"/>
      <c r="GH22" s="172"/>
      <c r="GI22" s="172"/>
      <c r="GJ22" s="172"/>
      <c r="GK22" s="172"/>
      <c r="GL22" s="172"/>
      <c r="GM22" s="172"/>
      <c r="GN22" s="172"/>
      <c r="GO22" s="172"/>
      <c r="GP22" s="172"/>
      <c r="GQ22" s="172"/>
      <c r="GR22" s="172"/>
      <c r="GS22" s="172"/>
      <c r="GT22" s="172"/>
      <c r="GU22" s="172"/>
      <c r="GV22" s="172"/>
      <c r="GW22" s="172"/>
      <c r="GX22" s="172"/>
      <c r="GY22" s="172"/>
      <c r="GZ22" s="172"/>
      <c r="HA22" s="172"/>
      <c r="HB22" s="172"/>
      <c r="HC22" s="172"/>
      <c r="HD22" s="172"/>
      <c r="HE22" s="172"/>
      <c r="HF22" s="172"/>
      <c r="HG22" s="172"/>
      <c r="HH22" s="172"/>
      <c r="HI22" s="172"/>
      <c r="HJ22" s="172"/>
      <c r="HK22" s="172"/>
      <c r="HL22" s="172"/>
      <c r="HM22" s="172"/>
      <c r="HN22" s="172"/>
      <c r="HO22" s="172"/>
      <c r="HP22" s="172"/>
      <c r="HQ22" s="172"/>
      <c r="HR22" s="172"/>
      <c r="HS22" s="172"/>
      <c r="HT22" s="172"/>
      <c r="HU22" s="172"/>
      <c r="HV22" s="172"/>
      <c r="HW22" s="172"/>
      <c r="HX22" s="172"/>
      <c r="HY22" s="172"/>
      <c r="HZ22" s="172"/>
      <c r="IA22" s="172"/>
      <c r="IB22" s="172"/>
      <c r="IC22" s="172"/>
      <c r="ID22" s="172"/>
      <c r="IE22" s="172"/>
      <c r="IF22" s="172"/>
      <c r="IG22" s="172"/>
      <c r="IH22" s="172"/>
      <c r="II22" s="172"/>
      <c r="IJ22" s="172"/>
      <c r="IK22" s="172"/>
      <c r="IL22" s="172"/>
      <c r="IM22" s="172"/>
      <c r="IN22" s="172"/>
      <c r="IO22" s="172"/>
      <c r="IP22" s="172"/>
      <c r="IQ22" s="172"/>
      <c r="IR22" s="172"/>
      <c r="IS22" s="172"/>
      <c r="IT22" s="172"/>
    </row>
    <row r="23" spans="1:254" ht="15" x14ac:dyDescent="0.25">
      <c r="A23" s="500" t="s">
        <v>90</v>
      </c>
      <c r="B23" s="501">
        <f t="shared" si="1"/>
        <v>5256656581</v>
      </c>
      <c r="C23" s="490">
        <f t="shared" si="2"/>
        <v>3042481581</v>
      </c>
      <c r="D23" s="491"/>
      <c r="E23" s="491"/>
      <c r="F23" s="491"/>
      <c r="G23" s="491"/>
      <c r="H23" s="491">
        <v>3042481581</v>
      </c>
      <c r="I23" s="492"/>
      <c r="J23" s="496">
        <f>K23+Q23</f>
        <v>2214175000</v>
      </c>
      <c r="K23" s="491"/>
      <c r="L23" s="503"/>
      <c r="M23" s="503"/>
      <c r="N23" s="503"/>
      <c r="O23" s="503"/>
      <c r="P23" s="503"/>
      <c r="Q23" s="492">
        <v>2214175000</v>
      </c>
      <c r="R23" s="501"/>
      <c r="S23" s="504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  <c r="AF23" s="172"/>
      <c r="AG23" s="172"/>
      <c r="AH23" s="172"/>
      <c r="AI23" s="172"/>
      <c r="AJ23" s="172"/>
      <c r="AK23" s="172"/>
      <c r="AL23" s="172"/>
      <c r="AM23" s="172"/>
      <c r="AN23" s="172"/>
      <c r="AO23" s="172"/>
      <c r="AP23" s="172"/>
      <c r="AQ23" s="172"/>
      <c r="AR23" s="172"/>
      <c r="AS23" s="172"/>
      <c r="AT23" s="172"/>
      <c r="AU23" s="172"/>
      <c r="AV23" s="172"/>
      <c r="AW23" s="172"/>
      <c r="AX23" s="172"/>
      <c r="AY23" s="172"/>
      <c r="AZ23" s="172"/>
      <c r="BA23" s="172"/>
      <c r="BB23" s="172"/>
      <c r="BC23" s="172"/>
      <c r="BD23" s="172"/>
      <c r="BE23" s="172"/>
      <c r="BF23" s="172"/>
      <c r="BG23" s="172"/>
      <c r="BH23" s="172"/>
      <c r="BI23" s="172"/>
      <c r="BJ23" s="172"/>
      <c r="BK23" s="172"/>
      <c r="BL23" s="172"/>
      <c r="BM23" s="172"/>
      <c r="BN23" s="172"/>
      <c r="BO23" s="172"/>
      <c r="BP23" s="172"/>
      <c r="BQ23" s="172"/>
      <c r="BR23" s="172"/>
      <c r="BS23" s="172"/>
      <c r="BT23" s="172"/>
      <c r="BU23" s="172"/>
      <c r="BV23" s="172"/>
      <c r="BW23" s="172"/>
      <c r="BX23" s="172"/>
      <c r="BY23" s="172"/>
      <c r="BZ23" s="172"/>
      <c r="CA23" s="172"/>
      <c r="CB23" s="172"/>
      <c r="CC23" s="172"/>
      <c r="CD23" s="172"/>
      <c r="CE23" s="172"/>
      <c r="CF23" s="172"/>
      <c r="CG23" s="172"/>
      <c r="CH23" s="172"/>
      <c r="CI23" s="172"/>
      <c r="CJ23" s="172"/>
      <c r="CK23" s="172"/>
      <c r="CL23" s="172"/>
      <c r="CM23" s="172"/>
      <c r="CN23" s="172"/>
      <c r="CO23" s="172"/>
      <c r="CP23" s="172"/>
      <c r="CQ23" s="172"/>
      <c r="CR23" s="172"/>
      <c r="CS23" s="172"/>
      <c r="CT23" s="172"/>
      <c r="CU23" s="172"/>
      <c r="CV23" s="172"/>
      <c r="CW23" s="172"/>
      <c r="CX23" s="172"/>
      <c r="CY23" s="172"/>
      <c r="CZ23" s="172"/>
      <c r="DA23" s="172"/>
      <c r="DB23" s="172"/>
      <c r="DC23" s="172"/>
      <c r="DD23" s="172"/>
      <c r="DE23" s="172"/>
      <c r="DF23" s="172"/>
      <c r="DG23" s="172"/>
      <c r="DH23" s="172"/>
      <c r="DI23" s="172"/>
      <c r="DJ23" s="172"/>
      <c r="DK23" s="172"/>
      <c r="DL23" s="172"/>
      <c r="DM23" s="172"/>
      <c r="DN23" s="172"/>
      <c r="DO23" s="172"/>
      <c r="DP23" s="172"/>
      <c r="DQ23" s="172"/>
      <c r="DR23" s="172"/>
      <c r="DS23" s="172"/>
      <c r="DT23" s="172"/>
      <c r="DU23" s="172"/>
      <c r="DV23" s="172"/>
      <c r="DW23" s="172"/>
      <c r="DX23" s="172"/>
      <c r="DY23" s="172"/>
      <c r="DZ23" s="172"/>
      <c r="EA23" s="172"/>
      <c r="EB23" s="172"/>
      <c r="EC23" s="172"/>
      <c r="ED23" s="172"/>
      <c r="EE23" s="172"/>
      <c r="EF23" s="172"/>
      <c r="EG23" s="172"/>
      <c r="EH23" s="172"/>
      <c r="EI23" s="172"/>
      <c r="EJ23" s="172"/>
      <c r="EK23" s="172"/>
      <c r="EL23" s="172"/>
      <c r="EM23" s="172"/>
      <c r="EN23" s="172"/>
      <c r="EO23" s="172"/>
      <c r="EP23" s="172"/>
      <c r="EQ23" s="172"/>
      <c r="ER23" s="172"/>
      <c r="ES23" s="172"/>
      <c r="ET23" s="172"/>
      <c r="EU23" s="172"/>
      <c r="EV23" s="172"/>
      <c r="EW23" s="172"/>
      <c r="EX23" s="172"/>
      <c r="EY23" s="172"/>
      <c r="EZ23" s="172"/>
      <c r="FA23" s="172"/>
      <c r="FB23" s="172"/>
      <c r="FC23" s="172"/>
      <c r="FD23" s="172"/>
      <c r="FE23" s="172"/>
      <c r="FF23" s="172"/>
      <c r="FG23" s="172"/>
      <c r="FH23" s="172"/>
      <c r="FI23" s="172"/>
      <c r="FJ23" s="172"/>
      <c r="FK23" s="172"/>
      <c r="FL23" s="172"/>
      <c r="FM23" s="172"/>
      <c r="FN23" s="172"/>
      <c r="FO23" s="172"/>
      <c r="FP23" s="172"/>
      <c r="FQ23" s="172"/>
      <c r="FR23" s="172"/>
      <c r="FS23" s="172"/>
      <c r="FT23" s="172"/>
      <c r="FU23" s="172"/>
      <c r="FV23" s="172"/>
      <c r="FW23" s="172"/>
      <c r="FX23" s="172"/>
      <c r="FY23" s="172"/>
      <c r="FZ23" s="172"/>
      <c r="GA23" s="172"/>
      <c r="GB23" s="172"/>
      <c r="GC23" s="172"/>
      <c r="GD23" s="172"/>
      <c r="GE23" s="172"/>
      <c r="GF23" s="172"/>
      <c r="GG23" s="172"/>
      <c r="GH23" s="172"/>
      <c r="GI23" s="172"/>
      <c r="GJ23" s="172"/>
      <c r="GK23" s="172"/>
      <c r="GL23" s="172"/>
      <c r="GM23" s="172"/>
      <c r="GN23" s="172"/>
      <c r="GO23" s="172"/>
      <c r="GP23" s="172"/>
      <c r="GQ23" s="172"/>
      <c r="GR23" s="172"/>
      <c r="GS23" s="172"/>
      <c r="GT23" s="172"/>
      <c r="GU23" s="172"/>
      <c r="GV23" s="172"/>
      <c r="GW23" s="172"/>
      <c r="GX23" s="172"/>
      <c r="GY23" s="172"/>
      <c r="GZ23" s="172"/>
      <c r="HA23" s="172"/>
      <c r="HB23" s="172"/>
      <c r="HC23" s="172"/>
      <c r="HD23" s="172"/>
      <c r="HE23" s="172"/>
      <c r="HF23" s="172"/>
      <c r="HG23" s="172"/>
      <c r="HH23" s="172"/>
      <c r="HI23" s="172"/>
      <c r="HJ23" s="172"/>
      <c r="HK23" s="172"/>
      <c r="HL23" s="172"/>
      <c r="HM23" s="172"/>
      <c r="HN23" s="172"/>
      <c r="HO23" s="172"/>
      <c r="HP23" s="172"/>
      <c r="HQ23" s="172"/>
      <c r="HR23" s="172"/>
      <c r="HS23" s="172"/>
      <c r="HT23" s="172"/>
      <c r="HU23" s="172"/>
      <c r="HV23" s="172"/>
      <c r="HW23" s="172"/>
      <c r="HX23" s="172"/>
      <c r="HY23" s="172"/>
      <c r="HZ23" s="172"/>
      <c r="IA23" s="172"/>
      <c r="IB23" s="172"/>
      <c r="IC23" s="172"/>
      <c r="ID23" s="172"/>
      <c r="IE23" s="172"/>
      <c r="IF23" s="172"/>
      <c r="IG23" s="172"/>
      <c r="IH23" s="172"/>
      <c r="II23" s="172"/>
      <c r="IJ23" s="172"/>
      <c r="IK23" s="172"/>
      <c r="IL23" s="172"/>
      <c r="IM23" s="172"/>
      <c r="IN23" s="172"/>
      <c r="IO23" s="172"/>
      <c r="IP23" s="172"/>
      <c r="IQ23" s="172"/>
      <c r="IR23" s="172"/>
      <c r="IS23" s="172"/>
      <c r="IT23" s="172"/>
    </row>
    <row r="24" spans="1:254" s="308" customFormat="1" ht="45" x14ac:dyDescent="0.25">
      <c r="A24" s="495" t="s">
        <v>562</v>
      </c>
      <c r="B24" s="493">
        <f t="shared" si="1"/>
        <v>6884280208</v>
      </c>
      <c r="C24" s="496">
        <f t="shared" ref="C24:S24" si="7">C25+C26+C27+C28+C29</f>
        <v>5643033475</v>
      </c>
      <c r="D24" s="497">
        <f t="shared" si="7"/>
        <v>389846176</v>
      </c>
      <c r="E24" s="497">
        <f t="shared" si="7"/>
        <v>122805981</v>
      </c>
      <c r="F24" s="497">
        <f t="shared" si="7"/>
        <v>174297268</v>
      </c>
      <c r="G24" s="497">
        <f t="shared" si="7"/>
        <v>7759691</v>
      </c>
      <c r="H24" s="497">
        <f t="shared" si="7"/>
        <v>4788115236</v>
      </c>
      <c r="I24" s="498">
        <f t="shared" si="7"/>
        <v>160209123</v>
      </c>
      <c r="J24" s="496">
        <f t="shared" si="7"/>
        <v>1241246733</v>
      </c>
      <c r="K24" s="497">
        <f t="shared" si="7"/>
        <v>979266847</v>
      </c>
      <c r="L24" s="499">
        <f t="shared" si="7"/>
        <v>20607057</v>
      </c>
      <c r="M24" s="499">
        <f t="shared" si="7"/>
        <v>13235638</v>
      </c>
      <c r="N24" s="499">
        <f t="shared" si="7"/>
        <v>8653735</v>
      </c>
      <c r="O24" s="499">
        <f t="shared" si="7"/>
        <v>412146</v>
      </c>
      <c r="P24" s="499">
        <f>P25+P26+P27+P28+P29</f>
        <v>936358271</v>
      </c>
      <c r="Q24" s="498">
        <f t="shared" si="7"/>
        <v>261979886</v>
      </c>
      <c r="R24" s="493">
        <f t="shared" si="7"/>
        <v>5676855393</v>
      </c>
      <c r="S24" s="494">
        <f t="shared" si="7"/>
        <v>781.73</v>
      </c>
      <c r="T24" s="170"/>
      <c r="U24" s="170"/>
      <c r="V24" s="170"/>
      <c r="W24" s="170"/>
      <c r="X24" s="170"/>
      <c r="Y24" s="170"/>
      <c r="Z24" s="170"/>
      <c r="AA24" s="170"/>
      <c r="AB24" s="170"/>
      <c r="AC24" s="170"/>
      <c r="AD24" s="170"/>
      <c r="AE24" s="170"/>
      <c r="AF24" s="170"/>
      <c r="AG24" s="170"/>
      <c r="AH24" s="170"/>
      <c r="AI24" s="170"/>
      <c r="AJ24" s="170"/>
      <c r="AK24" s="170"/>
      <c r="AL24" s="170"/>
      <c r="AM24" s="170"/>
      <c r="AN24" s="170"/>
      <c r="AO24" s="170"/>
      <c r="AP24" s="170"/>
      <c r="AQ24" s="170"/>
      <c r="AR24" s="170"/>
      <c r="AS24" s="170"/>
      <c r="AT24" s="170"/>
      <c r="AU24" s="170"/>
      <c r="AV24" s="170"/>
      <c r="AW24" s="170"/>
      <c r="AX24" s="170"/>
      <c r="AY24" s="170"/>
      <c r="AZ24" s="170"/>
      <c r="BA24" s="170"/>
      <c r="BB24" s="170"/>
      <c r="BC24" s="170"/>
      <c r="BD24" s="170"/>
      <c r="BE24" s="170"/>
      <c r="BF24" s="170"/>
      <c r="BG24" s="170"/>
      <c r="BH24" s="170"/>
      <c r="BI24" s="170"/>
      <c r="BJ24" s="170"/>
      <c r="BK24" s="170"/>
      <c r="BL24" s="170"/>
      <c r="BM24" s="170"/>
      <c r="BN24" s="170"/>
      <c r="BO24" s="170"/>
      <c r="BP24" s="170"/>
      <c r="BQ24" s="170"/>
      <c r="BR24" s="170"/>
      <c r="BS24" s="170"/>
      <c r="BT24" s="170"/>
      <c r="BU24" s="170"/>
      <c r="BV24" s="170"/>
      <c r="BW24" s="170"/>
      <c r="BX24" s="170"/>
      <c r="BY24" s="170"/>
      <c r="BZ24" s="170"/>
      <c r="CA24" s="170"/>
      <c r="CB24" s="170"/>
      <c r="CC24" s="170"/>
      <c r="CD24" s="170"/>
      <c r="CE24" s="170"/>
      <c r="CF24" s="170"/>
      <c r="CG24" s="170"/>
      <c r="CH24" s="170"/>
      <c r="CI24" s="170"/>
      <c r="CJ24" s="170"/>
      <c r="CK24" s="170"/>
      <c r="CL24" s="170"/>
      <c r="CM24" s="170"/>
      <c r="CN24" s="170"/>
      <c r="CO24" s="170"/>
      <c r="CP24" s="170"/>
      <c r="CQ24" s="170"/>
      <c r="CR24" s="170"/>
      <c r="CS24" s="170"/>
      <c r="CT24" s="170"/>
      <c r="CU24" s="170"/>
      <c r="CV24" s="170"/>
      <c r="CW24" s="170"/>
      <c r="CX24" s="170"/>
      <c r="CY24" s="170"/>
      <c r="CZ24" s="170"/>
      <c r="DA24" s="170"/>
      <c r="DB24" s="170"/>
      <c r="DC24" s="170"/>
      <c r="DD24" s="170"/>
      <c r="DE24" s="170"/>
      <c r="DF24" s="170"/>
      <c r="DG24" s="170"/>
      <c r="DH24" s="170"/>
      <c r="DI24" s="170"/>
      <c r="DJ24" s="170"/>
      <c r="DK24" s="170"/>
      <c r="DL24" s="170"/>
      <c r="DM24" s="170"/>
      <c r="DN24" s="170"/>
      <c r="DO24" s="170"/>
      <c r="DP24" s="170"/>
      <c r="DQ24" s="170"/>
      <c r="DR24" s="170"/>
      <c r="DS24" s="170"/>
      <c r="DT24" s="170"/>
      <c r="DU24" s="170"/>
      <c r="DV24" s="170"/>
      <c r="DW24" s="170"/>
      <c r="DX24" s="170"/>
      <c r="DY24" s="170"/>
      <c r="DZ24" s="170"/>
      <c r="EA24" s="170"/>
      <c r="EB24" s="170"/>
      <c r="EC24" s="170"/>
      <c r="ED24" s="170"/>
      <c r="EE24" s="170"/>
      <c r="EF24" s="170"/>
      <c r="EG24" s="170"/>
      <c r="EH24" s="170"/>
      <c r="EI24" s="170"/>
      <c r="EJ24" s="170"/>
      <c r="EK24" s="170"/>
      <c r="EL24" s="170"/>
      <c r="EM24" s="170"/>
      <c r="EN24" s="170"/>
      <c r="EO24" s="170"/>
      <c r="EP24" s="170"/>
      <c r="EQ24" s="170"/>
      <c r="ER24" s="170"/>
      <c r="ES24" s="170"/>
      <c r="ET24" s="170"/>
      <c r="EU24" s="170"/>
      <c r="EV24" s="170"/>
      <c r="EW24" s="170"/>
      <c r="EX24" s="170"/>
      <c r="EY24" s="170"/>
      <c r="EZ24" s="170"/>
      <c r="FA24" s="170"/>
      <c r="FB24" s="170"/>
      <c r="FC24" s="170"/>
      <c r="FD24" s="170"/>
      <c r="FE24" s="170"/>
      <c r="FF24" s="170"/>
      <c r="FG24" s="170"/>
      <c r="FH24" s="170"/>
      <c r="FI24" s="170"/>
      <c r="FJ24" s="170"/>
      <c r="FK24" s="170"/>
      <c r="FL24" s="170"/>
      <c r="FM24" s="170"/>
      <c r="FN24" s="170"/>
      <c r="FO24" s="170"/>
      <c r="FP24" s="170"/>
      <c r="FQ24" s="170"/>
      <c r="FR24" s="170"/>
      <c r="FS24" s="170"/>
      <c r="FT24" s="170"/>
      <c r="FU24" s="170"/>
      <c r="FV24" s="170"/>
      <c r="FW24" s="170"/>
      <c r="FX24" s="170"/>
      <c r="FY24" s="170"/>
      <c r="FZ24" s="170"/>
      <c r="GA24" s="170"/>
      <c r="GB24" s="170"/>
      <c r="GC24" s="170"/>
      <c r="GD24" s="170"/>
      <c r="GE24" s="170"/>
      <c r="GF24" s="170"/>
      <c r="GG24" s="170"/>
      <c r="GH24" s="170"/>
      <c r="GI24" s="170"/>
      <c r="GJ24" s="170"/>
      <c r="GK24" s="170"/>
      <c r="GL24" s="170"/>
      <c r="GM24" s="170"/>
      <c r="GN24" s="170"/>
      <c r="GO24" s="170"/>
      <c r="GP24" s="170"/>
      <c r="GQ24" s="170"/>
      <c r="GR24" s="170"/>
      <c r="GS24" s="170"/>
      <c r="GT24" s="170"/>
      <c r="GU24" s="170"/>
      <c r="GV24" s="170"/>
      <c r="GW24" s="170"/>
      <c r="GX24" s="170"/>
      <c r="GY24" s="170"/>
      <c r="GZ24" s="170"/>
      <c r="HA24" s="170"/>
      <c r="HB24" s="170"/>
      <c r="HC24" s="170"/>
      <c r="HD24" s="170"/>
      <c r="HE24" s="170"/>
      <c r="HF24" s="170"/>
      <c r="HG24" s="170"/>
      <c r="HH24" s="170"/>
      <c r="HI24" s="170"/>
      <c r="HJ24" s="170"/>
      <c r="HK24" s="170"/>
      <c r="HL24" s="170"/>
      <c r="HM24" s="170"/>
      <c r="HN24" s="170"/>
      <c r="HO24" s="170"/>
      <c r="HP24" s="170"/>
      <c r="HQ24" s="170"/>
      <c r="HR24" s="170"/>
      <c r="HS24" s="170"/>
      <c r="HT24" s="170"/>
      <c r="HU24" s="170"/>
      <c r="HV24" s="170"/>
      <c r="HW24" s="170"/>
      <c r="HX24" s="170"/>
      <c r="HY24" s="170"/>
      <c r="HZ24" s="170"/>
      <c r="IA24" s="170"/>
      <c r="IB24" s="170"/>
      <c r="IC24" s="170"/>
      <c r="ID24" s="170"/>
      <c r="IE24" s="170"/>
      <c r="IF24" s="170"/>
      <c r="IG24" s="170"/>
      <c r="IH24" s="170"/>
      <c r="II24" s="170"/>
      <c r="IJ24" s="170"/>
      <c r="IK24" s="170"/>
      <c r="IL24" s="170"/>
      <c r="IM24" s="170"/>
      <c r="IN24" s="170"/>
      <c r="IO24" s="170"/>
      <c r="IP24" s="170"/>
      <c r="IQ24" s="170"/>
      <c r="IR24" s="170"/>
      <c r="IS24" s="170"/>
      <c r="IT24" s="170"/>
    </row>
    <row r="25" spans="1:254" ht="15" x14ac:dyDescent="0.25">
      <c r="A25" s="500" t="s">
        <v>91</v>
      </c>
      <c r="B25" s="501">
        <f t="shared" si="1"/>
        <v>6676161464</v>
      </c>
      <c r="C25" s="490">
        <f>SUM(D25:I25)</f>
        <v>5485238697</v>
      </c>
      <c r="D25" s="491">
        <v>359368315</v>
      </c>
      <c r="E25" s="491">
        <v>100268285</v>
      </c>
      <c r="F25" s="491">
        <v>156768706</v>
      </c>
      <c r="G25" s="491">
        <v>7146368</v>
      </c>
      <c r="H25" s="491">
        <v>4701477900</v>
      </c>
      <c r="I25" s="492">
        <v>160209123</v>
      </c>
      <c r="J25" s="490">
        <f>K25+Q25</f>
        <v>1190922767</v>
      </c>
      <c r="K25" s="491">
        <f>SUM(L25:P25)</f>
        <v>975434087</v>
      </c>
      <c r="L25" s="491">
        <v>18551650</v>
      </c>
      <c r="M25" s="491">
        <v>13235638</v>
      </c>
      <c r="N25" s="491">
        <v>7958990</v>
      </c>
      <c r="O25" s="491">
        <v>371038</v>
      </c>
      <c r="P25" s="491">
        <v>935316771</v>
      </c>
      <c r="Q25" s="492">
        <v>215488680</v>
      </c>
      <c r="R25" s="501">
        <v>5500000000</v>
      </c>
      <c r="S25" s="504">
        <f>685+30-1</f>
        <v>714</v>
      </c>
      <c r="T25" s="172" t="s">
        <v>232</v>
      </c>
      <c r="U25" s="172"/>
      <c r="V25" s="172"/>
      <c r="W25" s="172"/>
      <c r="X25" s="172"/>
      <c r="Y25" s="172"/>
      <c r="Z25" s="172"/>
      <c r="AA25" s="172"/>
      <c r="AB25" s="172"/>
      <c r="AC25" s="172"/>
      <c r="AD25" s="172"/>
      <c r="AE25" s="172"/>
      <c r="AF25" s="172"/>
      <c r="AG25" s="172"/>
      <c r="AH25" s="172"/>
      <c r="AI25" s="172"/>
      <c r="AJ25" s="172"/>
      <c r="AK25" s="172"/>
      <c r="AL25" s="172"/>
      <c r="AM25" s="172"/>
      <c r="AN25" s="172"/>
      <c r="AO25" s="172"/>
      <c r="AP25" s="172"/>
      <c r="AQ25" s="172"/>
      <c r="AR25" s="172"/>
      <c r="AS25" s="172"/>
      <c r="AT25" s="172"/>
      <c r="AU25" s="172"/>
      <c r="AV25" s="172"/>
      <c r="AW25" s="172"/>
      <c r="AX25" s="172"/>
      <c r="AY25" s="172"/>
      <c r="AZ25" s="172"/>
      <c r="BA25" s="172"/>
      <c r="BB25" s="172"/>
      <c r="BC25" s="172"/>
      <c r="BD25" s="172"/>
      <c r="BE25" s="172"/>
      <c r="BF25" s="172"/>
      <c r="BG25" s="172"/>
      <c r="BH25" s="172"/>
      <c r="BI25" s="172"/>
      <c r="BJ25" s="172"/>
      <c r="BK25" s="172"/>
      <c r="BL25" s="172"/>
      <c r="BM25" s="172"/>
      <c r="BN25" s="172"/>
      <c r="BO25" s="172"/>
      <c r="BP25" s="172"/>
      <c r="BQ25" s="172"/>
      <c r="BR25" s="172"/>
      <c r="BS25" s="172"/>
      <c r="BT25" s="172"/>
      <c r="BU25" s="172"/>
      <c r="BV25" s="172"/>
      <c r="BW25" s="172"/>
      <c r="BX25" s="172"/>
      <c r="BY25" s="172"/>
      <c r="BZ25" s="172"/>
      <c r="CA25" s="172"/>
      <c r="CB25" s="172"/>
      <c r="CC25" s="172"/>
      <c r="CD25" s="172"/>
      <c r="CE25" s="172"/>
      <c r="CF25" s="172"/>
      <c r="CG25" s="172"/>
      <c r="CH25" s="172"/>
      <c r="CI25" s="172"/>
      <c r="CJ25" s="172"/>
      <c r="CK25" s="172"/>
      <c r="CL25" s="172"/>
      <c r="CM25" s="172"/>
      <c r="CN25" s="172"/>
      <c r="CO25" s="172"/>
      <c r="CP25" s="172"/>
      <c r="CQ25" s="172"/>
      <c r="CR25" s="172"/>
      <c r="CS25" s="172"/>
      <c r="CT25" s="172"/>
      <c r="CU25" s="172"/>
      <c r="CV25" s="172"/>
      <c r="CW25" s="172"/>
      <c r="CX25" s="172"/>
      <c r="CY25" s="172"/>
      <c r="CZ25" s="172"/>
      <c r="DA25" s="172"/>
      <c r="DB25" s="172"/>
      <c r="DC25" s="172"/>
      <c r="DD25" s="172"/>
      <c r="DE25" s="172"/>
      <c r="DF25" s="172"/>
      <c r="DG25" s="172"/>
      <c r="DH25" s="172"/>
      <c r="DI25" s="172"/>
      <c r="DJ25" s="172"/>
      <c r="DK25" s="172"/>
      <c r="DL25" s="172"/>
      <c r="DM25" s="172"/>
      <c r="DN25" s="172"/>
      <c r="DO25" s="172"/>
      <c r="DP25" s="172"/>
      <c r="DQ25" s="172"/>
      <c r="DR25" s="172"/>
      <c r="DS25" s="172"/>
      <c r="DT25" s="172"/>
      <c r="DU25" s="172"/>
      <c r="DV25" s="172"/>
      <c r="DW25" s="172"/>
      <c r="DX25" s="172"/>
      <c r="DY25" s="172"/>
      <c r="DZ25" s="172"/>
      <c r="EA25" s="172"/>
      <c r="EB25" s="172"/>
      <c r="EC25" s="172"/>
      <c r="ED25" s="172"/>
      <c r="EE25" s="172"/>
      <c r="EF25" s="172"/>
      <c r="EG25" s="172"/>
      <c r="EH25" s="172"/>
      <c r="EI25" s="172"/>
      <c r="EJ25" s="172"/>
      <c r="EK25" s="172"/>
      <c r="EL25" s="172"/>
      <c r="EM25" s="172"/>
      <c r="EN25" s="172"/>
      <c r="EO25" s="172"/>
      <c r="EP25" s="172"/>
      <c r="EQ25" s="172"/>
      <c r="ER25" s="172"/>
      <c r="ES25" s="172"/>
      <c r="ET25" s="172"/>
      <c r="EU25" s="172"/>
      <c r="EV25" s="172"/>
      <c r="EW25" s="172"/>
      <c r="EX25" s="172"/>
      <c r="EY25" s="172"/>
      <c r="EZ25" s="172"/>
      <c r="FA25" s="172"/>
      <c r="FB25" s="172"/>
      <c r="FC25" s="172"/>
      <c r="FD25" s="172"/>
      <c r="FE25" s="172"/>
      <c r="FF25" s="172"/>
      <c r="FG25" s="172"/>
      <c r="FH25" s="172"/>
      <c r="FI25" s="172"/>
      <c r="FJ25" s="172"/>
      <c r="FK25" s="172"/>
      <c r="FL25" s="172"/>
      <c r="FM25" s="172"/>
      <c r="FN25" s="172"/>
      <c r="FO25" s="172"/>
      <c r="FP25" s="172"/>
      <c r="FQ25" s="172"/>
      <c r="FR25" s="172"/>
      <c r="FS25" s="172"/>
      <c r="FT25" s="172"/>
      <c r="FU25" s="172"/>
      <c r="FV25" s="172"/>
      <c r="FW25" s="172"/>
      <c r="FX25" s="172"/>
      <c r="FY25" s="172"/>
      <c r="FZ25" s="172"/>
      <c r="GA25" s="172"/>
      <c r="GB25" s="172"/>
      <c r="GC25" s="172"/>
      <c r="GD25" s="172"/>
      <c r="GE25" s="172"/>
      <c r="GF25" s="172"/>
      <c r="GG25" s="172"/>
      <c r="GH25" s="172"/>
      <c r="GI25" s="172"/>
      <c r="GJ25" s="172"/>
      <c r="GK25" s="172"/>
      <c r="GL25" s="172"/>
      <c r="GM25" s="172"/>
      <c r="GN25" s="172"/>
      <c r="GO25" s="172"/>
      <c r="GP25" s="172"/>
      <c r="GQ25" s="172"/>
      <c r="GR25" s="172"/>
      <c r="GS25" s="172"/>
      <c r="GT25" s="172"/>
      <c r="GU25" s="172"/>
      <c r="GV25" s="172"/>
      <c r="GW25" s="172"/>
      <c r="GX25" s="172"/>
      <c r="GY25" s="172"/>
      <c r="GZ25" s="172"/>
      <c r="HA25" s="172"/>
      <c r="HB25" s="172"/>
      <c r="HC25" s="172"/>
      <c r="HD25" s="172"/>
      <c r="HE25" s="172"/>
      <c r="HF25" s="172"/>
      <c r="HG25" s="172"/>
      <c r="HH25" s="172"/>
      <c r="HI25" s="172"/>
      <c r="HJ25" s="172"/>
      <c r="HK25" s="172"/>
      <c r="HL25" s="172"/>
      <c r="HM25" s="172"/>
      <c r="HN25" s="172"/>
      <c r="HO25" s="172"/>
      <c r="HP25" s="172"/>
      <c r="HQ25" s="172"/>
      <c r="HR25" s="172"/>
      <c r="HS25" s="172"/>
      <c r="HT25" s="172"/>
      <c r="HU25" s="172"/>
      <c r="HV25" s="172"/>
      <c r="HW25" s="172"/>
      <c r="HX25" s="172"/>
      <c r="HY25" s="172"/>
      <c r="HZ25" s="172"/>
      <c r="IA25" s="172"/>
      <c r="IB25" s="172"/>
      <c r="IC25" s="172"/>
      <c r="ID25" s="172"/>
      <c r="IE25" s="172"/>
      <c r="IF25" s="172"/>
      <c r="IG25" s="172"/>
      <c r="IH25" s="172"/>
      <c r="II25" s="172"/>
      <c r="IJ25" s="172"/>
      <c r="IK25" s="172"/>
      <c r="IL25" s="172"/>
      <c r="IM25" s="172"/>
      <c r="IN25" s="172"/>
      <c r="IO25" s="172"/>
      <c r="IP25" s="172"/>
      <c r="IQ25" s="172"/>
      <c r="IR25" s="172"/>
      <c r="IS25" s="172"/>
      <c r="IT25" s="172"/>
    </row>
    <row r="26" spans="1:254" ht="15" x14ac:dyDescent="0.25">
      <c r="A26" s="500" t="s">
        <v>176</v>
      </c>
      <c r="B26" s="501">
        <f t="shared" si="1"/>
        <v>71052216</v>
      </c>
      <c r="C26" s="490">
        <f t="shared" si="2"/>
        <v>71052216</v>
      </c>
      <c r="D26" s="491">
        <f>216366+1226070</f>
        <v>1442436</v>
      </c>
      <c r="E26" s="491">
        <f>49500+280500</f>
        <v>330000</v>
      </c>
      <c r="F26" s="491">
        <v>600184</v>
      </c>
      <c r="G26" s="491">
        <v>32613</v>
      </c>
      <c r="H26" s="491">
        <v>68646983</v>
      </c>
      <c r="I26" s="492"/>
      <c r="J26" s="490"/>
      <c r="K26" s="491"/>
      <c r="L26" s="503"/>
      <c r="M26" s="503"/>
      <c r="N26" s="503"/>
      <c r="O26" s="503"/>
      <c r="P26" s="503"/>
      <c r="Q26" s="492"/>
      <c r="R26" s="501">
        <v>62118970</v>
      </c>
      <c r="S26" s="504">
        <v>4</v>
      </c>
      <c r="T26" s="172"/>
      <c r="U26" s="172"/>
      <c r="V26" s="172"/>
      <c r="W26" s="172"/>
      <c r="X26" s="172"/>
      <c r="Y26" s="172"/>
      <c r="Z26" s="172"/>
      <c r="AA26" s="172"/>
      <c r="AB26" s="172"/>
      <c r="AC26" s="172"/>
      <c r="AD26" s="172"/>
      <c r="AE26" s="172"/>
      <c r="AF26" s="172"/>
      <c r="AG26" s="172"/>
      <c r="AH26" s="172"/>
      <c r="AI26" s="172"/>
      <c r="AJ26" s="172"/>
      <c r="AK26" s="172"/>
      <c r="AL26" s="172"/>
      <c r="AM26" s="172"/>
      <c r="AN26" s="172"/>
      <c r="AO26" s="172"/>
      <c r="AP26" s="172"/>
      <c r="AQ26" s="172"/>
      <c r="AR26" s="172"/>
      <c r="AS26" s="172"/>
      <c r="AT26" s="172"/>
      <c r="AU26" s="172"/>
      <c r="AV26" s="172"/>
      <c r="AW26" s="172"/>
      <c r="AX26" s="172"/>
      <c r="AY26" s="172"/>
      <c r="AZ26" s="172"/>
      <c r="BA26" s="172"/>
      <c r="BB26" s="172"/>
      <c r="BC26" s="172"/>
      <c r="BD26" s="172"/>
      <c r="BE26" s="172"/>
      <c r="BF26" s="172"/>
      <c r="BG26" s="172"/>
      <c r="BH26" s="172"/>
      <c r="BI26" s="172"/>
      <c r="BJ26" s="172"/>
      <c r="BK26" s="172"/>
      <c r="BL26" s="172"/>
      <c r="BM26" s="172"/>
      <c r="BN26" s="172"/>
      <c r="BO26" s="172"/>
      <c r="BP26" s="172"/>
      <c r="BQ26" s="172"/>
      <c r="BR26" s="172"/>
      <c r="BS26" s="172"/>
      <c r="BT26" s="172"/>
      <c r="BU26" s="172"/>
      <c r="BV26" s="172"/>
      <c r="BW26" s="172"/>
      <c r="BX26" s="172"/>
      <c r="BY26" s="172"/>
      <c r="BZ26" s="172"/>
      <c r="CA26" s="172"/>
      <c r="CB26" s="172"/>
      <c r="CC26" s="172"/>
      <c r="CD26" s="172"/>
      <c r="CE26" s="172"/>
      <c r="CF26" s="172"/>
      <c r="CG26" s="172"/>
      <c r="CH26" s="172"/>
      <c r="CI26" s="172"/>
      <c r="CJ26" s="172"/>
      <c r="CK26" s="172"/>
      <c r="CL26" s="172"/>
      <c r="CM26" s="172"/>
      <c r="CN26" s="172"/>
      <c r="CO26" s="172"/>
      <c r="CP26" s="172"/>
      <c r="CQ26" s="172"/>
      <c r="CR26" s="172"/>
      <c r="CS26" s="172"/>
      <c r="CT26" s="172"/>
      <c r="CU26" s="172"/>
      <c r="CV26" s="172"/>
      <c r="CW26" s="172"/>
      <c r="CX26" s="172"/>
      <c r="CY26" s="172"/>
      <c r="CZ26" s="172"/>
      <c r="DA26" s="172"/>
      <c r="DB26" s="172"/>
      <c r="DC26" s="172"/>
      <c r="DD26" s="172"/>
      <c r="DE26" s="172"/>
      <c r="DF26" s="172"/>
      <c r="DG26" s="172"/>
      <c r="DH26" s="172"/>
      <c r="DI26" s="172"/>
      <c r="DJ26" s="172"/>
      <c r="DK26" s="172"/>
      <c r="DL26" s="172"/>
      <c r="DM26" s="172"/>
      <c r="DN26" s="172"/>
      <c r="DO26" s="172"/>
      <c r="DP26" s="172"/>
      <c r="DQ26" s="172"/>
      <c r="DR26" s="172"/>
      <c r="DS26" s="172"/>
      <c r="DT26" s="172"/>
      <c r="DU26" s="172"/>
      <c r="DV26" s="172"/>
      <c r="DW26" s="172"/>
      <c r="DX26" s="172"/>
      <c r="DY26" s="172"/>
      <c r="DZ26" s="172"/>
      <c r="EA26" s="172"/>
      <c r="EB26" s="172"/>
      <c r="EC26" s="172"/>
      <c r="ED26" s="172"/>
      <c r="EE26" s="172"/>
      <c r="EF26" s="172"/>
      <c r="EG26" s="172"/>
      <c r="EH26" s="172"/>
      <c r="EI26" s="172"/>
      <c r="EJ26" s="172"/>
      <c r="EK26" s="172"/>
      <c r="EL26" s="172"/>
      <c r="EM26" s="172"/>
      <c r="EN26" s="172"/>
      <c r="EO26" s="172"/>
      <c r="EP26" s="172"/>
      <c r="EQ26" s="172"/>
      <c r="ER26" s="172"/>
      <c r="ES26" s="172"/>
      <c r="ET26" s="172"/>
      <c r="EU26" s="172"/>
      <c r="EV26" s="172"/>
      <c r="EW26" s="172"/>
      <c r="EX26" s="172"/>
      <c r="EY26" s="172"/>
      <c r="EZ26" s="172"/>
      <c r="FA26" s="172"/>
      <c r="FB26" s="172"/>
      <c r="FC26" s="172"/>
      <c r="FD26" s="172"/>
      <c r="FE26" s="172"/>
      <c r="FF26" s="172"/>
      <c r="FG26" s="172"/>
      <c r="FH26" s="172"/>
      <c r="FI26" s="172"/>
      <c r="FJ26" s="172"/>
      <c r="FK26" s="172"/>
      <c r="FL26" s="172"/>
      <c r="FM26" s="172"/>
      <c r="FN26" s="172"/>
      <c r="FO26" s="172"/>
      <c r="FP26" s="172"/>
      <c r="FQ26" s="172"/>
      <c r="FR26" s="172"/>
      <c r="FS26" s="172"/>
      <c r="FT26" s="172"/>
      <c r="FU26" s="172"/>
      <c r="FV26" s="172"/>
      <c r="FW26" s="172"/>
      <c r="FX26" s="172"/>
      <c r="FY26" s="172"/>
      <c r="FZ26" s="172"/>
      <c r="GA26" s="172"/>
      <c r="GB26" s="172"/>
      <c r="GC26" s="172"/>
      <c r="GD26" s="172"/>
      <c r="GE26" s="172"/>
      <c r="GF26" s="172"/>
      <c r="GG26" s="172"/>
      <c r="GH26" s="172"/>
      <c r="GI26" s="172"/>
      <c r="GJ26" s="172"/>
      <c r="GK26" s="172"/>
      <c r="GL26" s="172"/>
      <c r="GM26" s="172"/>
      <c r="GN26" s="172"/>
      <c r="GO26" s="172"/>
      <c r="GP26" s="172"/>
      <c r="GQ26" s="172"/>
      <c r="GR26" s="172"/>
      <c r="GS26" s="172"/>
      <c r="GT26" s="172"/>
      <c r="GU26" s="172"/>
      <c r="GV26" s="172"/>
      <c r="GW26" s="172"/>
      <c r="GX26" s="172"/>
      <c r="GY26" s="172"/>
      <c r="GZ26" s="172"/>
      <c r="HA26" s="172"/>
      <c r="HB26" s="172"/>
      <c r="HC26" s="172"/>
      <c r="HD26" s="172"/>
      <c r="HE26" s="172"/>
      <c r="HF26" s="172"/>
      <c r="HG26" s="172"/>
      <c r="HH26" s="172"/>
      <c r="HI26" s="172"/>
      <c r="HJ26" s="172"/>
      <c r="HK26" s="172"/>
      <c r="HL26" s="172"/>
      <c r="HM26" s="172"/>
      <c r="HN26" s="172"/>
      <c r="HO26" s="172"/>
      <c r="HP26" s="172"/>
      <c r="HQ26" s="172"/>
      <c r="HR26" s="172"/>
      <c r="HS26" s="172"/>
      <c r="HT26" s="172"/>
      <c r="HU26" s="172"/>
      <c r="HV26" s="172"/>
      <c r="HW26" s="172"/>
      <c r="HX26" s="172"/>
      <c r="HY26" s="172"/>
      <c r="HZ26" s="172"/>
      <c r="IA26" s="172"/>
      <c r="IB26" s="172"/>
      <c r="IC26" s="172"/>
      <c r="ID26" s="172"/>
      <c r="IE26" s="172"/>
      <c r="IF26" s="172"/>
      <c r="IG26" s="172"/>
      <c r="IH26" s="172"/>
      <c r="II26" s="172"/>
      <c r="IJ26" s="172"/>
      <c r="IK26" s="172"/>
      <c r="IL26" s="172"/>
      <c r="IM26" s="172"/>
      <c r="IN26" s="172"/>
      <c r="IO26" s="172"/>
      <c r="IP26" s="172"/>
      <c r="IQ26" s="172"/>
      <c r="IR26" s="172"/>
      <c r="IS26" s="172"/>
      <c r="IT26" s="172"/>
    </row>
    <row r="27" spans="1:254" ht="15" x14ac:dyDescent="0.25">
      <c r="A27" s="500" t="s">
        <v>190</v>
      </c>
      <c r="B27" s="501">
        <f t="shared" si="1"/>
        <v>1446800</v>
      </c>
      <c r="C27" s="490">
        <f t="shared" si="2"/>
        <v>1446800</v>
      </c>
      <c r="D27" s="491"/>
      <c r="E27" s="491">
        <v>177000</v>
      </c>
      <c r="F27" s="491">
        <v>47861</v>
      </c>
      <c r="G27" s="491"/>
      <c r="H27" s="491">
        <v>1221939</v>
      </c>
      <c r="I27" s="492"/>
      <c r="J27" s="490"/>
      <c r="K27" s="491"/>
      <c r="L27" s="503"/>
      <c r="M27" s="503"/>
      <c r="N27" s="503"/>
      <c r="O27" s="503"/>
      <c r="P27" s="503"/>
      <c r="Q27" s="492"/>
      <c r="R27" s="501">
        <v>1360000</v>
      </c>
      <c r="S27" s="504"/>
      <c r="T27" s="172"/>
      <c r="U27" s="172"/>
      <c r="V27" s="172"/>
      <c r="W27" s="172"/>
      <c r="X27" s="172"/>
      <c r="Y27" s="172"/>
      <c r="Z27" s="172"/>
      <c r="AA27" s="172"/>
      <c r="AB27" s="172"/>
      <c r="AC27" s="172"/>
      <c r="AD27" s="172"/>
      <c r="AE27" s="172"/>
      <c r="AF27" s="172"/>
      <c r="AG27" s="172"/>
      <c r="AH27" s="172"/>
      <c r="AI27" s="172"/>
      <c r="AJ27" s="172"/>
      <c r="AK27" s="172"/>
      <c r="AL27" s="172"/>
      <c r="AM27" s="172"/>
      <c r="AN27" s="172"/>
      <c r="AO27" s="172"/>
      <c r="AP27" s="172"/>
      <c r="AQ27" s="172"/>
      <c r="AR27" s="172"/>
      <c r="AS27" s="172"/>
      <c r="AT27" s="172"/>
      <c r="AU27" s="172"/>
      <c r="AV27" s="172"/>
      <c r="AW27" s="172"/>
      <c r="AX27" s="172"/>
      <c r="AY27" s="172"/>
      <c r="AZ27" s="172"/>
      <c r="BA27" s="172"/>
      <c r="BB27" s="172"/>
      <c r="BC27" s="172"/>
      <c r="BD27" s="172"/>
      <c r="BE27" s="172"/>
      <c r="BF27" s="172"/>
      <c r="BG27" s="172"/>
      <c r="BH27" s="172"/>
      <c r="BI27" s="172"/>
      <c r="BJ27" s="172"/>
      <c r="BK27" s="172"/>
      <c r="BL27" s="172"/>
      <c r="BM27" s="172"/>
      <c r="BN27" s="172"/>
      <c r="BO27" s="172"/>
      <c r="BP27" s="172"/>
      <c r="BQ27" s="172"/>
      <c r="BR27" s="172"/>
      <c r="BS27" s="172"/>
      <c r="BT27" s="172"/>
      <c r="BU27" s="172"/>
      <c r="BV27" s="172"/>
      <c r="BW27" s="172"/>
      <c r="BX27" s="172"/>
      <c r="BY27" s="172"/>
      <c r="BZ27" s="172"/>
      <c r="CA27" s="172"/>
      <c r="CB27" s="172"/>
      <c r="CC27" s="172"/>
      <c r="CD27" s="172"/>
      <c r="CE27" s="172"/>
      <c r="CF27" s="172"/>
      <c r="CG27" s="172"/>
      <c r="CH27" s="172"/>
      <c r="CI27" s="172"/>
      <c r="CJ27" s="172"/>
      <c r="CK27" s="172"/>
      <c r="CL27" s="172"/>
      <c r="CM27" s="172"/>
      <c r="CN27" s="172"/>
      <c r="CO27" s="172"/>
      <c r="CP27" s="172"/>
      <c r="CQ27" s="172"/>
      <c r="CR27" s="172"/>
      <c r="CS27" s="172"/>
      <c r="CT27" s="172"/>
      <c r="CU27" s="172"/>
      <c r="CV27" s="172"/>
      <c r="CW27" s="172"/>
      <c r="CX27" s="172"/>
      <c r="CY27" s="172"/>
      <c r="CZ27" s="172"/>
      <c r="DA27" s="172"/>
      <c r="DB27" s="172"/>
      <c r="DC27" s="172"/>
      <c r="DD27" s="172"/>
      <c r="DE27" s="172"/>
      <c r="DF27" s="172"/>
      <c r="DG27" s="172"/>
      <c r="DH27" s="172"/>
      <c r="DI27" s="172"/>
      <c r="DJ27" s="172"/>
      <c r="DK27" s="172"/>
      <c r="DL27" s="172"/>
      <c r="DM27" s="172"/>
      <c r="DN27" s="172"/>
      <c r="DO27" s="172"/>
      <c r="DP27" s="172"/>
      <c r="DQ27" s="172"/>
      <c r="DR27" s="172"/>
      <c r="DS27" s="172"/>
      <c r="DT27" s="172"/>
      <c r="DU27" s="172"/>
      <c r="DV27" s="172"/>
      <c r="DW27" s="172"/>
      <c r="DX27" s="172"/>
      <c r="DY27" s="172"/>
      <c r="DZ27" s="172"/>
      <c r="EA27" s="172"/>
      <c r="EB27" s="172"/>
      <c r="EC27" s="172"/>
      <c r="ED27" s="172"/>
      <c r="EE27" s="172"/>
      <c r="EF27" s="172"/>
      <c r="EG27" s="172"/>
      <c r="EH27" s="172"/>
      <c r="EI27" s="172"/>
      <c r="EJ27" s="172"/>
      <c r="EK27" s="172"/>
      <c r="EL27" s="172"/>
      <c r="EM27" s="172"/>
      <c r="EN27" s="172"/>
      <c r="EO27" s="172"/>
      <c r="EP27" s="172"/>
      <c r="EQ27" s="172"/>
      <c r="ER27" s="172"/>
      <c r="ES27" s="172"/>
      <c r="ET27" s="172"/>
      <c r="EU27" s="172"/>
      <c r="EV27" s="172"/>
      <c r="EW27" s="172"/>
      <c r="EX27" s="172"/>
      <c r="EY27" s="172"/>
      <c r="EZ27" s="172"/>
      <c r="FA27" s="172"/>
      <c r="FB27" s="172"/>
      <c r="FC27" s="172"/>
      <c r="FD27" s="172"/>
      <c r="FE27" s="172"/>
      <c r="FF27" s="172"/>
      <c r="FG27" s="172"/>
      <c r="FH27" s="172"/>
      <c r="FI27" s="172"/>
      <c r="FJ27" s="172"/>
      <c r="FK27" s="172"/>
      <c r="FL27" s="172"/>
      <c r="FM27" s="172"/>
      <c r="FN27" s="172"/>
      <c r="FO27" s="172"/>
      <c r="FP27" s="172"/>
      <c r="FQ27" s="172"/>
      <c r="FR27" s="172"/>
      <c r="FS27" s="172"/>
      <c r="FT27" s="172"/>
      <c r="FU27" s="172"/>
      <c r="FV27" s="172"/>
      <c r="FW27" s="172"/>
      <c r="FX27" s="172"/>
      <c r="FY27" s="172"/>
      <c r="FZ27" s="172"/>
      <c r="GA27" s="172"/>
      <c r="GB27" s="172"/>
      <c r="GC27" s="172"/>
      <c r="GD27" s="172"/>
      <c r="GE27" s="172"/>
      <c r="GF27" s="172"/>
      <c r="GG27" s="172"/>
      <c r="GH27" s="172"/>
      <c r="GI27" s="172"/>
      <c r="GJ27" s="172"/>
      <c r="GK27" s="172"/>
      <c r="GL27" s="172"/>
      <c r="GM27" s="172"/>
      <c r="GN27" s="172"/>
      <c r="GO27" s="172"/>
      <c r="GP27" s="172"/>
      <c r="GQ27" s="172"/>
      <c r="GR27" s="172"/>
      <c r="GS27" s="172"/>
      <c r="GT27" s="172"/>
      <c r="GU27" s="172"/>
      <c r="GV27" s="172"/>
      <c r="GW27" s="172"/>
      <c r="GX27" s="172"/>
      <c r="GY27" s="172"/>
      <c r="GZ27" s="172"/>
      <c r="HA27" s="172"/>
      <c r="HB27" s="172"/>
      <c r="HC27" s="172"/>
      <c r="HD27" s="172"/>
      <c r="HE27" s="172"/>
      <c r="HF27" s="172"/>
      <c r="HG27" s="172"/>
      <c r="HH27" s="172"/>
      <c r="HI27" s="172"/>
      <c r="HJ27" s="172"/>
      <c r="HK27" s="172"/>
      <c r="HL27" s="172"/>
      <c r="HM27" s="172"/>
      <c r="HN27" s="172"/>
      <c r="HO27" s="172"/>
      <c r="HP27" s="172"/>
      <c r="HQ27" s="172"/>
      <c r="HR27" s="172"/>
      <c r="HS27" s="172"/>
      <c r="HT27" s="172"/>
      <c r="HU27" s="172"/>
      <c r="HV27" s="172"/>
      <c r="HW27" s="172"/>
      <c r="HX27" s="172"/>
      <c r="HY27" s="172"/>
      <c r="HZ27" s="172"/>
      <c r="IA27" s="172"/>
      <c r="IB27" s="172"/>
      <c r="IC27" s="172"/>
      <c r="ID27" s="172"/>
      <c r="IE27" s="172"/>
      <c r="IF27" s="172"/>
      <c r="IG27" s="172"/>
      <c r="IH27" s="172"/>
      <c r="II27" s="172"/>
      <c r="IJ27" s="172"/>
      <c r="IK27" s="172"/>
      <c r="IL27" s="172"/>
      <c r="IM27" s="172"/>
      <c r="IN27" s="172"/>
      <c r="IO27" s="172"/>
      <c r="IP27" s="172"/>
      <c r="IQ27" s="172"/>
      <c r="IR27" s="172"/>
      <c r="IS27" s="172"/>
      <c r="IT27" s="172"/>
    </row>
    <row r="28" spans="1:254" ht="15" x14ac:dyDescent="0.25">
      <c r="A28" s="500" t="s">
        <v>287</v>
      </c>
      <c r="B28" s="501">
        <f t="shared" si="1"/>
        <v>89938522</v>
      </c>
      <c r="C28" s="490">
        <f t="shared" si="2"/>
        <v>85295762</v>
      </c>
      <c r="D28" s="491">
        <v>29035425</v>
      </c>
      <c r="E28" s="491">
        <v>22030696</v>
      </c>
      <c r="F28" s="491">
        <v>16880517</v>
      </c>
      <c r="G28" s="491">
        <v>580710</v>
      </c>
      <c r="H28" s="491">
        <f>15958414+810000</f>
        <v>16768414</v>
      </c>
      <c r="I28" s="492"/>
      <c r="J28" s="490">
        <f>K28+Q28</f>
        <v>4642760</v>
      </c>
      <c r="K28" s="491">
        <f>L28+N28+O28+P28</f>
        <v>3832760</v>
      </c>
      <c r="L28" s="503">
        <v>2055407</v>
      </c>
      <c r="M28" s="503"/>
      <c r="N28" s="503">
        <v>694745</v>
      </c>
      <c r="O28" s="503">
        <v>41108</v>
      </c>
      <c r="P28" s="503">
        <v>1041500</v>
      </c>
      <c r="Q28" s="492">
        <v>810000</v>
      </c>
      <c r="R28" s="501">
        <v>76438600</v>
      </c>
      <c r="S28" s="504">
        <f>3+60.73</f>
        <v>63.73</v>
      </c>
      <c r="T28" s="172"/>
      <c r="U28" s="172"/>
      <c r="V28" s="172"/>
      <c r="W28" s="172"/>
      <c r="X28" s="172"/>
      <c r="Y28" s="172"/>
      <c r="Z28" s="172"/>
      <c r="AA28" s="172"/>
      <c r="AB28" s="172"/>
      <c r="AC28" s="172"/>
      <c r="AD28" s="172"/>
      <c r="AE28" s="172"/>
      <c r="AF28" s="172"/>
      <c r="AG28" s="172"/>
      <c r="AH28" s="172"/>
      <c r="AI28" s="172"/>
      <c r="AJ28" s="172"/>
      <c r="AK28" s="172"/>
      <c r="AL28" s="172"/>
      <c r="AM28" s="172"/>
      <c r="AN28" s="172"/>
      <c r="AO28" s="172"/>
      <c r="AP28" s="172"/>
      <c r="AQ28" s="172"/>
      <c r="AR28" s="172"/>
      <c r="AS28" s="172"/>
      <c r="AT28" s="172"/>
      <c r="AU28" s="172"/>
      <c r="AV28" s="172"/>
      <c r="AW28" s="172"/>
      <c r="AX28" s="172"/>
      <c r="AY28" s="172"/>
      <c r="AZ28" s="172"/>
      <c r="BA28" s="172"/>
      <c r="BB28" s="172"/>
      <c r="BC28" s="172"/>
      <c r="BD28" s="172"/>
      <c r="BE28" s="172"/>
      <c r="BF28" s="172"/>
      <c r="BG28" s="172"/>
      <c r="BH28" s="172"/>
      <c r="BI28" s="172"/>
      <c r="BJ28" s="172"/>
      <c r="BK28" s="172"/>
      <c r="BL28" s="172"/>
      <c r="BM28" s="172"/>
      <c r="BN28" s="172"/>
      <c r="BO28" s="172"/>
      <c r="BP28" s="172"/>
      <c r="BQ28" s="172"/>
      <c r="BR28" s="172"/>
      <c r="BS28" s="172"/>
      <c r="BT28" s="172"/>
      <c r="BU28" s="172"/>
      <c r="BV28" s="172"/>
      <c r="BW28" s="172"/>
      <c r="BX28" s="172"/>
      <c r="BY28" s="172"/>
      <c r="BZ28" s="172"/>
      <c r="CA28" s="172"/>
      <c r="CB28" s="172"/>
      <c r="CC28" s="172"/>
      <c r="CD28" s="172"/>
      <c r="CE28" s="172"/>
      <c r="CF28" s="172"/>
      <c r="CG28" s="172"/>
      <c r="CH28" s="172"/>
      <c r="CI28" s="172"/>
      <c r="CJ28" s="172"/>
      <c r="CK28" s="172"/>
      <c r="CL28" s="172"/>
      <c r="CM28" s="172"/>
      <c r="CN28" s="172"/>
      <c r="CO28" s="172"/>
      <c r="CP28" s="172"/>
      <c r="CQ28" s="172"/>
      <c r="CR28" s="172"/>
      <c r="CS28" s="172"/>
      <c r="CT28" s="172"/>
      <c r="CU28" s="172"/>
      <c r="CV28" s="172"/>
      <c r="CW28" s="172"/>
      <c r="CX28" s="172"/>
      <c r="CY28" s="172"/>
      <c r="CZ28" s="172"/>
      <c r="DA28" s="172"/>
      <c r="DB28" s="172"/>
      <c r="DC28" s="172"/>
      <c r="DD28" s="172"/>
      <c r="DE28" s="172"/>
      <c r="DF28" s="172"/>
      <c r="DG28" s="172"/>
      <c r="DH28" s="172"/>
      <c r="DI28" s="172"/>
      <c r="DJ28" s="172"/>
      <c r="DK28" s="172"/>
      <c r="DL28" s="172"/>
      <c r="DM28" s="172"/>
      <c r="DN28" s="172"/>
      <c r="DO28" s="172"/>
      <c r="DP28" s="172"/>
      <c r="DQ28" s="172"/>
      <c r="DR28" s="172"/>
      <c r="DS28" s="172"/>
      <c r="DT28" s="172"/>
      <c r="DU28" s="172"/>
      <c r="DV28" s="172"/>
      <c r="DW28" s="172"/>
      <c r="DX28" s="172"/>
      <c r="DY28" s="172"/>
      <c r="DZ28" s="172"/>
      <c r="EA28" s="172"/>
      <c r="EB28" s="172"/>
      <c r="EC28" s="172"/>
      <c r="ED28" s="172"/>
      <c r="EE28" s="172"/>
      <c r="EF28" s="172"/>
      <c r="EG28" s="172"/>
      <c r="EH28" s="172"/>
      <c r="EI28" s="172"/>
      <c r="EJ28" s="172"/>
      <c r="EK28" s="172"/>
      <c r="EL28" s="172"/>
      <c r="EM28" s="172"/>
      <c r="EN28" s="172"/>
      <c r="EO28" s="172"/>
      <c r="EP28" s="172"/>
      <c r="EQ28" s="172"/>
      <c r="ER28" s="172"/>
      <c r="ES28" s="172"/>
      <c r="ET28" s="172"/>
      <c r="EU28" s="172"/>
      <c r="EV28" s="172"/>
      <c r="EW28" s="172"/>
      <c r="EX28" s="172"/>
      <c r="EY28" s="172"/>
      <c r="EZ28" s="172"/>
      <c r="FA28" s="172"/>
      <c r="FB28" s="172"/>
      <c r="FC28" s="172"/>
      <c r="FD28" s="172"/>
      <c r="FE28" s="172"/>
      <c r="FF28" s="172"/>
      <c r="FG28" s="172"/>
      <c r="FH28" s="172"/>
      <c r="FI28" s="172"/>
      <c r="FJ28" s="172"/>
      <c r="FK28" s="172"/>
      <c r="FL28" s="172"/>
      <c r="FM28" s="172"/>
      <c r="FN28" s="172"/>
      <c r="FO28" s="172"/>
      <c r="FP28" s="172"/>
      <c r="FQ28" s="172"/>
      <c r="FR28" s="172"/>
      <c r="FS28" s="172"/>
      <c r="FT28" s="172"/>
      <c r="FU28" s="172"/>
      <c r="FV28" s="172"/>
      <c r="FW28" s="172"/>
      <c r="FX28" s="172"/>
      <c r="FY28" s="172"/>
      <c r="FZ28" s="172"/>
      <c r="GA28" s="172"/>
      <c r="GB28" s="172"/>
      <c r="GC28" s="172"/>
      <c r="GD28" s="172"/>
      <c r="GE28" s="172"/>
      <c r="GF28" s="172"/>
      <c r="GG28" s="172"/>
      <c r="GH28" s="172"/>
      <c r="GI28" s="172"/>
      <c r="GJ28" s="172"/>
      <c r="GK28" s="172"/>
      <c r="GL28" s="172"/>
      <c r="GM28" s="172"/>
      <c r="GN28" s="172"/>
      <c r="GO28" s="172"/>
      <c r="GP28" s="172"/>
      <c r="GQ28" s="172"/>
      <c r="GR28" s="172"/>
      <c r="GS28" s="172"/>
      <c r="GT28" s="172"/>
      <c r="GU28" s="172"/>
      <c r="GV28" s="172"/>
      <c r="GW28" s="172"/>
      <c r="GX28" s="172"/>
      <c r="GY28" s="172"/>
      <c r="GZ28" s="172"/>
      <c r="HA28" s="172"/>
      <c r="HB28" s="172"/>
      <c r="HC28" s="172"/>
      <c r="HD28" s="172"/>
      <c r="HE28" s="172"/>
      <c r="HF28" s="172"/>
      <c r="HG28" s="172"/>
      <c r="HH28" s="172"/>
      <c r="HI28" s="172"/>
      <c r="HJ28" s="172"/>
      <c r="HK28" s="172"/>
      <c r="HL28" s="172"/>
      <c r="HM28" s="172"/>
      <c r="HN28" s="172"/>
      <c r="HO28" s="172"/>
      <c r="HP28" s="172"/>
      <c r="HQ28" s="172"/>
      <c r="HR28" s="172"/>
      <c r="HS28" s="172"/>
      <c r="HT28" s="172"/>
      <c r="HU28" s="172"/>
      <c r="HV28" s="172"/>
      <c r="HW28" s="172"/>
      <c r="HX28" s="172"/>
      <c r="HY28" s="172"/>
      <c r="HZ28" s="172"/>
      <c r="IA28" s="172"/>
      <c r="IB28" s="172"/>
      <c r="IC28" s="172"/>
      <c r="ID28" s="172"/>
      <c r="IE28" s="172"/>
      <c r="IF28" s="172"/>
      <c r="IG28" s="172"/>
      <c r="IH28" s="172"/>
      <c r="II28" s="172"/>
      <c r="IJ28" s="172"/>
      <c r="IK28" s="172"/>
      <c r="IL28" s="172"/>
      <c r="IM28" s="172"/>
      <c r="IN28" s="172"/>
      <c r="IO28" s="172"/>
      <c r="IP28" s="172"/>
      <c r="IQ28" s="172"/>
      <c r="IR28" s="172"/>
      <c r="IS28" s="172"/>
      <c r="IT28" s="172"/>
    </row>
    <row r="29" spans="1:254" ht="30" x14ac:dyDescent="0.25">
      <c r="A29" s="500" t="s">
        <v>346</v>
      </c>
      <c r="B29" s="501">
        <f t="shared" si="1"/>
        <v>45681206</v>
      </c>
      <c r="C29" s="490"/>
      <c r="D29" s="491"/>
      <c r="E29" s="491"/>
      <c r="F29" s="491"/>
      <c r="G29" s="491"/>
      <c r="H29" s="491"/>
      <c r="I29" s="492"/>
      <c r="J29" s="496">
        <f>K29+Q29</f>
        <v>45681206</v>
      </c>
      <c r="K29" s="491"/>
      <c r="L29" s="503"/>
      <c r="M29" s="503"/>
      <c r="N29" s="503"/>
      <c r="O29" s="503"/>
      <c r="P29" s="503"/>
      <c r="Q29" s="492">
        <v>45681206</v>
      </c>
      <c r="R29" s="501">
        <v>36937823</v>
      </c>
      <c r="S29" s="504"/>
      <c r="T29" s="170"/>
      <c r="U29" s="170"/>
      <c r="V29" s="170"/>
      <c r="W29" s="170"/>
      <c r="X29" s="170"/>
      <c r="Y29" s="170"/>
      <c r="Z29" s="170"/>
      <c r="AA29" s="170"/>
      <c r="AB29" s="170"/>
      <c r="AC29" s="170"/>
      <c r="AD29" s="170"/>
      <c r="AE29" s="170"/>
      <c r="AF29" s="170"/>
      <c r="AG29" s="170"/>
      <c r="AH29" s="170"/>
      <c r="AI29" s="170"/>
      <c r="AJ29" s="170"/>
      <c r="AK29" s="170"/>
      <c r="AL29" s="170"/>
      <c r="AM29" s="170"/>
      <c r="AN29" s="170"/>
      <c r="AO29" s="170"/>
      <c r="AP29" s="170"/>
      <c r="AQ29" s="170"/>
      <c r="AR29" s="170"/>
      <c r="AS29" s="170"/>
      <c r="AT29" s="170"/>
      <c r="AU29" s="170"/>
      <c r="AV29" s="170"/>
      <c r="AW29" s="170"/>
      <c r="AX29" s="170"/>
      <c r="AY29" s="170"/>
      <c r="AZ29" s="170"/>
      <c r="BA29" s="170"/>
      <c r="BB29" s="170"/>
      <c r="BC29" s="170"/>
      <c r="BD29" s="170"/>
      <c r="BE29" s="170"/>
      <c r="BF29" s="170"/>
      <c r="BG29" s="170"/>
      <c r="BH29" s="170"/>
      <c r="BI29" s="170"/>
      <c r="BJ29" s="170"/>
      <c r="BK29" s="170"/>
      <c r="BL29" s="170"/>
      <c r="BM29" s="170"/>
      <c r="BN29" s="170"/>
      <c r="BO29" s="170"/>
      <c r="BP29" s="170"/>
      <c r="BQ29" s="170"/>
      <c r="BR29" s="170"/>
      <c r="BS29" s="170"/>
      <c r="BT29" s="170"/>
      <c r="BU29" s="170"/>
      <c r="BV29" s="170"/>
      <c r="BW29" s="170"/>
      <c r="BX29" s="170"/>
      <c r="BY29" s="170"/>
      <c r="BZ29" s="170"/>
      <c r="CA29" s="170"/>
      <c r="CB29" s="170"/>
      <c r="CC29" s="170"/>
      <c r="CD29" s="170"/>
      <c r="CE29" s="170"/>
      <c r="CF29" s="170"/>
      <c r="CG29" s="170"/>
      <c r="CH29" s="170"/>
      <c r="CI29" s="170"/>
      <c r="CJ29" s="170"/>
      <c r="CK29" s="170"/>
      <c r="CL29" s="170"/>
      <c r="CM29" s="170"/>
      <c r="CN29" s="170"/>
      <c r="CO29" s="170"/>
      <c r="CP29" s="170"/>
      <c r="CQ29" s="170"/>
      <c r="CR29" s="170"/>
      <c r="CS29" s="170"/>
      <c r="CT29" s="170"/>
      <c r="CU29" s="170"/>
      <c r="CV29" s="170"/>
      <c r="CW29" s="170"/>
      <c r="CX29" s="170"/>
      <c r="CY29" s="170"/>
      <c r="CZ29" s="170"/>
      <c r="DA29" s="170"/>
      <c r="DB29" s="170"/>
      <c r="DC29" s="170"/>
      <c r="DD29" s="170"/>
      <c r="DE29" s="170"/>
      <c r="DF29" s="170"/>
      <c r="DG29" s="170"/>
      <c r="DH29" s="170"/>
      <c r="DI29" s="170"/>
      <c r="DJ29" s="170"/>
      <c r="DK29" s="170"/>
      <c r="DL29" s="170"/>
      <c r="DM29" s="170"/>
      <c r="DN29" s="170"/>
      <c r="DO29" s="170"/>
      <c r="DP29" s="170"/>
      <c r="DQ29" s="170"/>
      <c r="DR29" s="170"/>
      <c r="DS29" s="170"/>
      <c r="DT29" s="170"/>
      <c r="DU29" s="170"/>
      <c r="DV29" s="170"/>
      <c r="DW29" s="170"/>
      <c r="DX29" s="170"/>
      <c r="DY29" s="170"/>
      <c r="DZ29" s="170"/>
      <c r="EA29" s="170"/>
      <c r="EB29" s="170"/>
      <c r="EC29" s="170"/>
      <c r="ED29" s="170"/>
      <c r="EE29" s="170"/>
      <c r="EF29" s="170"/>
      <c r="EG29" s="170"/>
      <c r="EH29" s="170"/>
      <c r="EI29" s="170"/>
      <c r="EJ29" s="170"/>
      <c r="EK29" s="170"/>
      <c r="EL29" s="170"/>
      <c r="EM29" s="170"/>
      <c r="EN29" s="170"/>
      <c r="EO29" s="170"/>
      <c r="EP29" s="170"/>
      <c r="EQ29" s="170"/>
      <c r="ER29" s="170"/>
      <c r="ES29" s="170"/>
      <c r="ET29" s="170"/>
      <c r="EU29" s="170"/>
      <c r="EV29" s="170"/>
      <c r="EW29" s="170"/>
      <c r="EX29" s="170"/>
      <c r="EY29" s="170"/>
      <c r="EZ29" s="170"/>
      <c r="FA29" s="170"/>
      <c r="FB29" s="170"/>
      <c r="FC29" s="170"/>
      <c r="FD29" s="170"/>
      <c r="FE29" s="170"/>
      <c r="FF29" s="170"/>
      <c r="FG29" s="170"/>
      <c r="FH29" s="170"/>
      <c r="FI29" s="170"/>
      <c r="FJ29" s="170"/>
      <c r="FK29" s="170"/>
      <c r="FL29" s="170"/>
      <c r="FM29" s="170"/>
      <c r="FN29" s="170"/>
      <c r="FO29" s="170"/>
      <c r="FP29" s="170"/>
      <c r="FQ29" s="170"/>
      <c r="FR29" s="170"/>
      <c r="FS29" s="170"/>
      <c r="FT29" s="170"/>
      <c r="FU29" s="170"/>
      <c r="FV29" s="170"/>
      <c r="FW29" s="170"/>
      <c r="FX29" s="170"/>
      <c r="FY29" s="170"/>
      <c r="FZ29" s="170"/>
      <c r="GA29" s="170"/>
      <c r="GB29" s="170"/>
      <c r="GC29" s="170"/>
      <c r="GD29" s="170"/>
      <c r="GE29" s="170"/>
      <c r="GF29" s="170"/>
      <c r="GG29" s="170"/>
      <c r="GH29" s="170"/>
      <c r="GI29" s="170"/>
      <c r="GJ29" s="170"/>
      <c r="GK29" s="170"/>
      <c r="GL29" s="170"/>
      <c r="GM29" s="170"/>
      <c r="GN29" s="170"/>
      <c r="GO29" s="170"/>
      <c r="GP29" s="170"/>
      <c r="GQ29" s="170"/>
      <c r="GR29" s="170"/>
      <c r="GS29" s="170"/>
      <c r="GT29" s="170"/>
      <c r="GU29" s="170"/>
      <c r="GV29" s="170"/>
      <c r="GW29" s="170"/>
      <c r="GX29" s="170"/>
      <c r="GY29" s="170"/>
      <c r="GZ29" s="170"/>
      <c r="HA29" s="170"/>
      <c r="HB29" s="170"/>
      <c r="HC29" s="170"/>
      <c r="HD29" s="170"/>
      <c r="HE29" s="170"/>
      <c r="HF29" s="170"/>
      <c r="HG29" s="170"/>
      <c r="HH29" s="170"/>
      <c r="HI29" s="170"/>
      <c r="HJ29" s="170"/>
      <c r="HK29" s="170"/>
      <c r="HL29" s="170"/>
      <c r="HM29" s="170"/>
      <c r="HN29" s="170"/>
      <c r="HO29" s="170"/>
      <c r="HP29" s="170"/>
      <c r="HQ29" s="170"/>
      <c r="HR29" s="170"/>
      <c r="HS29" s="170"/>
      <c r="HT29" s="170"/>
      <c r="HU29" s="170"/>
      <c r="HV29" s="170"/>
      <c r="HW29" s="170"/>
      <c r="HX29" s="170"/>
      <c r="HY29" s="170"/>
      <c r="HZ29" s="170"/>
      <c r="IA29" s="170"/>
      <c r="IB29" s="170"/>
      <c r="IC29" s="170"/>
      <c r="ID29" s="170"/>
      <c r="IE29" s="170"/>
      <c r="IF29" s="170"/>
      <c r="IG29" s="170"/>
      <c r="IH29" s="170"/>
      <c r="II29" s="170"/>
      <c r="IJ29" s="170"/>
      <c r="IK29" s="170"/>
      <c r="IL29" s="170"/>
      <c r="IM29" s="170"/>
      <c r="IN29" s="170"/>
      <c r="IO29" s="170"/>
      <c r="IP29" s="170"/>
      <c r="IQ29" s="170"/>
      <c r="IR29" s="170"/>
      <c r="IS29" s="170"/>
      <c r="IT29" s="170"/>
    </row>
    <row r="30" spans="1:254" ht="15" x14ac:dyDescent="0.25">
      <c r="A30" s="495" t="s">
        <v>51</v>
      </c>
      <c r="B30" s="493">
        <f t="shared" si="1"/>
        <v>2249516539</v>
      </c>
      <c r="C30" s="496">
        <f t="shared" si="2"/>
        <v>2145390852</v>
      </c>
      <c r="D30" s="497">
        <f>SUM(D31:D40)</f>
        <v>845297335</v>
      </c>
      <c r="E30" s="497">
        <f>SUM(E31:E40)</f>
        <v>158999432</v>
      </c>
      <c r="F30" s="497">
        <f>SUM(F31:F40)</f>
        <v>321735141</v>
      </c>
      <c r="G30" s="497">
        <f>SUM(G31:G40)</f>
        <v>16904029</v>
      </c>
      <c r="H30" s="497">
        <f>SUM(H31:H40)</f>
        <v>802454915</v>
      </c>
      <c r="I30" s="498"/>
      <c r="J30" s="496">
        <f>J31+J32+J33+J34+J35+J36+J37+J40</f>
        <v>104125687</v>
      </c>
      <c r="K30" s="497">
        <f t="shared" ref="K30:R30" si="8">K31+K32+K33+K34+K35+K36+K37+K40</f>
        <v>2540870</v>
      </c>
      <c r="L30" s="499">
        <f t="shared" si="8"/>
        <v>0</v>
      </c>
      <c r="M30" s="499">
        <f t="shared" si="8"/>
        <v>0</v>
      </c>
      <c r="N30" s="499">
        <f t="shared" si="8"/>
        <v>0</v>
      </c>
      <c r="O30" s="499">
        <f t="shared" si="8"/>
        <v>0</v>
      </c>
      <c r="P30" s="499">
        <f t="shared" si="8"/>
        <v>2540870</v>
      </c>
      <c r="Q30" s="498">
        <f t="shared" si="8"/>
        <v>101584817</v>
      </c>
      <c r="R30" s="493">
        <f t="shared" si="8"/>
        <v>94332600</v>
      </c>
      <c r="S30" s="494">
        <f>S31+S32+S33+S34+S35+S36+S37+S38+S39+S40</f>
        <v>1640.62</v>
      </c>
      <c r="T30" s="172"/>
      <c r="U30" s="172"/>
      <c r="V30" s="172"/>
      <c r="W30" s="172"/>
      <c r="X30" s="172"/>
      <c r="Y30" s="172"/>
      <c r="Z30" s="172"/>
      <c r="AA30" s="172"/>
      <c r="AB30" s="172"/>
      <c r="AC30" s="172"/>
      <c r="AD30" s="172"/>
      <c r="AE30" s="172"/>
      <c r="AF30" s="172"/>
      <c r="AG30" s="172"/>
      <c r="AH30" s="172"/>
      <c r="AI30" s="172"/>
      <c r="AJ30" s="172"/>
      <c r="AK30" s="172"/>
      <c r="AL30" s="172"/>
      <c r="AM30" s="172"/>
      <c r="AN30" s="172"/>
      <c r="AO30" s="172"/>
      <c r="AP30" s="172"/>
      <c r="AQ30" s="172"/>
      <c r="AR30" s="172"/>
      <c r="AS30" s="172"/>
      <c r="AT30" s="172"/>
      <c r="AU30" s="172"/>
      <c r="AV30" s="172"/>
      <c r="AW30" s="172"/>
      <c r="AX30" s="172"/>
      <c r="AY30" s="172"/>
      <c r="AZ30" s="172"/>
      <c r="BA30" s="172"/>
      <c r="BB30" s="172"/>
      <c r="BC30" s="172"/>
      <c r="BD30" s="172"/>
      <c r="BE30" s="172"/>
      <c r="BF30" s="172"/>
      <c r="BG30" s="172"/>
      <c r="BH30" s="172"/>
      <c r="BI30" s="172"/>
      <c r="BJ30" s="172"/>
      <c r="BK30" s="172"/>
      <c r="BL30" s="172"/>
      <c r="BM30" s="172"/>
      <c r="BN30" s="172"/>
      <c r="BO30" s="172"/>
      <c r="BP30" s="172"/>
      <c r="BQ30" s="172"/>
      <c r="BR30" s="172"/>
      <c r="BS30" s="172"/>
      <c r="BT30" s="172"/>
      <c r="BU30" s="172"/>
      <c r="BV30" s="172"/>
      <c r="BW30" s="172"/>
      <c r="BX30" s="172"/>
      <c r="BY30" s="172"/>
      <c r="BZ30" s="172"/>
      <c r="CA30" s="172"/>
      <c r="CB30" s="172"/>
      <c r="CC30" s="172"/>
      <c r="CD30" s="172"/>
      <c r="CE30" s="172"/>
      <c r="CF30" s="172"/>
      <c r="CG30" s="172"/>
      <c r="CH30" s="172"/>
      <c r="CI30" s="172"/>
      <c r="CJ30" s="172"/>
      <c r="CK30" s="172"/>
      <c r="CL30" s="172"/>
      <c r="CM30" s="172"/>
      <c r="CN30" s="172"/>
      <c r="CO30" s="172"/>
      <c r="CP30" s="172"/>
      <c r="CQ30" s="172"/>
      <c r="CR30" s="172"/>
      <c r="CS30" s="172"/>
      <c r="CT30" s="172"/>
      <c r="CU30" s="172"/>
      <c r="CV30" s="172"/>
      <c r="CW30" s="172"/>
      <c r="CX30" s="172"/>
      <c r="CY30" s="172"/>
      <c r="CZ30" s="172"/>
      <c r="DA30" s="172"/>
      <c r="DB30" s="172"/>
      <c r="DC30" s="172"/>
      <c r="DD30" s="172"/>
      <c r="DE30" s="172"/>
      <c r="DF30" s="172"/>
      <c r="DG30" s="172"/>
      <c r="DH30" s="172"/>
      <c r="DI30" s="172"/>
      <c r="DJ30" s="172"/>
      <c r="DK30" s="172"/>
      <c r="DL30" s="172"/>
      <c r="DM30" s="172"/>
      <c r="DN30" s="172"/>
      <c r="DO30" s="172"/>
      <c r="DP30" s="172"/>
      <c r="DQ30" s="172"/>
      <c r="DR30" s="172"/>
      <c r="DS30" s="172"/>
      <c r="DT30" s="172"/>
      <c r="DU30" s="172"/>
      <c r="DV30" s="172"/>
      <c r="DW30" s="172"/>
      <c r="DX30" s="172"/>
      <c r="DY30" s="172"/>
      <c r="DZ30" s="172"/>
      <c r="EA30" s="172"/>
      <c r="EB30" s="172"/>
      <c r="EC30" s="172"/>
      <c r="ED30" s="172"/>
      <c r="EE30" s="172"/>
      <c r="EF30" s="172"/>
      <c r="EG30" s="172"/>
      <c r="EH30" s="172"/>
      <c r="EI30" s="172"/>
      <c r="EJ30" s="172"/>
      <c r="EK30" s="172"/>
      <c r="EL30" s="172"/>
      <c r="EM30" s="172"/>
      <c r="EN30" s="172"/>
      <c r="EO30" s="172"/>
      <c r="EP30" s="172"/>
      <c r="EQ30" s="172"/>
      <c r="ER30" s="172"/>
      <c r="ES30" s="172"/>
      <c r="ET30" s="172"/>
      <c r="EU30" s="172"/>
      <c r="EV30" s="172"/>
      <c r="EW30" s="172"/>
      <c r="EX30" s="172"/>
      <c r="EY30" s="172"/>
      <c r="EZ30" s="172"/>
      <c r="FA30" s="172"/>
      <c r="FB30" s="172"/>
      <c r="FC30" s="172"/>
      <c r="FD30" s="172"/>
      <c r="FE30" s="172"/>
      <c r="FF30" s="172"/>
      <c r="FG30" s="172"/>
      <c r="FH30" s="172"/>
      <c r="FI30" s="172"/>
      <c r="FJ30" s="172"/>
      <c r="FK30" s="172"/>
      <c r="FL30" s="172"/>
      <c r="FM30" s="172"/>
      <c r="FN30" s="172"/>
      <c r="FO30" s="172"/>
      <c r="FP30" s="172"/>
      <c r="FQ30" s="172"/>
      <c r="FR30" s="172"/>
      <c r="FS30" s="172"/>
      <c r="FT30" s="172"/>
      <c r="FU30" s="172"/>
      <c r="FV30" s="172"/>
      <c r="FW30" s="172"/>
      <c r="FX30" s="172"/>
      <c r="FY30" s="172"/>
      <c r="FZ30" s="172"/>
      <c r="GA30" s="172"/>
      <c r="GB30" s="172"/>
      <c r="GC30" s="172"/>
      <c r="GD30" s="172"/>
      <c r="GE30" s="172"/>
      <c r="GF30" s="172"/>
      <c r="GG30" s="172"/>
      <c r="GH30" s="172"/>
      <c r="GI30" s="172"/>
      <c r="GJ30" s="172"/>
      <c r="GK30" s="172"/>
      <c r="GL30" s="172"/>
      <c r="GM30" s="172"/>
      <c r="GN30" s="172"/>
      <c r="GO30" s="172"/>
      <c r="GP30" s="172"/>
      <c r="GQ30" s="172"/>
      <c r="GR30" s="172"/>
      <c r="GS30" s="172"/>
      <c r="GT30" s="172"/>
      <c r="GU30" s="172"/>
      <c r="GV30" s="172"/>
      <c r="GW30" s="172"/>
      <c r="GX30" s="172"/>
      <c r="GY30" s="172"/>
      <c r="GZ30" s="172"/>
      <c r="HA30" s="172"/>
      <c r="HB30" s="172"/>
      <c r="HC30" s="172"/>
      <c r="HD30" s="172"/>
      <c r="HE30" s="172"/>
      <c r="HF30" s="172"/>
      <c r="HG30" s="172"/>
      <c r="HH30" s="172"/>
      <c r="HI30" s="172"/>
      <c r="HJ30" s="172"/>
      <c r="HK30" s="172"/>
      <c r="HL30" s="172"/>
      <c r="HM30" s="172"/>
      <c r="HN30" s="172"/>
      <c r="HO30" s="172"/>
      <c r="HP30" s="172"/>
      <c r="HQ30" s="172"/>
      <c r="HR30" s="172"/>
      <c r="HS30" s="172"/>
      <c r="HT30" s="172"/>
      <c r="HU30" s="172"/>
      <c r="HV30" s="172"/>
      <c r="HW30" s="172"/>
      <c r="HX30" s="172"/>
      <c r="HY30" s="172"/>
      <c r="HZ30" s="172"/>
      <c r="IA30" s="172"/>
      <c r="IB30" s="172"/>
      <c r="IC30" s="172"/>
      <c r="ID30" s="172"/>
      <c r="IE30" s="172"/>
      <c r="IF30" s="172"/>
      <c r="IG30" s="172"/>
      <c r="IH30" s="172"/>
      <c r="II30" s="172"/>
      <c r="IJ30" s="172"/>
      <c r="IK30" s="172"/>
      <c r="IL30" s="172"/>
      <c r="IM30" s="172"/>
      <c r="IN30" s="172"/>
      <c r="IO30" s="172"/>
      <c r="IP30" s="172"/>
      <c r="IQ30" s="172"/>
      <c r="IR30" s="172"/>
      <c r="IS30" s="172"/>
      <c r="IT30" s="172"/>
    </row>
    <row r="31" spans="1:254" ht="30" x14ac:dyDescent="0.25">
      <c r="A31" s="500" t="s">
        <v>408</v>
      </c>
      <c r="B31" s="501">
        <f t="shared" si="1"/>
        <v>962950049</v>
      </c>
      <c r="C31" s="490">
        <f t="shared" si="2"/>
        <v>958279749</v>
      </c>
      <c r="D31" s="491">
        <v>262524667</v>
      </c>
      <c r="E31" s="491">
        <v>108429988</v>
      </c>
      <c r="F31" s="491">
        <v>112532245</v>
      </c>
      <c r="G31" s="491">
        <v>5258483</v>
      </c>
      <c r="H31" s="506">
        <f>541583168-72048802</f>
        <v>469534366</v>
      </c>
      <c r="I31" s="492"/>
      <c r="J31" s="496">
        <f>K31+Q31</f>
        <v>4670300</v>
      </c>
      <c r="K31" s="491"/>
      <c r="L31" s="503"/>
      <c r="M31" s="503"/>
      <c r="N31" s="503"/>
      <c r="O31" s="503"/>
      <c r="P31" s="503"/>
      <c r="Q31" s="492">
        <v>4670300</v>
      </c>
      <c r="R31" s="501"/>
      <c r="S31" s="504">
        <f>686-38.5-74</f>
        <v>573.5</v>
      </c>
      <c r="T31" s="172"/>
      <c r="U31" s="172"/>
      <c r="V31" s="172"/>
      <c r="W31" s="172"/>
      <c r="X31" s="172"/>
      <c r="Y31" s="172"/>
      <c r="Z31" s="172"/>
      <c r="AA31" s="172"/>
      <c r="AB31" s="172"/>
      <c r="AC31" s="172"/>
      <c r="AD31" s="172"/>
      <c r="AE31" s="172"/>
      <c r="AF31" s="172"/>
      <c r="AG31" s="172"/>
      <c r="AH31" s="172"/>
      <c r="AI31" s="172"/>
      <c r="AJ31" s="172"/>
      <c r="AK31" s="172"/>
      <c r="AL31" s="172"/>
      <c r="AM31" s="172"/>
      <c r="AN31" s="172"/>
      <c r="AO31" s="172"/>
      <c r="AP31" s="172"/>
      <c r="AQ31" s="172"/>
      <c r="AR31" s="172"/>
      <c r="AS31" s="172"/>
      <c r="AT31" s="172"/>
      <c r="AU31" s="172"/>
      <c r="AV31" s="172"/>
      <c r="AW31" s="172"/>
      <c r="AX31" s="172"/>
      <c r="AY31" s="172"/>
      <c r="AZ31" s="172"/>
      <c r="BA31" s="172"/>
      <c r="BB31" s="172"/>
      <c r="BC31" s="172"/>
      <c r="BD31" s="172"/>
      <c r="BE31" s="172"/>
      <c r="BF31" s="172"/>
      <c r="BG31" s="172"/>
      <c r="BH31" s="172"/>
      <c r="BI31" s="172"/>
      <c r="BJ31" s="172"/>
      <c r="BK31" s="172"/>
      <c r="BL31" s="172"/>
      <c r="BM31" s="172"/>
      <c r="BN31" s="172"/>
      <c r="BO31" s="172"/>
      <c r="BP31" s="172"/>
      <c r="BQ31" s="172"/>
      <c r="BR31" s="172"/>
      <c r="BS31" s="172"/>
      <c r="BT31" s="172"/>
      <c r="BU31" s="172"/>
      <c r="BV31" s="172"/>
      <c r="BW31" s="172"/>
      <c r="BX31" s="172"/>
      <c r="BY31" s="172"/>
      <c r="BZ31" s="172"/>
      <c r="CA31" s="172"/>
      <c r="CB31" s="172"/>
      <c r="CC31" s="172"/>
      <c r="CD31" s="172"/>
      <c r="CE31" s="172"/>
      <c r="CF31" s="172"/>
      <c r="CG31" s="172"/>
      <c r="CH31" s="172"/>
      <c r="CI31" s="172"/>
      <c r="CJ31" s="172"/>
      <c r="CK31" s="172"/>
      <c r="CL31" s="172"/>
      <c r="CM31" s="172"/>
      <c r="CN31" s="172"/>
      <c r="CO31" s="172"/>
      <c r="CP31" s="172"/>
      <c r="CQ31" s="172"/>
      <c r="CR31" s="172"/>
      <c r="CS31" s="172"/>
      <c r="CT31" s="172"/>
      <c r="CU31" s="172"/>
      <c r="CV31" s="172"/>
      <c r="CW31" s="172"/>
      <c r="CX31" s="172"/>
      <c r="CY31" s="172"/>
      <c r="CZ31" s="172"/>
      <c r="DA31" s="172"/>
      <c r="DB31" s="172"/>
      <c r="DC31" s="172"/>
      <c r="DD31" s="172"/>
      <c r="DE31" s="172"/>
      <c r="DF31" s="172"/>
      <c r="DG31" s="172"/>
      <c r="DH31" s="172"/>
      <c r="DI31" s="172"/>
      <c r="DJ31" s="172"/>
      <c r="DK31" s="172"/>
      <c r="DL31" s="172"/>
      <c r="DM31" s="172"/>
      <c r="DN31" s="172"/>
      <c r="DO31" s="172"/>
      <c r="DP31" s="172"/>
      <c r="DQ31" s="172"/>
      <c r="DR31" s="172"/>
      <c r="DS31" s="172"/>
      <c r="DT31" s="172"/>
      <c r="DU31" s="172"/>
      <c r="DV31" s="172"/>
      <c r="DW31" s="172"/>
      <c r="DX31" s="172"/>
      <c r="DY31" s="172"/>
      <c r="DZ31" s="172"/>
      <c r="EA31" s="172"/>
      <c r="EB31" s="172"/>
      <c r="EC31" s="172"/>
      <c r="ED31" s="172"/>
      <c r="EE31" s="172"/>
      <c r="EF31" s="172"/>
      <c r="EG31" s="172"/>
      <c r="EH31" s="172"/>
      <c r="EI31" s="172"/>
      <c r="EJ31" s="172"/>
      <c r="EK31" s="172"/>
      <c r="EL31" s="172"/>
      <c r="EM31" s="172"/>
      <c r="EN31" s="172"/>
      <c r="EO31" s="172"/>
      <c r="EP31" s="172"/>
      <c r="EQ31" s="172"/>
      <c r="ER31" s="172"/>
      <c r="ES31" s="172"/>
      <c r="ET31" s="172"/>
      <c r="EU31" s="172"/>
      <c r="EV31" s="172"/>
      <c r="EW31" s="172"/>
      <c r="EX31" s="172"/>
      <c r="EY31" s="172"/>
      <c r="EZ31" s="172"/>
      <c r="FA31" s="172"/>
      <c r="FB31" s="172"/>
      <c r="FC31" s="172"/>
      <c r="FD31" s="172"/>
      <c r="FE31" s="172"/>
      <c r="FF31" s="172"/>
      <c r="FG31" s="172"/>
      <c r="FH31" s="172"/>
      <c r="FI31" s="172"/>
      <c r="FJ31" s="172"/>
      <c r="FK31" s="172"/>
      <c r="FL31" s="172"/>
      <c r="FM31" s="172"/>
      <c r="FN31" s="172"/>
      <c r="FO31" s="172"/>
      <c r="FP31" s="172"/>
      <c r="FQ31" s="172"/>
      <c r="FR31" s="172"/>
      <c r="FS31" s="172"/>
      <c r="FT31" s="172"/>
      <c r="FU31" s="172"/>
      <c r="FV31" s="172"/>
      <c r="FW31" s="172"/>
      <c r="FX31" s="172"/>
      <c r="FY31" s="172"/>
      <c r="FZ31" s="172"/>
      <c r="GA31" s="172"/>
      <c r="GB31" s="172"/>
      <c r="GC31" s="172"/>
      <c r="GD31" s="172"/>
      <c r="GE31" s="172"/>
      <c r="GF31" s="172"/>
      <c r="GG31" s="172"/>
      <c r="GH31" s="172"/>
      <c r="GI31" s="172"/>
      <c r="GJ31" s="172"/>
      <c r="GK31" s="172"/>
      <c r="GL31" s="172"/>
      <c r="GM31" s="172"/>
      <c r="GN31" s="172"/>
      <c r="GO31" s="172"/>
      <c r="GP31" s="172"/>
      <c r="GQ31" s="172"/>
      <c r="GR31" s="172"/>
      <c r="GS31" s="172"/>
      <c r="GT31" s="172"/>
      <c r="GU31" s="172"/>
      <c r="GV31" s="172"/>
      <c r="GW31" s="172"/>
      <c r="GX31" s="172"/>
      <c r="GY31" s="172"/>
      <c r="GZ31" s="172"/>
      <c r="HA31" s="172"/>
      <c r="HB31" s="172"/>
      <c r="HC31" s="172"/>
      <c r="HD31" s="172"/>
      <c r="HE31" s="172"/>
      <c r="HF31" s="172"/>
      <c r="HG31" s="172"/>
      <c r="HH31" s="172"/>
      <c r="HI31" s="172"/>
      <c r="HJ31" s="172"/>
      <c r="HK31" s="172"/>
      <c r="HL31" s="172"/>
      <c r="HM31" s="172"/>
      <c r="HN31" s="172"/>
      <c r="HO31" s="172"/>
      <c r="HP31" s="172"/>
      <c r="HQ31" s="172"/>
      <c r="HR31" s="172"/>
      <c r="HS31" s="172"/>
      <c r="HT31" s="172"/>
      <c r="HU31" s="172"/>
      <c r="HV31" s="172"/>
      <c r="HW31" s="172"/>
      <c r="HX31" s="172"/>
      <c r="HY31" s="172"/>
      <c r="HZ31" s="172"/>
      <c r="IA31" s="172"/>
      <c r="IB31" s="172"/>
      <c r="IC31" s="172"/>
      <c r="ID31" s="172"/>
      <c r="IE31" s="172"/>
      <c r="IF31" s="172"/>
      <c r="IG31" s="172"/>
      <c r="IH31" s="172"/>
      <c r="II31" s="172"/>
      <c r="IJ31" s="172"/>
      <c r="IK31" s="172"/>
      <c r="IL31" s="172"/>
      <c r="IM31" s="172"/>
      <c r="IN31" s="172"/>
      <c r="IO31" s="172"/>
      <c r="IP31" s="172"/>
      <c r="IQ31" s="172"/>
      <c r="IR31" s="172"/>
      <c r="IS31" s="172"/>
      <c r="IT31" s="172"/>
    </row>
    <row r="32" spans="1:254" ht="15" x14ac:dyDescent="0.25">
      <c r="A32" s="500" t="s">
        <v>92</v>
      </c>
      <c r="B32" s="501">
        <f t="shared" si="1"/>
        <v>1073193773</v>
      </c>
      <c r="C32" s="490">
        <f t="shared" si="2"/>
        <v>973738386</v>
      </c>
      <c r="D32" s="491">
        <f>51313002+518442535</f>
        <v>569755537</v>
      </c>
      <c r="E32" s="491">
        <f>42479444</f>
        <v>42479444</v>
      </c>
      <c r="F32" s="491">
        <v>203873672</v>
      </c>
      <c r="G32" s="491">
        <v>11395113</v>
      </c>
      <c r="H32" s="491">
        <v>146234620</v>
      </c>
      <c r="I32" s="492"/>
      <c r="J32" s="496">
        <f>K32+Q32</f>
        <v>99455387</v>
      </c>
      <c r="K32" s="491">
        <f>SUM(L32:P32)</f>
        <v>2540870</v>
      </c>
      <c r="L32" s="503"/>
      <c r="M32" s="503"/>
      <c r="N32" s="503"/>
      <c r="O32" s="503"/>
      <c r="P32" s="503">
        <v>2540870</v>
      </c>
      <c r="Q32" s="492">
        <v>96914517</v>
      </c>
      <c r="R32" s="501">
        <v>94332600</v>
      </c>
      <c r="S32" s="504">
        <f>120.25+907.37+1</f>
        <v>1028.6199999999999</v>
      </c>
      <c r="T32" s="172"/>
      <c r="U32" s="172"/>
      <c r="V32" s="172"/>
      <c r="W32" s="172"/>
      <c r="X32" s="172"/>
      <c r="Y32" s="172"/>
      <c r="Z32" s="172"/>
      <c r="AA32" s="172"/>
      <c r="AB32" s="172"/>
      <c r="AC32" s="172"/>
      <c r="AD32" s="172"/>
      <c r="AE32" s="172"/>
      <c r="AF32" s="172"/>
      <c r="AG32" s="172"/>
      <c r="AH32" s="172"/>
      <c r="AI32" s="172"/>
      <c r="AJ32" s="172"/>
      <c r="AK32" s="172"/>
      <c r="AL32" s="172"/>
      <c r="AM32" s="172"/>
      <c r="AN32" s="172"/>
      <c r="AO32" s="172"/>
      <c r="AP32" s="172"/>
      <c r="AQ32" s="172"/>
      <c r="AR32" s="172"/>
      <c r="AS32" s="172"/>
      <c r="AT32" s="172"/>
      <c r="AU32" s="172"/>
      <c r="AV32" s="172"/>
      <c r="AW32" s="172"/>
      <c r="AX32" s="172"/>
      <c r="AY32" s="172"/>
      <c r="AZ32" s="172"/>
      <c r="BA32" s="172"/>
      <c r="BB32" s="172"/>
      <c r="BC32" s="172"/>
      <c r="BD32" s="172"/>
      <c r="BE32" s="172"/>
      <c r="BF32" s="172"/>
      <c r="BG32" s="172"/>
      <c r="BH32" s="172"/>
      <c r="BI32" s="172"/>
      <c r="BJ32" s="172"/>
      <c r="BK32" s="172"/>
      <c r="BL32" s="172"/>
      <c r="BM32" s="172"/>
      <c r="BN32" s="172"/>
      <c r="BO32" s="172"/>
      <c r="BP32" s="172"/>
      <c r="BQ32" s="172"/>
      <c r="BR32" s="172"/>
      <c r="BS32" s="172"/>
      <c r="BT32" s="172"/>
      <c r="BU32" s="172"/>
      <c r="BV32" s="172"/>
      <c r="BW32" s="172"/>
      <c r="BX32" s="172"/>
      <c r="BY32" s="172"/>
      <c r="BZ32" s="172"/>
      <c r="CA32" s="172"/>
      <c r="CB32" s="172"/>
      <c r="CC32" s="172"/>
      <c r="CD32" s="172"/>
      <c r="CE32" s="172"/>
      <c r="CF32" s="172"/>
      <c r="CG32" s="172"/>
      <c r="CH32" s="172"/>
      <c r="CI32" s="172"/>
      <c r="CJ32" s="172"/>
      <c r="CK32" s="172"/>
      <c r="CL32" s="172"/>
      <c r="CM32" s="172"/>
      <c r="CN32" s="172"/>
      <c r="CO32" s="172"/>
      <c r="CP32" s="172"/>
      <c r="CQ32" s="172"/>
      <c r="CR32" s="172"/>
      <c r="CS32" s="172"/>
      <c r="CT32" s="172"/>
      <c r="CU32" s="172"/>
      <c r="CV32" s="172"/>
      <c r="CW32" s="172"/>
      <c r="CX32" s="172"/>
      <c r="CY32" s="172"/>
      <c r="CZ32" s="172"/>
      <c r="DA32" s="172"/>
      <c r="DB32" s="172"/>
      <c r="DC32" s="172"/>
      <c r="DD32" s="172"/>
      <c r="DE32" s="172"/>
      <c r="DF32" s="172"/>
      <c r="DG32" s="172"/>
      <c r="DH32" s="172"/>
      <c r="DI32" s="172"/>
      <c r="DJ32" s="172"/>
      <c r="DK32" s="172"/>
      <c r="DL32" s="172"/>
      <c r="DM32" s="172"/>
      <c r="DN32" s="172"/>
      <c r="DO32" s="172"/>
      <c r="DP32" s="172"/>
      <c r="DQ32" s="172"/>
      <c r="DR32" s="172"/>
      <c r="DS32" s="172"/>
      <c r="DT32" s="172"/>
      <c r="DU32" s="172"/>
      <c r="DV32" s="172"/>
      <c r="DW32" s="172"/>
      <c r="DX32" s="172"/>
      <c r="DY32" s="172"/>
      <c r="DZ32" s="172"/>
      <c r="EA32" s="172"/>
      <c r="EB32" s="172"/>
      <c r="EC32" s="172"/>
      <c r="ED32" s="172"/>
      <c r="EE32" s="172"/>
      <c r="EF32" s="172"/>
      <c r="EG32" s="172"/>
      <c r="EH32" s="172"/>
      <c r="EI32" s="172"/>
      <c r="EJ32" s="172"/>
      <c r="EK32" s="172"/>
      <c r="EL32" s="172"/>
      <c r="EM32" s="172"/>
      <c r="EN32" s="172"/>
      <c r="EO32" s="172"/>
      <c r="EP32" s="172"/>
      <c r="EQ32" s="172"/>
      <c r="ER32" s="172"/>
      <c r="ES32" s="172"/>
      <c r="ET32" s="172"/>
      <c r="EU32" s="172"/>
      <c r="EV32" s="172"/>
      <c r="EW32" s="172"/>
      <c r="EX32" s="172"/>
      <c r="EY32" s="172"/>
      <c r="EZ32" s="172"/>
      <c r="FA32" s="172"/>
      <c r="FB32" s="172"/>
      <c r="FC32" s="172"/>
      <c r="FD32" s="172"/>
      <c r="FE32" s="172"/>
      <c r="FF32" s="172"/>
      <c r="FG32" s="172"/>
      <c r="FH32" s="172"/>
      <c r="FI32" s="172"/>
      <c r="FJ32" s="172"/>
      <c r="FK32" s="172"/>
      <c r="FL32" s="172"/>
      <c r="FM32" s="172"/>
      <c r="FN32" s="172"/>
      <c r="FO32" s="172"/>
      <c r="FP32" s="172"/>
      <c r="FQ32" s="172"/>
      <c r="FR32" s="172"/>
      <c r="FS32" s="172"/>
      <c r="FT32" s="172"/>
      <c r="FU32" s="172"/>
      <c r="FV32" s="172"/>
      <c r="FW32" s="172"/>
      <c r="FX32" s="172"/>
      <c r="FY32" s="172"/>
      <c r="FZ32" s="172"/>
      <c r="GA32" s="172"/>
      <c r="GB32" s="172"/>
      <c r="GC32" s="172"/>
      <c r="GD32" s="172"/>
      <c r="GE32" s="172"/>
      <c r="GF32" s="172"/>
      <c r="GG32" s="172"/>
      <c r="GH32" s="172"/>
      <c r="GI32" s="172"/>
      <c r="GJ32" s="172"/>
      <c r="GK32" s="172"/>
      <c r="GL32" s="172"/>
      <c r="GM32" s="172"/>
      <c r="GN32" s="172"/>
      <c r="GO32" s="172"/>
      <c r="GP32" s="172"/>
      <c r="GQ32" s="172"/>
      <c r="GR32" s="172"/>
      <c r="GS32" s="172"/>
      <c r="GT32" s="172"/>
      <c r="GU32" s="172"/>
      <c r="GV32" s="172"/>
      <c r="GW32" s="172"/>
      <c r="GX32" s="172"/>
      <c r="GY32" s="172"/>
      <c r="GZ32" s="172"/>
      <c r="HA32" s="172"/>
      <c r="HB32" s="172"/>
      <c r="HC32" s="172"/>
      <c r="HD32" s="172"/>
      <c r="HE32" s="172"/>
      <c r="HF32" s="172"/>
      <c r="HG32" s="172"/>
      <c r="HH32" s="172"/>
      <c r="HI32" s="172"/>
      <c r="HJ32" s="172"/>
      <c r="HK32" s="172"/>
      <c r="HL32" s="172"/>
      <c r="HM32" s="172"/>
      <c r="HN32" s="172"/>
      <c r="HO32" s="172"/>
      <c r="HP32" s="172"/>
      <c r="HQ32" s="172"/>
      <c r="HR32" s="172"/>
      <c r="HS32" s="172"/>
      <c r="HT32" s="172"/>
      <c r="HU32" s="172"/>
      <c r="HV32" s="172"/>
      <c r="HW32" s="172"/>
      <c r="HX32" s="172"/>
      <c r="HY32" s="172"/>
      <c r="HZ32" s="172"/>
      <c r="IA32" s="172"/>
      <c r="IB32" s="172"/>
      <c r="IC32" s="172"/>
      <c r="ID32" s="172"/>
      <c r="IE32" s="172"/>
      <c r="IF32" s="172"/>
      <c r="IG32" s="172"/>
      <c r="IH32" s="172"/>
      <c r="II32" s="172"/>
      <c r="IJ32" s="172"/>
      <c r="IK32" s="172"/>
      <c r="IL32" s="172"/>
      <c r="IM32" s="172"/>
      <c r="IN32" s="172"/>
      <c r="IO32" s="172"/>
      <c r="IP32" s="172"/>
      <c r="IQ32" s="172"/>
      <c r="IR32" s="172"/>
      <c r="IS32" s="172"/>
      <c r="IT32" s="172"/>
    </row>
    <row r="33" spans="1:254" ht="30" x14ac:dyDescent="0.25">
      <c r="A33" s="500" t="s">
        <v>93</v>
      </c>
      <c r="B33" s="501">
        <f t="shared" si="1"/>
        <v>8132000</v>
      </c>
      <c r="C33" s="490">
        <f t="shared" si="2"/>
        <v>8132000</v>
      </c>
      <c r="D33" s="491">
        <v>150000</v>
      </c>
      <c r="E33" s="491">
        <v>1200000</v>
      </c>
      <c r="F33" s="491">
        <v>250000</v>
      </c>
      <c r="G33" s="491">
        <v>3000</v>
      </c>
      <c r="H33" s="491">
        <v>6529000</v>
      </c>
      <c r="I33" s="492"/>
      <c r="J33" s="490"/>
      <c r="K33" s="491"/>
      <c r="L33" s="503"/>
      <c r="M33" s="503"/>
      <c r="N33" s="503"/>
      <c r="O33" s="503"/>
      <c r="P33" s="503"/>
      <c r="Q33" s="492"/>
      <c r="R33" s="501"/>
      <c r="S33" s="504"/>
      <c r="T33" s="172"/>
      <c r="U33" s="172"/>
      <c r="V33" s="172"/>
      <c r="W33" s="172"/>
      <c r="X33" s="172"/>
      <c r="Y33" s="172"/>
      <c r="Z33" s="172"/>
      <c r="AA33" s="172"/>
      <c r="AB33" s="172"/>
      <c r="AC33" s="172"/>
      <c r="AD33" s="172"/>
      <c r="AE33" s="172"/>
      <c r="AF33" s="172"/>
      <c r="AG33" s="172"/>
      <c r="AH33" s="172"/>
      <c r="AI33" s="172"/>
      <c r="AJ33" s="172"/>
      <c r="AK33" s="172"/>
      <c r="AL33" s="172"/>
      <c r="AM33" s="172"/>
      <c r="AN33" s="172"/>
      <c r="AO33" s="172"/>
      <c r="AP33" s="172"/>
      <c r="AQ33" s="172"/>
      <c r="AR33" s="172"/>
      <c r="AS33" s="172"/>
      <c r="AT33" s="172"/>
      <c r="AU33" s="172"/>
      <c r="AV33" s="172"/>
      <c r="AW33" s="172"/>
      <c r="AX33" s="172"/>
      <c r="AY33" s="172"/>
      <c r="AZ33" s="172"/>
      <c r="BA33" s="172"/>
      <c r="BB33" s="172"/>
      <c r="BC33" s="172"/>
      <c r="BD33" s="172"/>
      <c r="BE33" s="172"/>
      <c r="BF33" s="172"/>
      <c r="BG33" s="172"/>
      <c r="BH33" s="172"/>
      <c r="BI33" s="172"/>
      <c r="BJ33" s="172"/>
      <c r="BK33" s="172"/>
      <c r="BL33" s="172"/>
      <c r="BM33" s="172"/>
      <c r="BN33" s="172"/>
      <c r="BO33" s="172"/>
      <c r="BP33" s="172"/>
      <c r="BQ33" s="172"/>
      <c r="BR33" s="172"/>
      <c r="BS33" s="172"/>
      <c r="BT33" s="172"/>
      <c r="BU33" s="172"/>
      <c r="BV33" s="172"/>
      <c r="BW33" s="172"/>
      <c r="BX33" s="172"/>
      <c r="BY33" s="172"/>
      <c r="BZ33" s="172"/>
      <c r="CA33" s="172"/>
      <c r="CB33" s="172"/>
      <c r="CC33" s="172"/>
      <c r="CD33" s="172"/>
      <c r="CE33" s="172"/>
      <c r="CF33" s="172"/>
      <c r="CG33" s="172"/>
      <c r="CH33" s="172"/>
      <c r="CI33" s="172"/>
      <c r="CJ33" s="172"/>
      <c r="CK33" s="172"/>
      <c r="CL33" s="172"/>
      <c r="CM33" s="172"/>
      <c r="CN33" s="172"/>
      <c r="CO33" s="172"/>
      <c r="CP33" s="172"/>
      <c r="CQ33" s="172"/>
      <c r="CR33" s="172"/>
      <c r="CS33" s="172"/>
      <c r="CT33" s="172"/>
      <c r="CU33" s="172"/>
      <c r="CV33" s="172"/>
      <c r="CW33" s="172"/>
      <c r="CX33" s="172"/>
      <c r="CY33" s="172"/>
      <c r="CZ33" s="172"/>
      <c r="DA33" s="172"/>
      <c r="DB33" s="172"/>
      <c r="DC33" s="172"/>
      <c r="DD33" s="172"/>
      <c r="DE33" s="172"/>
      <c r="DF33" s="172"/>
      <c r="DG33" s="172"/>
      <c r="DH33" s="172"/>
      <c r="DI33" s="172"/>
      <c r="DJ33" s="172"/>
      <c r="DK33" s="172"/>
      <c r="DL33" s="172"/>
      <c r="DM33" s="172"/>
      <c r="DN33" s="172"/>
      <c r="DO33" s="172"/>
      <c r="DP33" s="172"/>
      <c r="DQ33" s="172"/>
      <c r="DR33" s="172"/>
      <c r="DS33" s="172"/>
      <c r="DT33" s="172"/>
      <c r="DU33" s="172"/>
      <c r="DV33" s="172"/>
      <c r="DW33" s="172"/>
      <c r="DX33" s="172"/>
      <c r="DY33" s="172"/>
      <c r="DZ33" s="172"/>
      <c r="EA33" s="172"/>
      <c r="EB33" s="172"/>
      <c r="EC33" s="172"/>
      <c r="ED33" s="172"/>
      <c r="EE33" s="172"/>
      <c r="EF33" s="172"/>
      <c r="EG33" s="172"/>
      <c r="EH33" s="172"/>
      <c r="EI33" s="172"/>
      <c r="EJ33" s="172"/>
      <c r="EK33" s="172"/>
      <c r="EL33" s="172"/>
      <c r="EM33" s="172"/>
      <c r="EN33" s="172"/>
      <c r="EO33" s="172"/>
      <c r="EP33" s="172"/>
      <c r="EQ33" s="172"/>
      <c r="ER33" s="172"/>
      <c r="ES33" s="172"/>
      <c r="ET33" s="172"/>
      <c r="EU33" s="172"/>
      <c r="EV33" s="172"/>
      <c r="EW33" s="172"/>
      <c r="EX33" s="172"/>
      <c r="EY33" s="172"/>
      <c r="EZ33" s="172"/>
      <c r="FA33" s="172"/>
      <c r="FB33" s="172"/>
      <c r="FC33" s="172"/>
      <c r="FD33" s="172"/>
      <c r="FE33" s="172"/>
      <c r="FF33" s="172"/>
      <c r="FG33" s="172"/>
      <c r="FH33" s="172"/>
      <c r="FI33" s="172"/>
      <c r="FJ33" s="172"/>
      <c r="FK33" s="172"/>
      <c r="FL33" s="172"/>
      <c r="FM33" s="172"/>
      <c r="FN33" s="172"/>
      <c r="FO33" s="172"/>
      <c r="FP33" s="172"/>
      <c r="FQ33" s="172"/>
      <c r="FR33" s="172"/>
      <c r="FS33" s="172"/>
      <c r="FT33" s="172"/>
      <c r="FU33" s="172"/>
      <c r="FV33" s="172"/>
      <c r="FW33" s="172"/>
      <c r="FX33" s="172"/>
      <c r="FY33" s="172"/>
      <c r="FZ33" s="172"/>
      <c r="GA33" s="172"/>
      <c r="GB33" s="172"/>
      <c r="GC33" s="172"/>
      <c r="GD33" s="172"/>
      <c r="GE33" s="172"/>
      <c r="GF33" s="172"/>
      <c r="GG33" s="172"/>
      <c r="GH33" s="172"/>
      <c r="GI33" s="172"/>
      <c r="GJ33" s="172"/>
      <c r="GK33" s="172"/>
      <c r="GL33" s="172"/>
      <c r="GM33" s="172"/>
      <c r="GN33" s="172"/>
      <c r="GO33" s="172"/>
      <c r="GP33" s="172"/>
      <c r="GQ33" s="172"/>
      <c r="GR33" s="172"/>
      <c r="GS33" s="172"/>
      <c r="GT33" s="172"/>
      <c r="GU33" s="172"/>
      <c r="GV33" s="172"/>
      <c r="GW33" s="172"/>
      <c r="GX33" s="172"/>
      <c r="GY33" s="172"/>
      <c r="GZ33" s="172"/>
      <c r="HA33" s="172"/>
      <c r="HB33" s="172"/>
      <c r="HC33" s="172"/>
      <c r="HD33" s="172"/>
      <c r="HE33" s="172"/>
      <c r="HF33" s="172"/>
      <c r="HG33" s="172"/>
      <c r="HH33" s="172"/>
      <c r="HI33" s="172"/>
      <c r="HJ33" s="172"/>
      <c r="HK33" s="172"/>
      <c r="HL33" s="172"/>
      <c r="HM33" s="172"/>
      <c r="HN33" s="172"/>
      <c r="HO33" s="172"/>
      <c r="HP33" s="172"/>
      <c r="HQ33" s="172"/>
      <c r="HR33" s="172"/>
      <c r="HS33" s="172"/>
      <c r="HT33" s="172"/>
      <c r="HU33" s="172"/>
      <c r="HV33" s="172"/>
      <c r="HW33" s="172"/>
      <c r="HX33" s="172"/>
      <c r="HY33" s="172"/>
      <c r="HZ33" s="172"/>
      <c r="IA33" s="172"/>
      <c r="IB33" s="172"/>
      <c r="IC33" s="172"/>
      <c r="ID33" s="172"/>
      <c r="IE33" s="172"/>
      <c r="IF33" s="172"/>
      <c r="IG33" s="172"/>
      <c r="IH33" s="172"/>
      <c r="II33" s="172"/>
      <c r="IJ33" s="172"/>
      <c r="IK33" s="172"/>
      <c r="IL33" s="172"/>
      <c r="IM33" s="172"/>
      <c r="IN33" s="172"/>
      <c r="IO33" s="172"/>
      <c r="IP33" s="172"/>
      <c r="IQ33" s="172"/>
      <c r="IR33" s="172"/>
      <c r="IS33" s="172"/>
      <c r="IT33" s="172"/>
    </row>
    <row r="34" spans="1:254" ht="15" x14ac:dyDescent="0.25">
      <c r="A34" s="500" t="s">
        <v>94</v>
      </c>
      <c r="B34" s="501">
        <f t="shared" si="1"/>
        <v>3697000</v>
      </c>
      <c r="C34" s="490">
        <f t="shared" si="2"/>
        <v>3697000</v>
      </c>
      <c r="D34" s="491">
        <v>300000</v>
      </c>
      <c r="E34" s="491">
        <v>800000</v>
      </c>
      <c r="F34" s="491">
        <v>250000</v>
      </c>
      <c r="G34" s="491">
        <v>6000</v>
      </c>
      <c r="H34" s="491">
        <v>2341000</v>
      </c>
      <c r="I34" s="492"/>
      <c r="J34" s="490"/>
      <c r="K34" s="491"/>
      <c r="L34" s="503"/>
      <c r="M34" s="503"/>
      <c r="N34" s="503"/>
      <c r="O34" s="503"/>
      <c r="P34" s="503"/>
      <c r="Q34" s="492"/>
      <c r="R34" s="501"/>
      <c r="S34" s="504"/>
      <c r="T34" s="172"/>
      <c r="U34" s="172"/>
      <c r="V34" s="172"/>
      <c r="W34" s="172"/>
      <c r="X34" s="172"/>
      <c r="Y34" s="172"/>
      <c r="Z34" s="172"/>
      <c r="AA34" s="172"/>
      <c r="AB34" s="172"/>
      <c r="AC34" s="172"/>
      <c r="AD34" s="172"/>
      <c r="AE34" s="172"/>
      <c r="AF34" s="172"/>
      <c r="AG34" s="172"/>
      <c r="AH34" s="172"/>
      <c r="AI34" s="172"/>
      <c r="AJ34" s="172"/>
      <c r="AK34" s="172"/>
      <c r="AL34" s="172"/>
      <c r="AM34" s="172"/>
      <c r="AN34" s="172"/>
      <c r="AO34" s="172"/>
      <c r="AP34" s="172"/>
      <c r="AQ34" s="172"/>
      <c r="AR34" s="172"/>
      <c r="AS34" s="172"/>
      <c r="AT34" s="172"/>
      <c r="AU34" s="172"/>
      <c r="AV34" s="172"/>
      <c r="AW34" s="172"/>
      <c r="AX34" s="172"/>
      <c r="AY34" s="172"/>
      <c r="AZ34" s="172"/>
      <c r="BA34" s="172"/>
      <c r="BB34" s="172"/>
      <c r="BC34" s="172"/>
      <c r="BD34" s="172"/>
      <c r="BE34" s="172"/>
      <c r="BF34" s="172"/>
      <c r="BG34" s="172"/>
      <c r="BH34" s="172"/>
      <c r="BI34" s="172"/>
      <c r="BJ34" s="172"/>
      <c r="BK34" s="172"/>
      <c r="BL34" s="172"/>
      <c r="BM34" s="172"/>
      <c r="BN34" s="172"/>
      <c r="BO34" s="172"/>
      <c r="BP34" s="172"/>
      <c r="BQ34" s="172"/>
      <c r="BR34" s="172"/>
      <c r="BS34" s="172"/>
      <c r="BT34" s="172"/>
      <c r="BU34" s="172"/>
      <c r="BV34" s="172"/>
      <c r="BW34" s="172"/>
      <c r="BX34" s="172"/>
      <c r="BY34" s="172"/>
      <c r="BZ34" s="172"/>
      <c r="CA34" s="172"/>
      <c r="CB34" s="172"/>
      <c r="CC34" s="172"/>
      <c r="CD34" s="172"/>
      <c r="CE34" s="172"/>
      <c r="CF34" s="172"/>
      <c r="CG34" s="172"/>
      <c r="CH34" s="172"/>
      <c r="CI34" s="172"/>
      <c r="CJ34" s="172"/>
      <c r="CK34" s="172"/>
      <c r="CL34" s="172"/>
      <c r="CM34" s="172"/>
      <c r="CN34" s="172"/>
      <c r="CO34" s="172"/>
      <c r="CP34" s="172"/>
      <c r="CQ34" s="172"/>
      <c r="CR34" s="172"/>
      <c r="CS34" s="172"/>
      <c r="CT34" s="172"/>
      <c r="CU34" s="172"/>
      <c r="CV34" s="172"/>
      <c r="CW34" s="172"/>
      <c r="CX34" s="172"/>
      <c r="CY34" s="172"/>
      <c r="CZ34" s="172"/>
      <c r="DA34" s="172"/>
      <c r="DB34" s="172"/>
      <c r="DC34" s="172"/>
      <c r="DD34" s="172"/>
      <c r="DE34" s="172"/>
      <c r="DF34" s="172"/>
      <c r="DG34" s="172"/>
      <c r="DH34" s="172"/>
      <c r="DI34" s="172"/>
      <c r="DJ34" s="172"/>
      <c r="DK34" s="172"/>
      <c r="DL34" s="172"/>
      <c r="DM34" s="172"/>
      <c r="DN34" s="172"/>
      <c r="DO34" s="172"/>
      <c r="DP34" s="172"/>
      <c r="DQ34" s="172"/>
      <c r="DR34" s="172"/>
      <c r="DS34" s="172"/>
      <c r="DT34" s="172"/>
      <c r="DU34" s="172"/>
      <c r="DV34" s="172"/>
      <c r="DW34" s="172"/>
      <c r="DX34" s="172"/>
      <c r="DY34" s="172"/>
      <c r="DZ34" s="172"/>
      <c r="EA34" s="172"/>
      <c r="EB34" s="172"/>
      <c r="EC34" s="172"/>
      <c r="ED34" s="172"/>
      <c r="EE34" s="172"/>
      <c r="EF34" s="172"/>
      <c r="EG34" s="172"/>
      <c r="EH34" s="172"/>
      <c r="EI34" s="172"/>
      <c r="EJ34" s="172"/>
      <c r="EK34" s="172"/>
      <c r="EL34" s="172"/>
      <c r="EM34" s="172"/>
      <c r="EN34" s="172"/>
      <c r="EO34" s="172"/>
      <c r="EP34" s="172"/>
      <c r="EQ34" s="172"/>
      <c r="ER34" s="172"/>
      <c r="ES34" s="172"/>
      <c r="ET34" s="172"/>
      <c r="EU34" s="172"/>
      <c r="EV34" s="172"/>
      <c r="EW34" s="172"/>
      <c r="EX34" s="172"/>
      <c r="EY34" s="172"/>
      <c r="EZ34" s="172"/>
      <c r="FA34" s="172"/>
      <c r="FB34" s="172"/>
      <c r="FC34" s="172"/>
      <c r="FD34" s="172"/>
      <c r="FE34" s="172"/>
      <c r="FF34" s="172"/>
      <c r="FG34" s="172"/>
      <c r="FH34" s="172"/>
      <c r="FI34" s="172"/>
      <c r="FJ34" s="172"/>
      <c r="FK34" s="172"/>
      <c r="FL34" s="172"/>
      <c r="FM34" s="172"/>
      <c r="FN34" s="172"/>
      <c r="FO34" s="172"/>
      <c r="FP34" s="172"/>
      <c r="FQ34" s="172"/>
      <c r="FR34" s="172"/>
      <c r="FS34" s="172"/>
      <c r="FT34" s="172"/>
      <c r="FU34" s="172"/>
      <c r="FV34" s="172"/>
      <c r="FW34" s="172"/>
      <c r="FX34" s="172"/>
      <c r="FY34" s="172"/>
      <c r="FZ34" s="172"/>
      <c r="GA34" s="172"/>
      <c r="GB34" s="172"/>
      <c r="GC34" s="172"/>
      <c r="GD34" s="172"/>
      <c r="GE34" s="172"/>
      <c r="GF34" s="172"/>
      <c r="GG34" s="172"/>
      <c r="GH34" s="172"/>
      <c r="GI34" s="172"/>
      <c r="GJ34" s="172"/>
      <c r="GK34" s="172"/>
      <c r="GL34" s="172"/>
      <c r="GM34" s="172"/>
      <c r="GN34" s="172"/>
      <c r="GO34" s="172"/>
      <c r="GP34" s="172"/>
      <c r="GQ34" s="172"/>
      <c r="GR34" s="172"/>
      <c r="GS34" s="172"/>
      <c r="GT34" s="172"/>
      <c r="GU34" s="172"/>
      <c r="GV34" s="172"/>
      <c r="GW34" s="172"/>
      <c r="GX34" s="172"/>
      <c r="GY34" s="172"/>
      <c r="GZ34" s="172"/>
      <c r="HA34" s="172"/>
      <c r="HB34" s="172"/>
      <c r="HC34" s="172"/>
      <c r="HD34" s="172"/>
      <c r="HE34" s="172"/>
      <c r="HF34" s="172"/>
      <c r="HG34" s="172"/>
      <c r="HH34" s="172"/>
      <c r="HI34" s="172"/>
      <c r="HJ34" s="172"/>
      <c r="HK34" s="172"/>
      <c r="HL34" s="172"/>
      <c r="HM34" s="172"/>
      <c r="HN34" s="172"/>
      <c r="HO34" s="172"/>
      <c r="HP34" s="172"/>
      <c r="HQ34" s="172"/>
      <c r="HR34" s="172"/>
      <c r="HS34" s="172"/>
      <c r="HT34" s="172"/>
      <c r="HU34" s="172"/>
      <c r="HV34" s="172"/>
      <c r="HW34" s="172"/>
      <c r="HX34" s="172"/>
      <c r="HY34" s="172"/>
      <c r="HZ34" s="172"/>
      <c r="IA34" s="172"/>
      <c r="IB34" s="172"/>
      <c r="IC34" s="172"/>
      <c r="ID34" s="172"/>
      <c r="IE34" s="172"/>
      <c r="IF34" s="172"/>
      <c r="IG34" s="172"/>
      <c r="IH34" s="172"/>
      <c r="II34" s="172"/>
      <c r="IJ34" s="172"/>
      <c r="IK34" s="172"/>
      <c r="IL34" s="172"/>
      <c r="IM34" s="172"/>
      <c r="IN34" s="172"/>
      <c r="IO34" s="172"/>
      <c r="IP34" s="172"/>
      <c r="IQ34" s="172"/>
      <c r="IR34" s="172"/>
      <c r="IS34" s="172"/>
      <c r="IT34" s="172"/>
    </row>
    <row r="35" spans="1:254" ht="30" x14ac:dyDescent="0.25">
      <c r="A35" s="500" t="s">
        <v>95</v>
      </c>
      <c r="B35" s="501">
        <f t="shared" si="1"/>
        <v>19875000</v>
      </c>
      <c r="C35" s="490">
        <f t="shared" si="2"/>
        <v>19875000</v>
      </c>
      <c r="D35" s="491">
        <v>0</v>
      </c>
      <c r="E35" s="491">
        <v>2268000</v>
      </c>
      <c r="F35" s="491">
        <v>131700</v>
      </c>
      <c r="G35" s="491">
        <v>0</v>
      </c>
      <c r="H35" s="491">
        <v>17475300</v>
      </c>
      <c r="I35" s="492"/>
      <c r="J35" s="490"/>
      <c r="K35" s="491"/>
      <c r="L35" s="503"/>
      <c r="M35" s="503"/>
      <c r="N35" s="503"/>
      <c r="O35" s="503"/>
      <c r="P35" s="503"/>
      <c r="Q35" s="492"/>
      <c r="R35" s="501"/>
      <c r="S35" s="504"/>
      <c r="T35" s="172"/>
      <c r="U35" s="172"/>
      <c r="V35" s="172"/>
      <c r="W35" s="172"/>
      <c r="X35" s="172"/>
      <c r="Y35" s="172"/>
      <c r="Z35" s="172"/>
      <c r="AA35" s="172"/>
      <c r="AB35" s="172"/>
      <c r="AC35" s="172"/>
      <c r="AD35" s="172"/>
      <c r="AE35" s="172"/>
      <c r="AF35" s="172"/>
      <c r="AG35" s="172"/>
      <c r="AH35" s="172"/>
      <c r="AI35" s="172"/>
      <c r="AJ35" s="172"/>
      <c r="AK35" s="172"/>
      <c r="AL35" s="172"/>
      <c r="AM35" s="172"/>
      <c r="AN35" s="172"/>
      <c r="AO35" s="172"/>
      <c r="AP35" s="172"/>
      <c r="AQ35" s="172"/>
      <c r="AR35" s="172"/>
      <c r="AS35" s="172"/>
      <c r="AT35" s="172"/>
      <c r="AU35" s="172"/>
      <c r="AV35" s="172"/>
      <c r="AW35" s="172"/>
      <c r="AX35" s="172"/>
      <c r="AY35" s="172"/>
      <c r="AZ35" s="172"/>
      <c r="BA35" s="172"/>
      <c r="BB35" s="172"/>
      <c r="BC35" s="172"/>
      <c r="BD35" s="172"/>
      <c r="BE35" s="172"/>
      <c r="BF35" s="172"/>
      <c r="BG35" s="172"/>
      <c r="BH35" s="172"/>
      <c r="BI35" s="172"/>
      <c r="BJ35" s="172"/>
      <c r="BK35" s="172"/>
      <c r="BL35" s="172"/>
      <c r="BM35" s="172"/>
      <c r="BN35" s="172"/>
      <c r="BO35" s="172"/>
      <c r="BP35" s="172"/>
      <c r="BQ35" s="172"/>
      <c r="BR35" s="172"/>
      <c r="BS35" s="172"/>
      <c r="BT35" s="172"/>
      <c r="BU35" s="172"/>
      <c r="BV35" s="172"/>
      <c r="BW35" s="172"/>
      <c r="BX35" s="172"/>
      <c r="BY35" s="172"/>
      <c r="BZ35" s="172"/>
      <c r="CA35" s="172"/>
      <c r="CB35" s="172"/>
      <c r="CC35" s="172"/>
      <c r="CD35" s="172"/>
      <c r="CE35" s="172"/>
      <c r="CF35" s="172"/>
      <c r="CG35" s="172"/>
      <c r="CH35" s="172"/>
      <c r="CI35" s="172"/>
      <c r="CJ35" s="172"/>
      <c r="CK35" s="172"/>
      <c r="CL35" s="172"/>
      <c r="CM35" s="172"/>
      <c r="CN35" s="172"/>
      <c r="CO35" s="172"/>
      <c r="CP35" s="172"/>
      <c r="CQ35" s="172"/>
      <c r="CR35" s="172"/>
      <c r="CS35" s="172"/>
      <c r="CT35" s="172"/>
      <c r="CU35" s="172"/>
      <c r="CV35" s="172"/>
      <c r="CW35" s="172"/>
      <c r="CX35" s="172"/>
      <c r="CY35" s="172"/>
      <c r="CZ35" s="172"/>
      <c r="DA35" s="172"/>
      <c r="DB35" s="172"/>
      <c r="DC35" s="172"/>
      <c r="DD35" s="172"/>
      <c r="DE35" s="172"/>
      <c r="DF35" s="172"/>
      <c r="DG35" s="172"/>
      <c r="DH35" s="172"/>
      <c r="DI35" s="172"/>
      <c r="DJ35" s="172"/>
      <c r="DK35" s="172"/>
      <c r="DL35" s="172"/>
      <c r="DM35" s="172"/>
      <c r="DN35" s="172"/>
      <c r="DO35" s="172"/>
      <c r="DP35" s="172"/>
      <c r="DQ35" s="172"/>
      <c r="DR35" s="172"/>
      <c r="DS35" s="172"/>
      <c r="DT35" s="172"/>
      <c r="DU35" s="172"/>
      <c r="DV35" s="172"/>
      <c r="DW35" s="172"/>
      <c r="DX35" s="172"/>
      <c r="DY35" s="172"/>
      <c r="DZ35" s="172"/>
      <c r="EA35" s="172"/>
      <c r="EB35" s="172"/>
      <c r="EC35" s="172"/>
      <c r="ED35" s="172"/>
      <c r="EE35" s="172"/>
      <c r="EF35" s="172"/>
      <c r="EG35" s="172"/>
      <c r="EH35" s="172"/>
      <c r="EI35" s="172"/>
      <c r="EJ35" s="172"/>
      <c r="EK35" s="172"/>
      <c r="EL35" s="172"/>
      <c r="EM35" s="172"/>
      <c r="EN35" s="172"/>
      <c r="EO35" s="172"/>
      <c r="EP35" s="172"/>
      <c r="EQ35" s="172"/>
      <c r="ER35" s="172"/>
      <c r="ES35" s="172"/>
      <c r="ET35" s="172"/>
      <c r="EU35" s="172"/>
      <c r="EV35" s="172"/>
      <c r="EW35" s="172"/>
      <c r="EX35" s="172"/>
      <c r="EY35" s="172"/>
      <c r="EZ35" s="172"/>
      <c r="FA35" s="172"/>
      <c r="FB35" s="172"/>
      <c r="FC35" s="172"/>
      <c r="FD35" s="172"/>
      <c r="FE35" s="172"/>
      <c r="FF35" s="172"/>
      <c r="FG35" s="172"/>
      <c r="FH35" s="172"/>
      <c r="FI35" s="172"/>
      <c r="FJ35" s="172"/>
      <c r="FK35" s="172"/>
      <c r="FL35" s="172"/>
      <c r="FM35" s="172"/>
      <c r="FN35" s="172"/>
      <c r="FO35" s="172"/>
      <c r="FP35" s="172"/>
      <c r="FQ35" s="172"/>
      <c r="FR35" s="172"/>
      <c r="FS35" s="172"/>
      <c r="FT35" s="172"/>
      <c r="FU35" s="172"/>
      <c r="FV35" s="172"/>
      <c r="FW35" s="172"/>
      <c r="FX35" s="172"/>
      <c r="FY35" s="172"/>
      <c r="FZ35" s="172"/>
      <c r="GA35" s="172"/>
      <c r="GB35" s="172"/>
      <c r="GC35" s="172"/>
      <c r="GD35" s="172"/>
      <c r="GE35" s="172"/>
      <c r="GF35" s="172"/>
      <c r="GG35" s="172"/>
      <c r="GH35" s="172"/>
      <c r="GI35" s="172"/>
      <c r="GJ35" s="172"/>
      <c r="GK35" s="172"/>
      <c r="GL35" s="172"/>
      <c r="GM35" s="172"/>
      <c r="GN35" s="172"/>
      <c r="GO35" s="172"/>
      <c r="GP35" s="172"/>
      <c r="GQ35" s="172"/>
      <c r="GR35" s="172"/>
      <c r="GS35" s="172"/>
      <c r="GT35" s="172"/>
      <c r="GU35" s="172"/>
      <c r="GV35" s="172"/>
      <c r="GW35" s="172"/>
      <c r="GX35" s="172"/>
      <c r="GY35" s="172"/>
      <c r="GZ35" s="172"/>
      <c r="HA35" s="172"/>
      <c r="HB35" s="172"/>
      <c r="HC35" s="172"/>
      <c r="HD35" s="172"/>
      <c r="HE35" s="172"/>
      <c r="HF35" s="172"/>
      <c r="HG35" s="172"/>
      <c r="HH35" s="172"/>
      <c r="HI35" s="172"/>
      <c r="HJ35" s="172"/>
      <c r="HK35" s="172"/>
      <c r="HL35" s="172"/>
      <c r="HM35" s="172"/>
      <c r="HN35" s="172"/>
      <c r="HO35" s="172"/>
      <c r="HP35" s="172"/>
      <c r="HQ35" s="172"/>
      <c r="HR35" s="172"/>
      <c r="HS35" s="172"/>
      <c r="HT35" s="172"/>
      <c r="HU35" s="172"/>
      <c r="HV35" s="172"/>
      <c r="HW35" s="172"/>
      <c r="HX35" s="172"/>
      <c r="HY35" s="172"/>
      <c r="HZ35" s="172"/>
      <c r="IA35" s="172"/>
      <c r="IB35" s="172"/>
      <c r="IC35" s="172"/>
      <c r="ID35" s="172"/>
      <c r="IE35" s="172"/>
      <c r="IF35" s="172"/>
      <c r="IG35" s="172"/>
      <c r="IH35" s="172"/>
      <c r="II35" s="172"/>
      <c r="IJ35" s="172"/>
      <c r="IK35" s="172"/>
      <c r="IL35" s="172"/>
      <c r="IM35" s="172"/>
      <c r="IN35" s="172"/>
      <c r="IO35" s="172"/>
      <c r="IP35" s="172"/>
      <c r="IQ35" s="172"/>
      <c r="IR35" s="172"/>
      <c r="IS35" s="172"/>
      <c r="IT35" s="172"/>
    </row>
    <row r="36" spans="1:254" ht="15" x14ac:dyDescent="0.25">
      <c r="A36" s="500" t="s">
        <v>177</v>
      </c>
      <c r="B36" s="501">
        <f t="shared" si="1"/>
        <v>112000000</v>
      </c>
      <c r="C36" s="490">
        <f>SUM(D36:I36)</f>
        <v>112000000</v>
      </c>
      <c r="D36" s="491">
        <v>0</v>
      </c>
      <c r="E36" s="491">
        <v>0</v>
      </c>
      <c r="F36" s="491">
        <v>0</v>
      </c>
      <c r="G36" s="491">
        <v>0</v>
      </c>
      <c r="H36" s="491">
        <v>112000000</v>
      </c>
      <c r="I36" s="492"/>
      <c r="J36" s="490"/>
      <c r="K36" s="491"/>
      <c r="L36" s="503"/>
      <c r="M36" s="503"/>
      <c r="N36" s="503"/>
      <c r="O36" s="503"/>
      <c r="P36" s="503"/>
      <c r="Q36" s="492"/>
      <c r="R36" s="501"/>
      <c r="S36" s="504"/>
      <c r="T36" s="172"/>
      <c r="U36" s="172"/>
      <c r="V36" s="172"/>
      <c r="W36" s="172"/>
      <c r="X36" s="172"/>
      <c r="Y36" s="172"/>
      <c r="Z36" s="172"/>
      <c r="AA36" s="172"/>
      <c r="AB36" s="172"/>
      <c r="AC36" s="172"/>
      <c r="AD36" s="172"/>
      <c r="AE36" s="172"/>
      <c r="AF36" s="172"/>
      <c r="AG36" s="172"/>
      <c r="AH36" s="172"/>
      <c r="AI36" s="172"/>
      <c r="AJ36" s="172"/>
      <c r="AK36" s="172"/>
      <c r="AL36" s="172"/>
      <c r="AM36" s="172"/>
      <c r="AN36" s="172"/>
      <c r="AO36" s="172"/>
      <c r="AP36" s="172"/>
      <c r="AQ36" s="172"/>
      <c r="AR36" s="172"/>
      <c r="AS36" s="172"/>
      <c r="AT36" s="172"/>
      <c r="AU36" s="172"/>
      <c r="AV36" s="172"/>
      <c r="AW36" s="172"/>
      <c r="AX36" s="172"/>
      <c r="AY36" s="172"/>
      <c r="AZ36" s="172"/>
      <c r="BA36" s="172"/>
      <c r="BB36" s="172"/>
      <c r="BC36" s="172"/>
      <c r="BD36" s="172"/>
      <c r="BE36" s="172"/>
      <c r="BF36" s="172"/>
      <c r="BG36" s="172"/>
      <c r="BH36" s="172"/>
      <c r="BI36" s="172"/>
      <c r="BJ36" s="172"/>
      <c r="BK36" s="172"/>
      <c r="BL36" s="172"/>
      <c r="BM36" s="172"/>
      <c r="BN36" s="172"/>
      <c r="BO36" s="172"/>
      <c r="BP36" s="172"/>
      <c r="BQ36" s="172"/>
      <c r="BR36" s="172"/>
      <c r="BS36" s="172"/>
      <c r="BT36" s="172"/>
      <c r="BU36" s="172"/>
      <c r="BV36" s="172"/>
      <c r="BW36" s="172"/>
      <c r="BX36" s="172"/>
      <c r="BY36" s="172"/>
      <c r="BZ36" s="172"/>
      <c r="CA36" s="172"/>
      <c r="CB36" s="172"/>
      <c r="CC36" s="172"/>
      <c r="CD36" s="172"/>
      <c r="CE36" s="172"/>
      <c r="CF36" s="172"/>
      <c r="CG36" s="172"/>
      <c r="CH36" s="172"/>
      <c r="CI36" s="172"/>
      <c r="CJ36" s="172"/>
      <c r="CK36" s="172"/>
      <c r="CL36" s="172"/>
      <c r="CM36" s="172"/>
      <c r="CN36" s="172"/>
      <c r="CO36" s="172"/>
      <c r="CP36" s="172"/>
      <c r="CQ36" s="172"/>
      <c r="CR36" s="172"/>
      <c r="CS36" s="172"/>
      <c r="CT36" s="172"/>
      <c r="CU36" s="172"/>
      <c r="CV36" s="172"/>
      <c r="CW36" s="172"/>
      <c r="CX36" s="172"/>
      <c r="CY36" s="172"/>
      <c r="CZ36" s="172"/>
      <c r="DA36" s="172"/>
      <c r="DB36" s="172"/>
      <c r="DC36" s="172"/>
      <c r="DD36" s="172"/>
      <c r="DE36" s="172"/>
      <c r="DF36" s="172"/>
      <c r="DG36" s="172"/>
      <c r="DH36" s="172"/>
      <c r="DI36" s="172"/>
      <c r="DJ36" s="172"/>
      <c r="DK36" s="172"/>
      <c r="DL36" s="172"/>
      <c r="DM36" s="172"/>
      <c r="DN36" s="172"/>
      <c r="DO36" s="172"/>
      <c r="DP36" s="172"/>
      <c r="DQ36" s="172"/>
      <c r="DR36" s="172"/>
      <c r="DS36" s="172"/>
      <c r="DT36" s="172"/>
      <c r="DU36" s="172"/>
      <c r="DV36" s="172"/>
      <c r="DW36" s="172"/>
      <c r="DX36" s="172"/>
      <c r="DY36" s="172"/>
      <c r="DZ36" s="172"/>
      <c r="EA36" s="172"/>
      <c r="EB36" s="172"/>
      <c r="EC36" s="172"/>
      <c r="ED36" s="172"/>
      <c r="EE36" s="172"/>
      <c r="EF36" s="172"/>
      <c r="EG36" s="172"/>
      <c r="EH36" s="172"/>
      <c r="EI36" s="172"/>
      <c r="EJ36" s="172"/>
      <c r="EK36" s="172"/>
      <c r="EL36" s="172"/>
      <c r="EM36" s="172"/>
      <c r="EN36" s="172"/>
      <c r="EO36" s="172"/>
      <c r="EP36" s="172"/>
      <c r="EQ36" s="172"/>
      <c r="ER36" s="172"/>
      <c r="ES36" s="172"/>
      <c r="ET36" s="172"/>
      <c r="EU36" s="172"/>
      <c r="EV36" s="172"/>
      <c r="EW36" s="172"/>
      <c r="EX36" s="172"/>
      <c r="EY36" s="172"/>
      <c r="EZ36" s="172"/>
      <c r="FA36" s="172"/>
      <c r="FB36" s="172"/>
      <c r="FC36" s="172"/>
      <c r="FD36" s="172"/>
      <c r="FE36" s="172"/>
      <c r="FF36" s="172"/>
      <c r="FG36" s="172"/>
      <c r="FH36" s="172"/>
      <c r="FI36" s="172"/>
      <c r="FJ36" s="172"/>
      <c r="FK36" s="172"/>
      <c r="FL36" s="172"/>
      <c r="FM36" s="172"/>
      <c r="FN36" s="172"/>
      <c r="FO36" s="172"/>
      <c r="FP36" s="172"/>
      <c r="FQ36" s="172"/>
      <c r="FR36" s="172"/>
      <c r="FS36" s="172"/>
      <c r="FT36" s="172"/>
      <c r="FU36" s="172"/>
      <c r="FV36" s="172"/>
      <c r="FW36" s="172"/>
      <c r="FX36" s="172"/>
      <c r="FY36" s="172"/>
      <c r="FZ36" s="172"/>
      <c r="GA36" s="172"/>
      <c r="GB36" s="172"/>
      <c r="GC36" s="172"/>
      <c r="GD36" s="172"/>
      <c r="GE36" s="172"/>
      <c r="GF36" s="172"/>
      <c r="GG36" s="172"/>
      <c r="GH36" s="172"/>
      <c r="GI36" s="172"/>
      <c r="GJ36" s="172"/>
      <c r="GK36" s="172"/>
      <c r="GL36" s="172"/>
      <c r="GM36" s="172"/>
      <c r="GN36" s="172"/>
      <c r="GO36" s="172"/>
      <c r="GP36" s="172"/>
      <c r="GQ36" s="172"/>
      <c r="GR36" s="172"/>
      <c r="GS36" s="172"/>
      <c r="GT36" s="172"/>
      <c r="GU36" s="172"/>
      <c r="GV36" s="172"/>
      <c r="GW36" s="172"/>
      <c r="GX36" s="172"/>
      <c r="GY36" s="172"/>
      <c r="GZ36" s="172"/>
      <c r="HA36" s="172"/>
      <c r="HB36" s="172"/>
      <c r="HC36" s="172"/>
      <c r="HD36" s="172"/>
      <c r="HE36" s="172"/>
      <c r="HF36" s="172"/>
      <c r="HG36" s="172"/>
      <c r="HH36" s="172"/>
      <c r="HI36" s="172"/>
      <c r="HJ36" s="172"/>
      <c r="HK36" s="172"/>
      <c r="HL36" s="172"/>
      <c r="HM36" s="172"/>
      <c r="HN36" s="172"/>
      <c r="HO36" s="172"/>
      <c r="HP36" s="172"/>
      <c r="HQ36" s="172"/>
      <c r="HR36" s="172"/>
      <c r="HS36" s="172"/>
      <c r="HT36" s="172"/>
      <c r="HU36" s="172"/>
      <c r="HV36" s="172"/>
      <c r="HW36" s="172"/>
      <c r="HX36" s="172"/>
      <c r="HY36" s="172"/>
      <c r="HZ36" s="172"/>
      <c r="IA36" s="172"/>
      <c r="IB36" s="172"/>
      <c r="IC36" s="172"/>
      <c r="ID36" s="172"/>
      <c r="IE36" s="172"/>
      <c r="IF36" s="172"/>
      <c r="IG36" s="172"/>
      <c r="IH36" s="172"/>
      <c r="II36" s="172"/>
      <c r="IJ36" s="172"/>
      <c r="IK36" s="172"/>
      <c r="IL36" s="172"/>
      <c r="IM36" s="172"/>
      <c r="IN36" s="172"/>
      <c r="IO36" s="172"/>
      <c r="IP36" s="172"/>
      <c r="IQ36" s="172"/>
      <c r="IR36" s="172"/>
      <c r="IS36" s="172"/>
      <c r="IT36" s="172"/>
    </row>
    <row r="37" spans="1:254" ht="30" x14ac:dyDescent="0.2">
      <c r="A37" s="500" t="s">
        <v>178</v>
      </c>
      <c r="B37" s="501">
        <f t="shared" si="1"/>
        <v>15039000</v>
      </c>
      <c r="C37" s="490">
        <f t="shared" si="2"/>
        <v>15039000</v>
      </c>
      <c r="D37" s="491">
        <v>0</v>
      </c>
      <c r="E37" s="491">
        <v>2972000</v>
      </c>
      <c r="F37" s="491">
        <v>436200</v>
      </c>
      <c r="G37" s="491">
        <v>0</v>
      </c>
      <c r="H37" s="491">
        <v>11630800</v>
      </c>
      <c r="I37" s="492"/>
      <c r="J37" s="490"/>
      <c r="K37" s="491"/>
      <c r="L37" s="503"/>
      <c r="M37" s="503"/>
      <c r="N37" s="503"/>
      <c r="O37" s="503"/>
      <c r="P37" s="503"/>
      <c r="Q37" s="492"/>
      <c r="R37" s="501"/>
      <c r="S37" s="504"/>
    </row>
    <row r="38" spans="1:254" ht="15" x14ac:dyDescent="0.2">
      <c r="A38" s="500" t="s">
        <v>409</v>
      </c>
      <c r="B38" s="501">
        <f t="shared" si="1"/>
        <v>52711627</v>
      </c>
      <c r="C38" s="490">
        <f t="shared" si="2"/>
        <v>52711627</v>
      </c>
      <c r="D38" s="507">
        <v>12567131</v>
      </c>
      <c r="E38" s="507"/>
      <c r="F38" s="507">
        <v>4079234</v>
      </c>
      <c r="G38" s="507">
        <v>241433</v>
      </c>
      <c r="H38" s="507">
        <v>35823829</v>
      </c>
      <c r="I38" s="508"/>
      <c r="J38" s="509"/>
      <c r="K38" s="507"/>
      <c r="L38" s="510"/>
      <c r="M38" s="510"/>
      <c r="N38" s="510"/>
      <c r="O38" s="510"/>
      <c r="P38" s="510"/>
      <c r="Q38" s="508"/>
      <c r="R38" s="511"/>
      <c r="S38" s="512">
        <v>38.5</v>
      </c>
    </row>
    <row r="39" spans="1:254" ht="15" x14ac:dyDescent="0.2">
      <c r="A39" s="500" t="s">
        <v>410</v>
      </c>
      <c r="B39" s="501">
        <f t="shared" si="1"/>
        <v>1848090</v>
      </c>
      <c r="C39" s="490">
        <f t="shared" si="2"/>
        <v>1848090</v>
      </c>
      <c r="D39" s="507"/>
      <c r="E39" s="507">
        <v>850000</v>
      </c>
      <c r="F39" s="507">
        <v>182090</v>
      </c>
      <c r="G39" s="507"/>
      <c r="H39" s="507">
        <v>816000</v>
      </c>
      <c r="I39" s="508"/>
      <c r="J39" s="509"/>
      <c r="K39" s="507"/>
      <c r="L39" s="510"/>
      <c r="M39" s="510"/>
      <c r="N39" s="510"/>
      <c r="O39" s="510"/>
      <c r="P39" s="510"/>
      <c r="Q39" s="508"/>
      <c r="R39" s="511"/>
      <c r="S39" s="512"/>
    </row>
    <row r="40" spans="1:254" ht="15.75" thickBot="1" x14ac:dyDescent="0.25">
      <c r="A40" s="513" t="s">
        <v>411</v>
      </c>
      <c r="B40" s="514">
        <f t="shared" si="1"/>
        <v>70000</v>
      </c>
      <c r="C40" s="515">
        <f t="shared" si="2"/>
        <v>70000</v>
      </c>
      <c r="D40" s="516"/>
      <c r="E40" s="516"/>
      <c r="F40" s="516"/>
      <c r="G40" s="516"/>
      <c r="H40" s="516">
        <v>70000</v>
      </c>
      <c r="I40" s="517"/>
      <c r="J40" s="515">
        <f>K40+Q40</f>
        <v>0</v>
      </c>
      <c r="K40" s="516"/>
      <c r="L40" s="518"/>
      <c r="M40" s="518"/>
      <c r="N40" s="518"/>
      <c r="O40" s="518"/>
      <c r="P40" s="518"/>
      <c r="Q40" s="517"/>
      <c r="R40" s="514"/>
      <c r="S40" s="519"/>
    </row>
    <row r="41" spans="1:254" ht="15" x14ac:dyDescent="0.25">
      <c r="A41" s="48" t="s">
        <v>412</v>
      </c>
      <c r="C41" s="173"/>
      <c r="D41" s="173"/>
      <c r="E41" s="173"/>
      <c r="F41" s="173"/>
      <c r="G41"/>
      <c r="H41"/>
      <c r="P41" s="48"/>
      <c r="Q41" s="48"/>
      <c r="R41" s="48"/>
      <c r="S41" s="48"/>
    </row>
  </sheetData>
  <mergeCells count="9">
    <mergeCell ref="B5:B7"/>
    <mergeCell ref="C5:I5"/>
    <mergeCell ref="J5:Q5"/>
    <mergeCell ref="R5:R7"/>
    <mergeCell ref="S5:S7"/>
    <mergeCell ref="C6:C7"/>
    <mergeCell ref="D6:I6"/>
    <mergeCell ref="J6:J7"/>
    <mergeCell ref="K6:Q6"/>
  </mergeCells>
  <printOptions horizontalCentered="1"/>
  <pageMargins left="0.51181102362204722" right="0.51181102362204722" top="0.78740157480314965" bottom="0.78740157480314965" header="0.51181102362204722" footer="0.31496062992125984"/>
  <pageSetup paperSize="9" scale="41" orientation="landscape" r:id="rId1"/>
  <headerFooter alignWithMargins="0">
    <oddHeader>&amp;RKapitola A
&amp;"-,Tučné"Tabulka č. 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42"/>
  <sheetViews>
    <sheetView workbookViewId="0">
      <selection activeCell="A27" sqref="A27"/>
    </sheetView>
  </sheetViews>
  <sheetFormatPr defaultRowHeight="12.75" x14ac:dyDescent="0.2"/>
  <cols>
    <col min="1" max="1" width="87.28515625" style="51" customWidth="1"/>
    <col min="2" max="3" width="23.5703125" style="51" customWidth="1"/>
    <col min="4" max="4" width="20.28515625" style="51" bestFit="1" customWidth="1"/>
    <col min="5" max="5" width="20.7109375" style="51" customWidth="1"/>
    <col min="6" max="6" width="14.7109375" style="51" customWidth="1"/>
    <col min="7" max="7" width="13.5703125" style="51" customWidth="1"/>
    <col min="8" max="8" width="15.85546875" style="51" customWidth="1"/>
    <col min="9" max="9" width="15.140625" style="51" customWidth="1"/>
    <col min="10" max="10" width="17.140625" style="51" customWidth="1"/>
    <col min="11" max="256" width="9.140625" style="51"/>
    <col min="257" max="257" width="87.28515625" style="51" customWidth="1"/>
    <col min="258" max="259" width="23.5703125" style="51" customWidth="1"/>
    <col min="260" max="260" width="20.28515625" style="51" bestFit="1" customWidth="1"/>
    <col min="261" max="261" width="20.7109375" style="51" customWidth="1"/>
    <col min="262" max="262" width="14.7109375" style="51" customWidth="1"/>
    <col min="263" max="263" width="13.5703125" style="51" customWidth="1"/>
    <col min="264" max="264" width="15.85546875" style="51" customWidth="1"/>
    <col min="265" max="265" width="15.140625" style="51" customWidth="1"/>
    <col min="266" max="266" width="17.140625" style="51" customWidth="1"/>
    <col min="267" max="512" width="9.140625" style="51"/>
    <col min="513" max="513" width="87.28515625" style="51" customWidth="1"/>
    <col min="514" max="515" width="23.5703125" style="51" customWidth="1"/>
    <col min="516" max="516" width="20.28515625" style="51" bestFit="1" customWidth="1"/>
    <col min="517" max="517" width="20.7109375" style="51" customWidth="1"/>
    <col min="518" max="518" width="14.7109375" style="51" customWidth="1"/>
    <col min="519" max="519" width="13.5703125" style="51" customWidth="1"/>
    <col min="520" max="520" width="15.85546875" style="51" customWidth="1"/>
    <col min="521" max="521" width="15.140625" style="51" customWidth="1"/>
    <col min="522" max="522" width="17.140625" style="51" customWidth="1"/>
    <col min="523" max="768" width="9.140625" style="51"/>
    <col min="769" max="769" width="87.28515625" style="51" customWidth="1"/>
    <col min="770" max="771" width="23.5703125" style="51" customWidth="1"/>
    <col min="772" max="772" width="20.28515625" style="51" bestFit="1" customWidth="1"/>
    <col min="773" max="773" width="20.7109375" style="51" customWidth="1"/>
    <col min="774" max="774" width="14.7109375" style="51" customWidth="1"/>
    <col min="775" max="775" width="13.5703125" style="51" customWidth="1"/>
    <col min="776" max="776" width="15.85546875" style="51" customWidth="1"/>
    <col min="777" max="777" width="15.140625" style="51" customWidth="1"/>
    <col min="778" max="778" width="17.140625" style="51" customWidth="1"/>
    <col min="779" max="1024" width="9.140625" style="51"/>
    <col min="1025" max="1025" width="87.28515625" style="51" customWidth="1"/>
    <col min="1026" max="1027" width="23.5703125" style="51" customWidth="1"/>
    <col min="1028" max="1028" width="20.28515625" style="51" bestFit="1" customWidth="1"/>
    <col min="1029" max="1029" width="20.7109375" style="51" customWidth="1"/>
    <col min="1030" max="1030" width="14.7109375" style="51" customWidth="1"/>
    <col min="1031" max="1031" width="13.5703125" style="51" customWidth="1"/>
    <col min="1032" max="1032" width="15.85546875" style="51" customWidth="1"/>
    <col min="1033" max="1033" width="15.140625" style="51" customWidth="1"/>
    <col min="1034" max="1034" width="17.140625" style="51" customWidth="1"/>
    <col min="1035" max="1280" width="9.140625" style="51"/>
    <col min="1281" max="1281" width="87.28515625" style="51" customWidth="1"/>
    <col min="1282" max="1283" width="23.5703125" style="51" customWidth="1"/>
    <col min="1284" max="1284" width="20.28515625" style="51" bestFit="1" customWidth="1"/>
    <col min="1285" max="1285" width="20.7109375" style="51" customWidth="1"/>
    <col min="1286" max="1286" width="14.7109375" style="51" customWidth="1"/>
    <col min="1287" max="1287" width="13.5703125" style="51" customWidth="1"/>
    <col min="1288" max="1288" width="15.85546875" style="51" customWidth="1"/>
    <col min="1289" max="1289" width="15.140625" style="51" customWidth="1"/>
    <col min="1290" max="1290" width="17.140625" style="51" customWidth="1"/>
    <col min="1291" max="1536" width="9.140625" style="51"/>
    <col min="1537" max="1537" width="87.28515625" style="51" customWidth="1"/>
    <col min="1538" max="1539" width="23.5703125" style="51" customWidth="1"/>
    <col min="1540" max="1540" width="20.28515625" style="51" bestFit="1" customWidth="1"/>
    <col min="1541" max="1541" width="20.7109375" style="51" customWidth="1"/>
    <col min="1542" max="1542" width="14.7109375" style="51" customWidth="1"/>
    <col min="1543" max="1543" width="13.5703125" style="51" customWidth="1"/>
    <col min="1544" max="1544" width="15.85546875" style="51" customWidth="1"/>
    <col min="1545" max="1545" width="15.140625" style="51" customWidth="1"/>
    <col min="1546" max="1546" width="17.140625" style="51" customWidth="1"/>
    <col min="1547" max="1792" width="9.140625" style="51"/>
    <col min="1793" max="1793" width="87.28515625" style="51" customWidth="1"/>
    <col min="1794" max="1795" width="23.5703125" style="51" customWidth="1"/>
    <col min="1796" max="1796" width="20.28515625" style="51" bestFit="1" customWidth="1"/>
    <col min="1797" max="1797" width="20.7109375" style="51" customWidth="1"/>
    <col min="1798" max="1798" width="14.7109375" style="51" customWidth="1"/>
    <col min="1799" max="1799" width="13.5703125" style="51" customWidth="1"/>
    <col min="1800" max="1800" width="15.85546875" style="51" customWidth="1"/>
    <col min="1801" max="1801" width="15.140625" style="51" customWidth="1"/>
    <col min="1802" max="1802" width="17.140625" style="51" customWidth="1"/>
    <col min="1803" max="2048" width="9.140625" style="51"/>
    <col min="2049" max="2049" width="87.28515625" style="51" customWidth="1"/>
    <col min="2050" max="2051" width="23.5703125" style="51" customWidth="1"/>
    <col min="2052" max="2052" width="20.28515625" style="51" bestFit="1" customWidth="1"/>
    <col min="2053" max="2053" width="20.7109375" style="51" customWidth="1"/>
    <col min="2054" max="2054" width="14.7109375" style="51" customWidth="1"/>
    <col min="2055" max="2055" width="13.5703125" style="51" customWidth="1"/>
    <col min="2056" max="2056" width="15.85546875" style="51" customWidth="1"/>
    <col min="2057" max="2057" width="15.140625" style="51" customWidth="1"/>
    <col min="2058" max="2058" width="17.140625" style="51" customWidth="1"/>
    <col min="2059" max="2304" width="9.140625" style="51"/>
    <col min="2305" max="2305" width="87.28515625" style="51" customWidth="1"/>
    <col min="2306" max="2307" width="23.5703125" style="51" customWidth="1"/>
    <col min="2308" max="2308" width="20.28515625" style="51" bestFit="1" customWidth="1"/>
    <col min="2309" max="2309" width="20.7109375" style="51" customWidth="1"/>
    <col min="2310" max="2310" width="14.7109375" style="51" customWidth="1"/>
    <col min="2311" max="2311" width="13.5703125" style="51" customWidth="1"/>
    <col min="2312" max="2312" width="15.85546875" style="51" customWidth="1"/>
    <col min="2313" max="2313" width="15.140625" style="51" customWidth="1"/>
    <col min="2314" max="2314" width="17.140625" style="51" customWidth="1"/>
    <col min="2315" max="2560" width="9.140625" style="51"/>
    <col min="2561" max="2561" width="87.28515625" style="51" customWidth="1"/>
    <col min="2562" max="2563" width="23.5703125" style="51" customWidth="1"/>
    <col min="2564" max="2564" width="20.28515625" style="51" bestFit="1" customWidth="1"/>
    <col min="2565" max="2565" width="20.7109375" style="51" customWidth="1"/>
    <col min="2566" max="2566" width="14.7109375" style="51" customWidth="1"/>
    <col min="2567" max="2567" width="13.5703125" style="51" customWidth="1"/>
    <col min="2568" max="2568" width="15.85546875" style="51" customWidth="1"/>
    <col min="2569" max="2569" width="15.140625" style="51" customWidth="1"/>
    <col min="2570" max="2570" width="17.140625" style="51" customWidth="1"/>
    <col min="2571" max="2816" width="9.140625" style="51"/>
    <col min="2817" max="2817" width="87.28515625" style="51" customWidth="1"/>
    <col min="2818" max="2819" width="23.5703125" style="51" customWidth="1"/>
    <col min="2820" max="2820" width="20.28515625" style="51" bestFit="1" customWidth="1"/>
    <col min="2821" max="2821" width="20.7109375" style="51" customWidth="1"/>
    <col min="2822" max="2822" width="14.7109375" style="51" customWidth="1"/>
    <col min="2823" max="2823" width="13.5703125" style="51" customWidth="1"/>
    <col min="2824" max="2824" width="15.85546875" style="51" customWidth="1"/>
    <col min="2825" max="2825" width="15.140625" style="51" customWidth="1"/>
    <col min="2826" max="2826" width="17.140625" style="51" customWidth="1"/>
    <col min="2827" max="3072" width="9.140625" style="51"/>
    <col min="3073" max="3073" width="87.28515625" style="51" customWidth="1"/>
    <col min="3074" max="3075" width="23.5703125" style="51" customWidth="1"/>
    <col min="3076" max="3076" width="20.28515625" style="51" bestFit="1" customWidth="1"/>
    <col min="3077" max="3077" width="20.7109375" style="51" customWidth="1"/>
    <col min="3078" max="3078" width="14.7109375" style="51" customWidth="1"/>
    <col min="3079" max="3079" width="13.5703125" style="51" customWidth="1"/>
    <col min="3080" max="3080" width="15.85546875" style="51" customWidth="1"/>
    <col min="3081" max="3081" width="15.140625" style="51" customWidth="1"/>
    <col min="3082" max="3082" width="17.140625" style="51" customWidth="1"/>
    <col min="3083" max="3328" width="9.140625" style="51"/>
    <col min="3329" max="3329" width="87.28515625" style="51" customWidth="1"/>
    <col min="3330" max="3331" width="23.5703125" style="51" customWidth="1"/>
    <col min="3332" max="3332" width="20.28515625" style="51" bestFit="1" customWidth="1"/>
    <col min="3333" max="3333" width="20.7109375" style="51" customWidth="1"/>
    <col min="3334" max="3334" width="14.7109375" style="51" customWidth="1"/>
    <col min="3335" max="3335" width="13.5703125" style="51" customWidth="1"/>
    <col min="3336" max="3336" width="15.85546875" style="51" customWidth="1"/>
    <col min="3337" max="3337" width="15.140625" style="51" customWidth="1"/>
    <col min="3338" max="3338" width="17.140625" style="51" customWidth="1"/>
    <col min="3339" max="3584" width="9.140625" style="51"/>
    <col min="3585" max="3585" width="87.28515625" style="51" customWidth="1"/>
    <col min="3586" max="3587" width="23.5703125" style="51" customWidth="1"/>
    <col min="3588" max="3588" width="20.28515625" style="51" bestFit="1" customWidth="1"/>
    <col min="3589" max="3589" width="20.7109375" style="51" customWidth="1"/>
    <col min="3590" max="3590" width="14.7109375" style="51" customWidth="1"/>
    <col min="3591" max="3591" width="13.5703125" style="51" customWidth="1"/>
    <col min="3592" max="3592" width="15.85546875" style="51" customWidth="1"/>
    <col min="3593" max="3593" width="15.140625" style="51" customWidth="1"/>
    <col min="3594" max="3594" width="17.140625" style="51" customWidth="1"/>
    <col min="3595" max="3840" width="9.140625" style="51"/>
    <col min="3841" max="3841" width="87.28515625" style="51" customWidth="1"/>
    <col min="3842" max="3843" width="23.5703125" style="51" customWidth="1"/>
    <col min="3844" max="3844" width="20.28515625" style="51" bestFit="1" customWidth="1"/>
    <col min="3845" max="3845" width="20.7109375" style="51" customWidth="1"/>
    <col min="3846" max="3846" width="14.7109375" style="51" customWidth="1"/>
    <col min="3847" max="3847" width="13.5703125" style="51" customWidth="1"/>
    <col min="3848" max="3848" width="15.85546875" style="51" customWidth="1"/>
    <col min="3849" max="3849" width="15.140625" style="51" customWidth="1"/>
    <col min="3850" max="3850" width="17.140625" style="51" customWidth="1"/>
    <col min="3851" max="4096" width="9.140625" style="51"/>
    <col min="4097" max="4097" width="87.28515625" style="51" customWidth="1"/>
    <col min="4098" max="4099" width="23.5703125" style="51" customWidth="1"/>
    <col min="4100" max="4100" width="20.28515625" style="51" bestFit="1" customWidth="1"/>
    <col min="4101" max="4101" width="20.7109375" style="51" customWidth="1"/>
    <col min="4102" max="4102" width="14.7109375" style="51" customWidth="1"/>
    <col min="4103" max="4103" width="13.5703125" style="51" customWidth="1"/>
    <col min="4104" max="4104" width="15.85546875" style="51" customWidth="1"/>
    <col min="4105" max="4105" width="15.140625" style="51" customWidth="1"/>
    <col min="4106" max="4106" width="17.140625" style="51" customWidth="1"/>
    <col min="4107" max="4352" width="9.140625" style="51"/>
    <col min="4353" max="4353" width="87.28515625" style="51" customWidth="1"/>
    <col min="4354" max="4355" width="23.5703125" style="51" customWidth="1"/>
    <col min="4356" max="4356" width="20.28515625" style="51" bestFit="1" customWidth="1"/>
    <col min="4357" max="4357" width="20.7109375" style="51" customWidth="1"/>
    <col min="4358" max="4358" width="14.7109375" style="51" customWidth="1"/>
    <col min="4359" max="4359" width="13.5703125" style="51" customWidth="1"/>
    <col min="4360" max="4360" width="15.85546875" style="51" customWidth="1"/>
    <col min="4361" max="4361" width="15.140625" style="51" customWidth="1"/>
    <col min="4362" max="4362" width="17.140625" style="51" customWidth="1"/>
    <col min="4363" max="4608" width="9.140625" style="51"/>
    <col min="4609" max="4609" width="87.28515625" style="51" customWidth="1"/>
    <col min="4610" max="4611" width="23.5703125" style="51" customWidth="1"/>
    <col min="4612" max="4612" width="20.28515625" style="51" bestFit="1" customWidth="1"/>
    <col min="4613" max="4613" width="20.7109375" style="51" customWidth="1"/>
    <col min="4614" max="4614" width="14.7109375" style="51" customWidth="1"/>
    <col min="4615" max="4615" width="13.5703125" style="51" customWidth="1"/>
    <col min="4616" max="4616" width="15.85546875" style="51" customWidth="1"/>
    <col min="4617" max="4617" width="15.140625" style="51" customWidth="1"/>
    <col min="4618" max="4618" width="17.140625" style="51" customWidth="1"/>
    <col min="4619" max="4864" width="9.140625" style="51"/>
    <col min="4865" max="4865" width="87.28515625" style="51" customWidth="1"/>
    <col min="4866" max="4867" width="23.5703125" style="51" customWidth="1"/>
    <col min="4868" max="4868" width="20.28515625" style="51" bestFit="1" customWidth="1"/>
    <col min="4869" max="4869" width="20.7109375" style="51" customWidth="1"/>
    <col min="4870" max="4870" width="14.7109375" style="51" customWidth="1"/>
    <col min="4871" max="4871" width="13.5703125" style="51" customWidth="1"/>
    <col min="4872" max="4872" width="15.85546875" style="51" customWidth="1"/>
    <col min="4873" max="4873" width="15.140625" style="51" customWidth="1"/>
    <col min="4874" max="4874" width="17.140625" style="51" customWidth="1"/>
    <col min="4875" max="5120" width="9.140625" style="51"/>
    <col min="5121" max="5121" width="87.28515625" style="51" customWidth="1"/>
    <col min="5122" max="5123" width="23.5703125" style="51" customWidth="1"/>
    <col min="5124" max="5124" width="20.28515625" style="51" bestFit="1" customWidth="1"/>
    <col min="5125" max="5125" width="20.7109375" style="51" customWidth="1"/>
    <col min="5126" max="5126" width="14.7109375" style="51" customWidth="1"/>
    <col min="5127" max="5127" width="13.5703125" style="51" customWidth="1"/>
    <col min="5128" max="5128" width="15.85546875" style="51" customWidth="1"/>
    <col min="5129" max="5129" width="15.140625" style="51" customWidth="1"/>
    <col min="5130" max="5130" width="17.140625" style="51" customWidth="1"/>
    <col min="5131" max="5376" width="9.140625" style="51"/>
    <col min="5377" max="5377" width="87.28515625" style="51" customWidth="1"/>
    <col min="5378" max="5379" width="23.5703125" style="51" customWidth="1"/>
    <col min="5380" max="5380" width="20.28515625" style="51" bestFit="1" customWidth="1"/>
    <col min="5381" max="5381" width="20.7109375" style="51" customWidth="1"/>
    <col min="5382" max="5382" width="14.7109375" style="51" customWidth="1"/>
    <col min="5383" max="5383" width="13.5703125" style="51" customWidth="1"/>
    <col min="5384" max="5384" width="15.85546875" style="51" customWidth="1"/>
    <col min="5385" max="5385" width="15.140625" style="51" customWidth="1"/>
    <col min="5386" max="5386" width="17.140625" style="51" customWidth="1"/>
    <col min="5387" max="5632" width="9.140625" style="51"/>
    <col min="5633" max="5633" width="87.28515625" style="51" customWidth="1"/>
    <col min="5634" max="5635" width="23.5703125" style="51" customWidth="1"/>
    <col min="5636" max="5636" width="20.28515625" style="51" bestFit="1" customWidth="1"/>
    <col min="5637" max="5637" width="20.7109375" style="51" customWidth="1"/>
    <col min="5638" max="5638" width="14.7109375" style="51" customWidth="1"/>
    <col min="5639" max="5639" width="13.5703125" style="51" customWidth="1"/>
    <col min="5640" max="5640" width="15.85546875" style="51" customWidth="1"/>
    <col min="5641" max="5641" width="15.140625" style="51" customWidth="1"/>
    <col min="5642" max="5642" width="17.140625" style="51" customWidth="1"/>
    <col min="5643" max="5888" width="9.140625" style="51"/>
    <col min="5889" max="5889" width="87.28515625" style="51" customWidth="1"/>
    <col min="5890" max="5891" width="23.5703125" style="51" customWidth="1"/>
    <col min="5892" max="5892" width="20.28515625" style="51" bestFit="1" customWidth="1"/>
    <col min="5893" max="5893" width="20.7109375" style="51" customWidth="1"/>
    <col min="5894" max="5894" width="14.7109375" style="51" customWidth="1"/>
    <col min="5895" max="5895" width="13.5703125" style="51" customWidth="1"/>
    <col min="5896" max="5896" width="15.85546875" style="51" customWidth="1"/>
    <col min="5897" max="5897" width="15.140625" style="51" customWidth="1"/>
    <col min="5898" max="5898" width="17.140625" style="51" customWidth="1"/>
    <col min="5899" max="6144" width="9.140625" style="51"/>
    <col min="6145" max="6145" width="87.28515625" style="51" customWidth="1"/>
    <col min="6146" max="6147" width="23.5703125" style="51" customWidth="1"/>
    <col min="6148" max="6148" width="20.28515625" style="51" bestFit="1" customWidth="1"/>
    <col min="6149" max="6149" width="20.7109375" style="51" customWidth="1"/>
    <col min="6150" max="6150" width="14.7109375" style="51" customWidth="1"/>
    <col min="6151" max="6151" width="13.5703125" style="51" customWidth="1"/>
    <col min="6152" max="6152" width="15.85546875" style="51" customWidth="1"/>
    <col min="6153" max="6153" width="15.140625" style="51" customWidth="1"/>
    <col min="6154" max="6154" width="17.140625" style="51" customWidth="1"/>
    <col min="6155" max="6400" width="9.140625" style="51"/>
    <col min="6401" max="6401" width="87.28515625" style="51" customWidth="1"/>
    <col min="6402" max="6403" width="23.5703125" style="51" customWidth="1"/>
    <col min="6404" max="6404" width="20.28515625" style="51" bestFit="1" customWidth="1"/>
    <col min="6405" max="6405" width="20.7109375" style="51" customWidth="1"/>
    <col min="6406" max="6406" width="14.7109375" style="51" customWidth="1"/>
    <col min="6407" max="6407" width="13.5703125" style="51" customWidth="1"/>
    <col min="6408" max="6408" width="15.85546875" style="51" customWidth="1"/>
    <col min="6409" max="6409" width="15.140625" style="51" customWidth="1"/>
    <col min="6410" max="6410" width="17.140625" style="51" customWidth="1"/>
    <col min="6411" max="6656" width="9.140625" style="51"/>
    <col min="6657" max="6657" width="87.28515625" style="51" customWidth="1"/>
    <col min="6658" max="6659" width="23.5703125" style="51" customWidth="1"/>
    <col min="6660" max="6660" width="20.28515625" style="51" bestFit="1" customWidth="1"/>
    <col min="6661" max="6661" width="20.7109375" style="51" customWidth="1"/>
    <col min="6662" max="6662" width="14.7109375" style="51" customWidth="1"/>
    <col min="6663" max="6663" width="13.5703125" style="51" customWidth="1"/>
    <col min="6664" max="6664" width="15.85546875" style="51" customWidth="1"/>
    <col min="6665" max="6665" width="15.140625" style="51" customWidth="1"/>
    <col min="6666" max="6666" width="17.140625" style="51" customWidth="1"/>
    <col min="6667" max="6912" width="9.140625" style="51"/>
    <col min="6913" max="6913" width="87.28515625" style="51" customWidth="1"/>
    <col min="6914" max="6915" width="23.5703125" style="51" customWidth="1"/>
    <col min="6916" max="6916" width="20.28515625" style="51" bestFit="1" customWidth="1"/>
    <col min="6917" max="6917" width="20.7109375" style="51" customWidth="1"/>
    <col min="6918" max="6918" width="14.7109375" style="51" customWidth="1"/>
    <col min="6919" max="6919" width="13.5703125" style="51" customWidth="1"/>
    <col min="6920" max="6920" width="15.85546875" style="51" customWidth="1"/>
    <col min="6921" max="6921" width="15.140625" style="51" customWidth="1"/>
    <col min="6922" max="6922" width="17.140625" style="51" customWidth="1"/>
    <col min="6923" max="7168" width="9.140625" style="51"/>
    <col min="7169" max="7169" width="87.28515625" style="51" customWidth="1"/>
    <col min="7170" max="7171" width="23.5703125" style="51" customWidth="1"/>
    <col min="7172" max="7172" width="20.28515625" style="51" bestFit="1" customWidth="1"/>
    <col min="7173" max="7173" width="20.7109375" style="51" customWidth="1"/>
    <col min="7174" max="7174" width="14.7109375" style="51" customWidth="1"/>
    <col min="7175" max="7175" width="13.5703125" style="51" customWidth="1"/>
    <col min="7176" max="7176" width="15.85546875" style="51" customWidth="1"/>
    <col min="7177" max="7177" width="15.140625" style="51" customWidth="1"/>
    <col min="7178" max="7178" width="17.140625" style="51" customWidth="1"/>
    <col min="7179" max="7424" width="9.140625" style="51"/>
    <col min="7425" max="7425" width="87.28515625" style="51" customWidth="1"/>
    <col min="7426" max="7427" width="23.5703125" style="51" customWidth="1"/>
    <col min="7428" max="7428" width="20.28515625" style="51" bestFit="1" customWidth="1"/>
    <col min="7429" max="7429" width="20.7109375" style="51" customWidth="1"/>
    <col min="7430" max="7430" width="14.7109375" style="51" customWidth="1"/>
    <col min="7431" max="7431" width="13.5703125" style="51" customWidth="1"/>
    <col min="7432" max="7432" width="15.85546875" style="51" customWidth="1"/>
    <col min="7433" max="7433" width="15.140625" style="51" customWidth="1"/>
    <col min="7434" max="7434" width="17.140625" style="51" customWidth="1"/>
    <col min="7435" max="7680" width="9.140625" style="51"/>
    <col min="7681" max="7681" width="87.28515625" style="51" customWidth="1"/>
    <col min="7682" max="7683" width="23.5703125" style="51" customWidth="1"/>
    <col min="7684" max="7684" width="20.28515625" style="51" bestFit="1" customWidth="1"/>
    <col min="7685" max="7685" width="20.7109375" style="51" customWidth="1"/>
    <col min="7686" max="7686" width="14.7109375" style="51" customWidth="1"/>
    <col min="7687" max="7687" width="13.5703125" style="51" customWidth="1"/>
    <col min="7688" max="7688" width="15.85546875" style="51" customWidth="1"/>
    <col min="7689" max="7689" width="15.140625" style="51" customWidth="1"/>
    <col min="7690" max="7690" width="17.140625" style="51" customWidth="1"/>
    <col min="7691" max="7936" width="9.140625" style="51"/>
    <col min="7937" max="7937" width="87.28515625" style="51" customWidth="1"/>
    <col min="7938" max="7939" width="23.5703125" style="51" customWidth="1"/>
    <col min="7940" max="7940" width="20.28515625" style="51" bestFit="1" customWidth="1"/>
    <col min="7941" max="7941" width="20.7109375" style="51" customWidth="1"/>
    <col min="7942" max="7942" width="14.7109375" style="51" customWidth="1"/>
    <col min="7943" max="7943" width="13.5703125" style="51" customWidth="1"/>
    <col min="7944" max="7944" width="15.85546875" style="51" customWidth="1"/>
    <col min="7945" max="7945" width="15.140625" style="51" customWidth="1"/>
    <col min="7946" max="7946" width="17.140625" style="51" customWidth="1"/>
    <col min="7947" max="8192" width="9.140625" style="51"/>
    <col min="8193" max="8193" width="87.28515625" style="51" customWidth="1"/>
    <col min="8194" max="8195" width="23.5703125" style="51" customWidth="1"/>
    <col min="8196" max="8196" width="20.28515625" style="51" bestFit="1" customWidth="1"/>
    <col min="8197" max="8197" width="20.7109375" style="51" customWidth="1"/>
    <col min="8198" max="8198" width="14.7109375" style="51" customWidth="1"/>
    <col min="8199" max="8199" width="13.5703125" style="51" customWidth="1"/>
    <col min="8200" max="8200" width="15.85546875" style="51" customWidth="1"/>
    <col min="8201" max="8201" width="15.140625" style="51" customWidth="1"/>
    <col min="8202" max="8202" width="17.140625" style="51" customWidth="1"/>
    <col min="8203" max="8448" width="9.140625" style="51"/>
    <col min="8449" max="8449" width="87.28515625" style="51" customWidth="1"/>
    <col min="8450" max="8451" width="23.5703125" style="51" customWidth="1"/>
    <col min="8452" max="8452" width="20.28515625" style="51" bestFit="1" customWidth="1"/>
    <col min="8453" max="8453" width="20.7109375" style="51" customWidth="1"/>
    <col min="8454" max="8454" width="14.7109375" style="51" customWidth="1"/>
    <col min="8455" max="8455" width="13.5703125" style="51" customWidth="1"/>
    <col min="8456" max="8456" width="15.85546875" style="51" customWidth="1"/>
    <col min="8457" max="8457" width="15.140625" style="51" customWidth="1"/>
    <col min="8458" max="8458" width="17.140625" style="51" customWidth="1"/>
    <col min="8459" max="8704" width="9.140625" style="51"/>
    <col min="8705" max="8705" width="87.28515625" style="51" customWidth="1"/>
    <col min="8706" max="8707" width="23.5703125" style="51" customWidth="1"/>
    <col min="8708" max="8708" width="20.28515625" style="51" bestFit="1" customWidth="1"/>
    <col min="8709" max="8709" width="20.7109375" style="51" customWidth="1"/>
    <col min="8710" max="8710" width="14.7109375" style="51" customWidth="1"/>
    <col min="8711" max="8711" width="13.5703125" style="51" customWidth="1"/>
    <col min="8712" max="8712" width="15.85546875" style="51" customWidth="1"/>
    <col min="8713" max="8713" width="15.140625" style="51" customWidth="1"/>
    <col min="8714" max="8714" width="17.140625" style="51" customWidth="1"/>
    <col min="8715" max="8960" width="9.140625" style="51"/>
    <col min="8961" max="8961" width="87.28515625" style="51" customWidth="1"/>
    <col min="8962" max="8963" width="23.5703125" style="51" customWidth="1"/>
    <col min="8964" max="8964" width="20.28515625" style="51" bestFit="1" customWidth="1"/>
    <col min="8965" max="8965" width="20.7109375" style="51" customWidth="1"/>
    <col min="8966" max="8966" width="14.7109375" style="51" customWidth="1"/>
    <col min="8967" max="8967" width="13.5703125" style="51" customWidth="1"/>
    <col min="8968" max="8968" width="15.85546875" style="51" customWidth="1"/>
    <col min="8969" max="8969" width="15.140625" style="51" customWidth="1"/>
    <col min="8970" max="8970" width="17.140625" style="51" customWidth="1"/>
    <col min="8971" max="9216" width="9.140625" style="51"/>
    <col min="9217" max="9217" width="87.28515625" style="51" customWidth="1"/>
    <col min="9218" max="9219" width="23.5703125" style="51" customWidth="1"/>
    <col min="9220" max="9220" width="20.28515625" style="51" bestFit="1" customWidth="1"/>
    <col min="9221" max="9221" width="20.7109375" style="51" customWidth="1"/>
    <col min="9222" max="9222" width="14.7109375" style="51" customWidth="1"/>
    <col min="9223" max="9223" width="13.5703125" style="51" customWidth="1"/>
    <col min="9224" max="9224" width="15.85546875" style="51" customWidth="1"/>
    <col min="9225" max="9225" width="15.140625" style="51" customWidth="1"/>
    <col min="9226" max="9226" width="17.140625" style="51" customWidth="1"/>
    <col min="9227" max="9472" width="9.140625" style="51"/>
    <col min="9473" max="9473" width="87.28515625" style="51" customWidth="1"/>
    <col min="9474" max="9475" width="23.5703125" style="51" customWidth="1"/>
    <col min="9476" max="9476" width="20.28515625" style="51" bestFit="1" customWidth="1"/>
    <col min="9477" max="9477" width="20.7109375" style="51" customWidth="1"/>
    <col min="9478" max="9478" width="14.7109375" style="51" customWidth="1"/>
    <col min="9479" max="9479" width="13.5703125" style="51" customWidth="1"/>
    <col min="9480" max="9480" width="15.85546875" style="51" customWidth="1"/>
    <col min="9481" max="9481" width="15.140625" style="51" customWidth="1"/>
    <col min="9482" max="9482" width="17.140625" style="51" customWidth="1"/>
    <col min="9483" max="9728" width="9.140625" style="51"/>
    <col min="9729" max="9729" width="87.28515625" style="51" customWidth="1"/>
    <col min="9730" max="9731" width="23.5703125" style="51" customWidth="1"/>
    <col min="9732" max="9732" width="20.28515625" style="51" bestFit="1" customWidth="1"/>
    <col min="9733" max="9733" width="20.7109375" style="51" customWidth="1"/>
    <col min="9734" max="9734" width="14.7109375" style="51" customWidth="1"/>
    <col min="9735" max="9735" width="13.5703125" style="51" customWidth="1"/>
    <col min="9736" max="9736" width="15.85546875" style="51" customWidth="1"/>
    <col min="9737" max="9737" width="15.140625" style="51" customWidth="1"/>
    <col min="9738" max="9738" width="17.140625" style="51" customWidth="1"/>
    <col min="9739" max="9984" width="9.140625" style="51"/>
    <col min="9985" max="9985" width="87.28515625" style="51" customWidth="1"/>
    <col min="9986" max="9987" width="23.5703125" style="51" customWidth="1"/>
    <col min="9988" max="9988" width="20.28515625" style="51" bestFit="1" customWidth="1"/>
    <col min="9989" max="9989" width="20.7109375" style="51" customWidth="1"/>
    <col min="9990" max="9990" width="14.7109375" style="51" customWidth="1"/>
    <col min="9991" max="9991" width="13.5703125" style="51" customWidth="1"/>
    <col min="9992" max="9992" width="15.85546875" style="51" customWidth="1"/>
    <col min="9993" max="9993" width="15.140625" style="51" customWidth="1"/>
    <col min="9994" max="9994" width="17.140625" style="51" customWidth="1"/>
    <col min="9995" max="10240" width="9.140625" style="51"/>
    <col min="10241" max="10241" width="87.28515625" style="51" customWidth="1"/>
    <col min="10242" max="10243" width="23.5703125" style="51" customWidth="1"/>
    <col min="10244" max="10244" width="20.28515625" style="51" bestFit="1" customWidth="1"/>
    <col min="10245" max="10245" width="20.7109375" style="51" customWidth="1"/>
    <col min="10246" max="10246" width="14.7109375" style="51" customWidth="1"/>
    <col min="10247" max="10247" width="13.5703125" style="51" customWidth="1"/>
    <col min="10248" max="10248" width="15.85546875" style="51" customWidth="1"/>
    <col min="10249" max="10249" width="15.140625" style="51" customWidth="1"/>
    <col min="10250" max="10250" width="17.140625" style="51" customWidth="1"/>
    <col min="10251" max="10496" width="9.140625" style="51"/>
    <col min="10497" max="10497" width="87.28515625" style="51" customWidth="1"/>
    <col min="10498" max="10499" width="23.5703125" style="51" customWidth="1"/>
    <col min="10500" max="10500" width="20.28515625" style="51" bestFit="1" customWidth="1"/>
    <col min="10501" max="10501" width="20.7109375" style="51" customWidth="1"/>
    <col min="10502" max="10502" width="14.7109375" style="51" customWidth="1"/>
    <col min="10503" max="10503" width="13.5703125" style="51" customWidth="1"/>
    <col min="10504" max="10504" width="15.85546875" style="51" customWidth="1"/>
    <col min="10505" max="10505" width="15.140625" style="51" customWidth="1"/>
    <col min="10506" max="10506" width="17.140625" style="51" customWidth="1"/>
    <col min="10507" max="10752" width="9.140625" style="51"/>
    <col min="10753" max="10753" width="87.28515625" style="51" customWidth="1"/>
    <col min="10754" max="10755" width="23.5703125" style="51" customWidth="1"/>
    <col min="10756" max="10756" width="20.28515625" style="51" bestFit="1" customWidth="1"/>
    <col min="10757" max="10757" width="20.7109375" style="51" customWidth="1"/>
    <col min="10758" max="10758" width="14.7109375" style="51" customWidth="1"/>
    <col min="10759" max="10759" width="13.5703125" style="51" customWidth="1"/>
    <col min="10760" max="10760" width="15.85546875" style="51" customWidth="1"/>
    <col min="10761" max="10761" width="15.140625" style="51" customWidth="1"/>
    <col min="10762" max="10762" width="17.140625" style="51" customWidth="1"/>
    <col min="10763" max="11008" width="9.140625" style="51"/>
    <col min="11009" max="11009" width="87.28515625" style="51" customWidth="1"/>
    <col min="11010" max="11011" width="23.5703125" style="51" customWidth="1"/>
    <col min="11012" max="11012" width="20.28515625" style="51" bestFit="1" customWidth="1"/>
    <col min="11013" max="11013" width="20.7109375" style="51" customWidth="1"/>
    <col min="11014" max="11014" width="14.7109375" style="51" customWidth="1"/>
    <col min="11015" max="11015" width="13.5703125" style="51" customWidth="1"/>
    <col min="11016" max="11016" width="15.85546875" style="51" customWidth="1"/>
    <col min="11017" max="11017" width="15.140625" style="51" customWidth="1"/>
    <col min="11018" max="11018" width="17.140625" style="51" customWidth="1"/>
    <col min="11019" max="11264" width="9.140625" style="51"/>
    <col min="11265" max="11265" width="87.28515625" style="51" customWidth="1"/>
    <col min="11266" max="11267" width="23.5703125" style="51" customWidth="1"/>
    <col min="11268" max="11268" width="20.28515625" style="51" bestFit="1" customWidth="1"/>
    <col min="11269" max="11269" width="20.7109375" style="51" customWidth="1"/>
    <col min="11270" max="11270" width="14.7109375" style="51" customWidth="1"/>
    <col min="11271" max="11271" width="13.5703125" style="51" customWidth="1"/>
    <col min="11272" max="11272" width="15.85546875" style="51" customWidth="1"/>
    <col min="11273" max="11273" width="15.140625" style="51" customWidth="1"/>
    <col min="11274" max="11274" width="17.140625" style="51" customWidth="1"/>
    <col min="11275" max="11520" width="9.140625" style="51"/>
    <col min="11521" max="11521" width="87.28515625" style="51" customWidth="1"/>
    <col min="11522" max="11523" width="23.5703125" style="51" customWidth="1"/>
    <col min="11524" max="11524" width="20.28515625" style="51" bestFit="1" customWidth="1"/>
    <col min="11525" max="11525" width="20.7109375" style="51" customWidth="1"/>
    <col min="11526" max="11526" width="14.7109375" style="51" customWidth="1"/>
    <col min="11527" max="11527" width="13.5703125" style="51" customWidth="1"/>
    <col min="11528" max="11528" width="15.85546875" style="51" customWidth="1"/>
    <col min="11529" max="11529" width="15.140625" style="51" customWidth="1"/>
    <col min="11530" max="11530" width="17.140625" style="51" customWidth="1"/>
    <col min="11531" max="11776" width="9.140625" style="51"/>
    <col min="11777" max="11777" width="87.28515625" style="51" customWidth="1"/>
    <col min="11778" max="11779" width="23.5703125" style="51" customWidth="1"/>
    <col min="11780" max="11780" width="20.28515625" style="51" bestFit="1" customWidth="1"/>
    <col min="11781" max="11781" width="20.7109375" style="51" customWidth="1"/>
    <col min="11782" max="11782" width="14.7109375" style="51" customWidth="1"/>
    <col min="11783" max="11783" width="13.5703125" style="51" customWidth="1"/>
    <col min="11784" max="11784" width="15.85546875" style="51" customWidth="1"/>
    <col min="11785" max="11785" width="15.140625" style="51" customWidth="1"/>
    <col min="11786" max="11786" width="17.140625" style="51" customWidth="1"/>
    <col min="11787" max="12032" width="9.140625" style="51"/>
    <col min="12033" max="12033" width="87.28515625" style="51" customWidth="1"/>
    <col min="12034" max="12035" width="23.5703125" style="51" customWidth="1"/>
    <col min="12036" max="12036" width="20.28515625" style="51" bestFit="1" customWidth="1"/>
    <col min="12037" max="12037" width="20.7109375" style="51" customWidth="1"/>
    <col min="12038" max="12038" width="14.7109375" style="51" customWidth="1"/>
    <col min="12039" max="12039" width="13.5703125" style="51" customWidth="1"/>
    <col min="12040" max="12040" width="15.85546875" style="51" customWidth="1"/>
    <col min="12041" max="12041" width="15.140625" style="51" customWidth="1"/>
    <col min="12042" max="12042" width="17.140625" style="51" customWidth="1"/>
    <col min="12043" max="12288" width="9.140625" style="51"/>
    <col min="12289" max="12289" width="87.28515625" style="51" customWidth="1"/>
    <col min="12290" max="12291" width="23.5703125" style="51" customWidth="1"/>
    <col min="12292" max="12292" width="20.28515625" style="51" bestFit="1" customWidth="1"/>
    <col min="12293" max="12293" width="20.7109375" style="51" customWidth="1"/>
    <col min="12294" max="12294" width="14.7109375" style="51" customWidth="1"/>
    <col min="12295" max="12295" width="13.5703125" style="51" customWidth="1"/>
    <col min="12296" max="12296" width="15.85546875" style="51" customWidth="1"/>
    <col min="12297" max="12297" width="15.140625" style="51" customWidth="1"/>
    <col min="12298" max="12298" width="17.140625" style="51" customWidth="1"/>
    <col min="12299" max="12544" width="9.140625" style="51"/>
    <col min="12545" max="12545" width="87.28515625" style="51" customWidth="1"/>
    <col min="12546" max="12547" width="23.5703125" style="51" customWidth="1"/>
    <col min="12548" max="12548" width="20.28515625" style="51" bestFit="1" customWidth="1"/>
    <col min="12549" max="12549" width="20.7109375" style="51" customWidth="1"/>
    <col min="12550" max="12550" width="14.7109375" style="51" customWidth="1"/>
    <col min="12551" max="12551" width="13.5703125" style="51" customWidth="1"/>
    <col min="12552" max="12552" width="15.85546875" style="51" customWidth="1"/>
    <col min="12553" max="12553" width="15.140625" style="51" customWidth="1"/>
    <col min="12554" max="12554" width="17.140625" style="51" customWidth="1"/>
    <col min="12555" max="12800" width="9.140625" style="51"/>
    <col min="12801" max="12801" width="87.28515625" style="51" customWidth="1"/>
    <col min="12802" max="12803" width="23.5703125" style="51" customWidth="1"/>
    <col min="12804" max="12804" width="20.28515625" style="51" bestFit="1" customWidth="1"/>
    <col min="12805" max="12805" width="20.7109375" style="51" customWidth="1"/>
    <col min="12806" max="12806" width="14.7109375" style="51" customWidth="1"/>
    <col min="12807" max="12807" width="13.5703125" style="51" customWidth="1"/>
    <col min="12808" max="12808" width="15.85546875" style="51" customWidth="1"/>
    <col min="12809" max="12809" width="15.140625" style="51" customWidth="1"/>
    <col min="12810" max="12810" width="17.140625" style="51" customWidth="1"/>
    <col min="12811" max="13056" width="9.140625" style="51"/>
    <col min="13057" max="13057" width="87.28515625" style="51" customWidth="1"/>
    <col min="13058" max="13059" width="23.5703125" style="51" customWidth="1"/>
    <col min="13060" max="13060" width="20.28515625" style="51" bestFit="1" customWidth="1"/>
    <col min="13061" max="13061" width="20.7109375" style="51" customWidth="1"/>
    <col min="13062" max="13062" width="14.7109375" style="51" customWidth="1"/>
    <col min="13063" max="13063" width="13.5703125" style="51" customWidth="1"/>
    <col min="13064" max="13064" width="15.85546875" style="51" customWidth="1"/>
    <col min="13065" max="13065" width="15.140625" style="51" customWidth="1"/>
    <col min="13066" max="13066" width="17.140625" style="51" customWidth="1"/>
    <col min="13067" max="13312" width="9.140625" style="51"/>
    <col min="13313" max="13313" width="87.28515625" style="51" customWidth="1"/>
    <col min="13314" max="13315" width="23.5703125" style="51" customWidth="1"/>
    <col min="13316" max="13316" width="20.28515625" style="51" bestFit="1" customWidth="1"/>
    <col min="13317" max="13317" width="20.7109375" style="51" customWidth="1"/>
    <col min="13318" max="13318" width="14.7109375" style="51" customWidth="1"/>
    <col min="13319" max="13319" width="13.5703125" style="51" customWidth="1"/>
    <col min="13320" max="13320" width="15.85546875" style="51" customWidth="1"/>
    <col min="13321" max="13321" width="15.140625" style="51" customWidth="1"/>
    <col min="13322" max="13322" width="17.140625" style="51" customWidth="1"/>
    <col min="13323" max="13568" width="9.140625" style="51"/>
    <col min="13569" max="13569" width="87.28515625" style="51" customWidth="1"/>
    <col min="13570" max="13571" width="23.5703125" style="51" customWidth="1"/>
    <col min="13572" max="13572" width="20.28515625" style="51" bestFit="1" customWidth="1"/>
    <col min="13573" max="13573" width="20.7109375" style="51" customWidth="1"/>
    <col min="13574" max="13574" width="14.7109375" style="51" customWidth="1"/>
    <col min="13575" max="13575" width="13.5703125" style="51" customWidth="1"/>
    <col min="13576" max="13576" width="15.85546875" style="51" customWidth="1"/>
    <col min="13577" max="13577" width="15.140625" style="51" customWidth="1"/>
    <col min="13578" max="13578" width="17.140625" style="51" customWidth="1"/>
    <col min="13579" max="13824" width="9.140625" style="51"/>
    <col min="13825" max="13825" width="87.28515625" style="51" customWidth="1"/>
    <col min="13826" max="13827" width="23.5703125" style="51" customWidth="1"/>
    <col min="13828" max="13828" width="20.28515625" style="51" bestFit="1" customWidth="1"/>
    <col min="13829" max="13829" width="20.7109375" style="51" customWidth="1"/>
    <col min="13830" max="13830" width="14.7109375" style="51" customWidth="1"/>
    <col min="13831" max="13831" width="13.5703125" style="51" customWidth="1"/>
    <col min="13832" max="13832" width="15.85546875" style="51" customWidth="1"/>
    <col min="13833" max="13833" width="15.140625" style="51" customWidth="1"/>
    <col min="13834" max="13834" width="17.140625" style="51" customWidth="1"/>
    <col min="13835" max="14080" width="9.140625" style="51"/>
    <col min="14081" max="14081" width="87.28515625" style="51" customWidth="1"/>
    <col min="14082" max="14083" width="23.5703125" style="51" customWidth="1"/>
    <col min="14084" max="14084" width="20.28515625" style="51" bestFit="1" customWidth="1"/>
    <col min="14085" max="14085" width="20.7109375" style="51" customWidth="1"/>
    <col min="14086" max="14086" width="14.7109375" style="51" customWidth="1"/>
    <col min="14087" max="14087" width="13.5703125" style="51" customWidth="1"/>
    <col min="14088" max="14088" width="15.85546875" style="51" customWidth="1"/>
    <col min="14089" max="14089" width="15.140625" style="51" customWidth="1"/>
    <col min="14090" max="14090" width="17.140625" style="51" customWidth="1"/>
    <col min="14091" max="14336" width="9.140625" style="51"/>
    <col min="14337" max="14337" width="87.28515625" style="51" customWidth="1"/>
    <col min="14338" max="14339" width="23.5703125" style="51" customWidth="1"/>
    <col min="14340" max="14340" width="20.28515625" style="51" bestFit="1" customWidth="1"/>
    <col min="14341" max="14341" width="20.7109375" style="51" customWidth="1"/>
    <col min="14342" max="14342" width="14.7109375" style="51" customWidth="1"/>
    <col min="14343" max="14343" width="13.5703125" style="51" customWidth="1"/>
    <col min="14344" max="14344" width="15.85546875" style="51" customWidth="1"/>
    <col min="14345" max="14345" width="15.140625" style="51" customWidth="1"/>
    <col min="14346" max="14346" width="17.140625" style="51" customWidth="1"/>
    <col min="14347" max="14592" width="9.140625" style="51"/>
    <col min="14593" max="14593" width="87.28515625" style="51" customWidth="1"/>
    <col min="14594" max="14595" width="23.5703125" style="51" customWidth="1"/>
    <col min="14596" max="14596" width="20.28515625" style="51" bestFit="1" customWidth="1"/>
    <col min="14597" max="14597" width="20.7109375" style="51" customWidth="1"/>
    <col min="14598" max="14598" width="14.7109375" style="51" customWidth="1"/>
    <col min="14599" max="14599" width="13.5703125" style="51" customWidth="1"/>
    <col min="14600" max="14600" width="15.85546875" style="51" customWidth="1"/>
    <col min="14601" max="14601" width="15.140625" style="51" customWidth="1"/>
    <col min="14602" max="14602" width="17.140625" style="51" customWidth="1"/>
    <col min="14603" max="14848" width="9.140625" style="51"/>
    <col min="14849" max="14849" width="87.28515625" style="51" customWidth="1"/>
    <col min="14850" max="14851" width="23.5703125" style="51" customWidth="1"/>
    <col min="14852" max="14852" width="20.28515625" style="51" bestFit="1" customWidth="1"/>
    <col min="14853" max="14853" width="20.7109375" style="51" customWidth="1"/>
    <col min="14854" max="14854" width="14.7109375" style="51" customWidth="1"/>
    <col min="14855" max="14855" width="13.5703125" style="51" customWidth="1"/>
    <col min="14856" max="14856" width="15.85546875" style="51" customWidth="1"/>
    <col min="14857" max="14857" width="15.140625" style="51" customWidth="1"/>
    <col min="14858" max="14858" width="17.140625" style="51" customWidth="1"/>
    <col min="14859" max="15104" width="9.140625" style="51"/>
    <col min="15105" max="15105" width="87.28515625" style="51" customWidth="1"/>
    <col min="15106" max="15107" width="23.5703125" style="51" customWidth="1"/>
    <col min="15108" max="15108" width="20.28515625" style="51" bestFit="1" customWidth="1"/>
    <col min="15109" max="15109" width="20.7109375" style="51" customWidth="1"/>
    <col min="15110" max="15110" width="14.7109375" style="51" customWidth="1"/>
    <col min="15111" max="15111" width="13.5703125" style="51" customWidth="1"/>
    <col min="15112" max="15112" width="15.85546875" style="51" customWidth="1"/>
    <col min="15113" max="15113" width="15.140625" style="51" customWidth="1"/>
    <col min="15114" max="15114" width="17.140625" style="51" customWidth="1"/>
    <col min="15115" max="15360" width="9.140625" style="51"/>
    <col min="15361" max="15361" width="87.28515625" style="51" customWidth="1"/>
    <col min="15362" max="15363" width="23.5703125" style="51" customWidth="1"/>
    <col min="15364" max="15364" width="20.28515625" style="51" bestFit="1" customWidth="1"/>
    <col min="15365" max="15365" width="20.7109375" style="51" customWidth="1"/>
    <col min="15366" max="15366" width="14.7109375" style="51" customWidth="1"/>
    <col min="15367" max="15367" width="13.5703125" style="51" customWidth="1"/>
    <col min="15368" max="15368" width="15.85546875" style="51" customWidth="1"/>
    <col min="15369" max="15369" width="15.140625" style="51" customWidth="1"/>
    <col min="15370" max="15370" width="17.140625" style="51" customWidth="1"/>
    <col min="15371" max="15616" width="9.140625" style="51"/>
    <col min="15617" max="15617" width="87.28515625" style="51" customWidth="1"/>
    <col min="15618" max="15619" width="23.5703125" style="51" customWidth="1"/>
    <col min="15620" max="15620" width="20.28515625" style="51" bestFit="1" customWidth="1"/>
    <col min="15621" max="15621" width="20.7109375" style="51" customWidth="1"/>
    <col min="15622" max="15622" width="14.7109375" style="51" customWidth="1"/>
    <col min="15623" max="15623" width="13.5703125" style="51" customWidth="1"/>
    <col min="15624" max="15624" width="15.85546875" style="51" customWidth="1"/>
    <col min="15625" max="15625" width="15.140625" style="51" customWidth="1"/>
    <col min="15626" max="15626" width="17.140625" style="51" customWidth="1"/>
    <col min="15627" max="15872" width="9.140625" style="51"/>
    <col min="15873" max="15873" width="87.28515625" style="51" customWidth="1"/>
    <col min="15874" max="15875" width="23.5703125" style="51" customWidth="1"/>
    <col min="15876" max="15876" width="20.28515625" style="51" bestFit="1" customWidth="1"/>
    <col min="15877" max="15877" width="20.7109375" style="51" customWidth="1"/>
    <col min="15878" max="15878" width="14.7109375" style="51" customWidth="1"/>
    <col min="15879" max="15879" width="13.5703125" style="51" customWidth="1"/>
    <col min="15880" max="15880" width="15.85546875" style="51" customWidth="1"/>
    <col min="15881" max="15881" width="15.140625" style="51" customWidth="1"/>
    <col min="15882" max="15882" width="17.140625" style="51" customWidth="1"/>
    <col min="15883" max="16128" width="9.140625" style="51"/>
    <col min="16129" max="16129" width="87.28515625" style="51" customWidth="1"/>
    <col min="16130" max="16131" width="23.5703125" style="51" customWidth="1"/>
    <col min="16132" max="16132" width="20.28515625" style="51" bestFit="1" customWidth="1"/>
    <col min="16133" max="16133" width="20.7109375" style="51" customWidth="1"/>
    <col min="16134" max="16134" width="14.7109375" style="51" customWidth="1"/>
    <col min="16135" max="16135" width="13.5703125" style="51" customWidth="1"/>
    <col min="16136" max="16136" width="15.85546875" style="51" customWidth="1"/>
    <col min="16137" max="16137" width="15.140625" style="51" customWidth="1"/>
    <col min="16138" max="16138" width="17.140625" style="51" customWidth="1"/>
    <col min="16139" max="16384" width="9.140625" style="51"/>
  </cols>
  <sheetData>
    <row r="1" spans="1:8" ht="20.25" x14ac:dyDescent="0.25">
      <c r="A1" s="49" t="s">
        <v>413</v>
      </c>
      <c r="B1" s="50"/>
      <c r="C1" s="50"/>
      <c r="D1" s="50"/>
      <c r="E1" s="61"/>
    </row>
    <row r="2" spans="1:8" ht="18" customHeight="1" x14ac:dyDescent="0.25">
      <c r="A2" s="52" t="s">
        <v>414</v>
      </c>
      <c r="B2" s="53"/>
      <c r="C2" s="53"/>
      <c r="D2" s="53"/>
      <c r="E2" s="53"/>
    </row>
    <row r="3" spans="1:8" ht="18" customHeight="1" x14ac:dyDescent="0.25">
      <c r="A3" s="35" t="s">
        <v>31</v>
      </c>
      <c r="B3" s="54"/>
      <c r="C3" s="53"/>
      <c r="D3" s="53"/>
      <c r="E3" s="53"/>
    </row>
    <row r="4" spans="1:8" ht="18" customHeight="1" x14ac:dyDescent="0.25">
      <c r="A4" s="35"/>
      <c r="B4" s="54"/>
      <c r="C4" s="53"/>
      <c r="D4" s="53"/>
      <c r="E4" s="53"/>
    </row>
    <row r="5" spans="1:8" s="55" customFormat="1" ht="29.25" customHeight="1" x14ac:dyDescent="0.25">
      <c r="A5" s="174"/>
      <c r="B5" s="520" t="s">
        <v>288</v>
      </c>
      <c r="C5" s="520" t="s">
        <v>288</v>
      </c>
      <c r="D5" s="520" t="s">
        <v>415</v>
      </c>
      <c r="E5" s="299" t="s">
        <v>289</v>
      </c>
      <c r="F5" s="299" t="s">
        <v>290</v>
      </c>
    </row>
    <row r="6" spans="1:8" s="55" customFormat="1" ht="31.5" x14ac:dyDescent="0.25">
      <c r="A6" s="175"/>
      <c r="B6" s="300" t="s">
        <v>347</v>
      </c>
      <c r="C6" s="300" t="s">
        <v>348</v>
      </c>
      <c r="D6" s="300" t="s">
        <v>416</v>
      </c>
      <c r="E6" s="300" t="s">
        <v>417</v>
      </c>
      <c r="F6" s="300" t="s">
        <v>418</v>
      </c>
    </row>
    <row r="7" spans="1:8" s="56" customFormat="1" ht="15.75" x14ac:dyDescent="0.25">
      <c r="A7" s="175"/>
      <c r="B7" s="176">
        <v>1</v>
      </c>
      <c r="C7" s="177">
        <v>2</v>
      </c>
      <c r="D7" s="310">
        <v>3</v>
      </c>
      <c r="E7" s="176">
        <v>4</v>
      </c>
      <c r="F7" s="176">
        <v>5</v>
      </c>
    </row>
    <row r="8" spans="1:8" s="57" customFormat="1" ht="18" x14ac:dyDescent="0.25">
      <c r="A8" s="178" t="s">
        <v>96</v>
      </c>
      <c r="B8" s="179">
        <f>SUM(B9:B15)</f>
        <v>169008679750</v>
      </c>
      <c r="C8" s="179">
        <f>SUM(C9:C15)</f>
        <v>195700679620</v>
      </c>
      <c r="D8" s="179">
        <f>SUM(D9:D15)</f>
        <v>214278673954</v>
      </c>
      <c r="E8" s="179">
        <f>SUM(E9:E15)</f>
        <v>18577994334</v>
      </c>
      <c r="F8" s="180">
        <f>E8/C8*100</f>
        <v>9.4930658238252672</v>
      </c>
    </row>
    <row r="9" spans="1:8" s="55" customFormat="1" ht="15.75" x14ac:dyDescent="0.25">
      <c r="A9" s="181" t="s">
        <v>97</v>
      </c>
      <c r="B9" s="182">
        <v>24611676980</v>
      </c>
      <c r="C9" s="182">
        <f>26328676980+200000000</f>
        <v>26528676980</v>
      </c>
      <c r="D9" s="182">
        <v>27411676980</v>
      </c>
      <c r="E9" s="182">
        <f>D9-C9</f>
        <v>883000000</v>
      </c>
      <c r="F9" s="183">
        <f t="shared" ref="F9:F15" si="0">E9/C9*100</f>
        <v>3.3284735634034619</v>
      </c>
      <c r="H9" s="58"/>
    </row>
    <row r="10" spans="1:8" s="55" customFormat="1" ht="15.75" x14ac:dyDescent="0.25">
      <c r="A10" s="181" t="s">
        <v>563</v>
      </c>
      <c r="B10" s="182">
        <v>14345112585</v>
      </c>
      <c r="C10" s="182">
        <v>14613874459</v>
      </c>
      <c r="D10" s="182">
        <v>14446977081</v>
      </c>
      <c r="E10" s="182">
        <f t="shared" ref="E10:E15" si="1">D10-C10</f>
        <v>-166897378</v>
      </c>
      <c r="F10" s="183">
        <f t="shared" si="0"/>
        <v>-1.1420474321730316</v>
      </c>
    </row>
    <row r="11" spans="1:8" s="55" customFormat="1" ht="15.75" x14ac:dyDescent="0.25">
      <c r="A11" s="181" t="s">
        <v>98</v>
      </c>
      <c r="B11" s="182">
        <v>120947128314</v>
      </c>
      <c r="C11" s="182">
        <f>143724305962-1178400</f>
        <v>143723127562</v>
      </c>
      <c r="D11" s="182">
        <v>161482083817</v>
      </c>
      <c r="E11" s="182">
        <f t="shared" si="1"/>
        <v>17758956255</v>
      </c>
      <c r="F11" s="183">
        <f t="shared" si="0"/>
        <v>12.356366408279735</v>
      </c>
    </row>
    <row r="12" spans="1:8" s="55" customFormat="1" ht="15.75" x14ac:dyDescent="0.25">
      <c r="A12" s="181" t="s">
        <v>99</v>
      </c>
      <c r="B12" s="182">
        <v>280782391</v>
      </c>
      <c r="C12" s="182">
        <v>276266938</v>
      </c>
      <c r="D12" s="182">
        <v>276266938</v>
      </c>
      <c r="E12" s="182">
        <f t="shared" si="1"/>
        <v>0</v>
      </c>
      <c r="F12" s="183">
        <f t="shared" si="0"/>
        <v>0</v>
      </c>
      <c r="G12" s="58"/>
    </row>
    <row r="13" spans="1:8" s="55" customFormat="1" ht="15.75" x14ac:dyDescent="0.25">
      <c r="A13" s="181" t="s">
        <v>351</v>
      </c>
      <c r="B13" s="182">
        <v>5449374181</v>
      </c>
      <c r="C13" s="182">
        <v>7000000000</v>
      </c>
      <c r="D13" s="182">
        <v>7204727784</v>
      </c>
      <c r="E13" s="182">
        <f t="shared" si="1"/>
        <v>204727784</v>
      </c>
      <c r="F13" s="183">
        <f t="shared" si="0"/>
        <v>2.9246826285714285</v>
      </c>
    </row>
    <row r="14" spans="1:8" s="55" customFormat="1" ht="15.75" x14ac:dyDescent="0.25">
      <c r="A14" s="181" t="s">
        <v>101</v>
      </c>
      <c r="B14" s="182">
        <v>1203003753</v>
      </c>
      <c r="C14" s="182">
        <v>1319580733</v>
      </c>
      <c r="D14" s="182">
        <v>1207424815</v>
      </c>
      <c r="E14" s="182">
        <f t="shared" si="1"/>
        <v>-112155918</v>
      </c>
      <c r="F14" s="183">
        <f t="shared" si="0"/>
        <v>-8.4993600766676245</v>
      </c>
      <c r="G14" s="58"/>
    </row>
    <row r="15" spans="1:8" s="55" customFormat="1" ht="15.75" x14ac:dyDescent="0.25">
      <c r="A15" s="181" t="s">
        <v>191</v>
      </c>
      <c r="B15" s="182">
        <v>2171601546</v>
      </c>
      <c r="C15" s="182">
        <f>2239006155+145793+1000</f>
        <v>2239152948</v>
      </c>
      <c r="D15" s="182">
        <v>2249516539</v>
      </c>
      <c r="E15" s="182">
        <f t="shared" si="1"/>
        <v>10363591</v>
      </c>
      <c r="F15" s="183">
        <f t="shared" si="0"/>
        <v>0.46283533285462736</v>
      </c>
    </row>
    <row r="16" spans="1:8" ht="18" customHeight="1" x14ac:dyDescent="0.25">
      <c r="A16" s="185"/>
      <c r="B16" s="182"/>
      <c r="C16" s="182"/>
      <c r="D16" s="182"/>
      <c r="E16" s="184"/>
      <c r="F16" s="186"/>
    </row>
    <row r="17" spans="1:8" s="55" customFormat="1" ht="30" customHeight="1" x14ac:dyDescent="0.25">
      <c r="A17" s="174"/>
      <c r="B17" s="520" t="s">
        <v>288</v>
      </c>
      <c r="C17" s="521" t="s">
        <v>288</v>
      </c>
      <c r="D17" s="520" t="s">
        <v>415</v>
      </c>
      <c r="E17" s="299" t="s">
        <v>289</v>
      </c>
      <c r="F17" s="299" t="s">
        <v>290</v>
      </c>
    </row>
    <row r="18" spans="1:8" s="55" customFormat="1" ht="31.5" x14ac:dyDescent="0.25">
      <c r="A18" s="175"/>
      <c r="B18" s="300" t="s">
        <v>349</v>
      </c>
      <c r="C18" s="309" t="s">
        <v>350</v>
      </c>
      <c r="D18" s="300" t="s">
        <v>419</v>
      </c>
      <c r="E18" s="300" t="s">
        <v>420</v>
      </c>
      <c r="F18" s="300" t="s">
        <v>421</v>
      </c>
    </row>
    <row r="19" spans="1:8" s="56" customFormat="1" ht="15.75" x14ac:dyDescent="0.25">
      <c r="A19" s="175"/>
      <c r="B19" s="176">
        <v>1</v>
      </c>
      <c r="C19" s="176">
        <v>2</v>
      </c>
      <c r="D19" s="310">
        <v>3</v>
      </c>
      <c r="E19" s="176">
        <v>4</v>
      </c>
      <c r="F19" s="176">
        <v>5</v>
      </c>
    </row>
    <row r="20" spans="1:8" s="57" customFormat="1" ht="18" x14ac:dyDescent="0.25">
      <c r="A20" s="178" t="s">
        <v>192</v>
      </c>
      <c r="B20" s="179">
        <f>SUM(B21:B27)</f>
        <v>176111709908</v>
      </c>
      <c r="C20" s="179">
        <f>SUM(C21:C27)</f>
        <v>205759166364</v>
      </c>
      <c r="D20" s="179">
        <f>SUM(D21:D27)</f>
        <v>226467000210</v>
      </c>
      <c r="E20" s="179">
        <f>SUM(E21:E27)</f>
        <v>20707833846</v>
      </c>
      <c r="F20" s="180">
        <f t="shared" ref="F20:F27" si="2">E20/C20*100</f>
        <v>10.064112433934842</v>
      </c>
    </row>
    <row r="21" spans="1:8" s="55" customFormat="1" ht="15.75" x14ac:dyDescent="0.25">
      <c r="A21" s="181" t="s">
        <v>97</v>
      </c>
      <c r="B21" s="182">
        <v>24611676980</v>
      </c>
      <c r="C21" s="182">
        <v>26528676980</v>
      </c>
      <c r="D21" s="182">
        <v>27411676980</v>
      </c>
      <c r="E21" s="182">
        <f t="shared" ref="E21:E27" si="3">D21-C21</f>
        <v>883000000</v>
      </c>
      <c r="F21" s="183">
        <f t="shared" si="2"/>
        <v>3.3284735634034619</v>
      </c>
      <c r="H21" s="58"/>
    </row>
    <row r="22" spans="1:8" s="55" customFormat="1" ht="15.75" x14ac:dyDescent="0.25">
      <c r="A22" s="181" t="s">
        <v>563</v>
      </c>
      <c r="B22" s="182">
        <v>18751885565</v>
      </c>
      <c r="C22" s="182">
        <v>19734339959</v>
      </c>
      <c r="D22" s="182">
        <f>14446977081+6511470863</f>
        <v>20958447944</v>
      </c>
      <c r="E22" s="182">
        <f t="shared" si="3"/>
        <v>1224107985</v>
      </c>
      <c r="F22" s="183">
        <f t="shared" si="2"/>
        <v>6.202933503442237</v>
      </c>
    </row>
    <row r="23" spans="1:8" s="55" customFormat="1" ht="15.75" x14ac:dyDescent="0.25">
      <c r="A23" s="181" t="s">
        <v>98</v>
      </c>
      <c r="B23" s="182">
        <v>120947128314</v>
      </c>
      <c r="C23" s="182">
        <f>143724305962-1178400</f>
        <v>143723127562</v>
      </c>
      <c r="D23" s="182">
        <v>161482083817</v>
      </c>
      <c r="E23" s="182">
        <f t="shared" si="3"/>
        <v>17758956255</v>
      </c>
      <c r="F23" s="183">
        <f t="shared" si="2"/>
        <v>12.356366408279735</v>
      </c>
    </row>
    <row r="24" spans="1:8" s="55" customFormat="1" ht="15.75" x14ac:dyDescent="0.25">
      <c r="A24" s="181" t="s">
        <v>99</v>
      </c>
      <c r="B24" s="182">
        <v>280782391</v>
      </c>
      <c r="C24" s="182">
        <v>276266938</v>
      </c>
      <c r="D24" s="182">
        <v>276266938</v>
      </c>
      <c r="E24" s="182">
        <f t="shared" si="3"/>
        <v>0</v>
      </c>
      <c r="F24" s="183">
        <f t="shared" si="2"/>
        <v>0</v>
      </c>
      <c r="G24" s="58"/>
    </row>
    <row r="25" spans="1:8" s="55" customFormat="1" ht="15.75" x14ac:dyDescent="0.25">
      <c r="A25" s="181" t="s">
        <v>100</v>
      </c>
      <c r="B25" s="182">
        <v>5449374181</v>
      </c>
      <c r="C25" s="182">
        <v>7000000000</v>
      </c>
      <c r="D25" s="182">
        <v>7204727784</v>
      </c>
      <c r="E25" s="182">
        <f t="shared" si="3"/>
        <v>204727784</v>
      </c>
      <c r="F25" s="183">
        <f t="shared" si="2"/>
        <v>2.9246826285714285</v>
      </c>
    </row>
    <row r="26" spans="1:8" s="55" customFormat="1" ht="15.75" x14ac:dyDescent="0.25">
      <c r="A26" s="181" t="s">
        <v>291</v>
      </c>
      <c r="B26" s="182">
        <v>3899260931</v>
      </c>
      <c r="C26" s="182">
        <v>6257601977</v>
      </c>
      <c r="D26" s="182">
        <f>1207424815+12126207286+62118970-6511470863</f>
        <v>6884280208</v>
      </c>
      <c r="E26" s="182">
        <f t="shared" si="3"/>
        <v>626678231</v>
      </c>
      <c r="F26" s="183">
        <f t="shared" si="2"/>
        <v>10.014670688602028</v>
      </c>
      <c r="G26" s="58"/>
    </row>
    <row r="27" spans="1:8" s="55" customFormat="1" ht="15.75" x14ac:dyDescent="0.25">
      <c r="A27" s="181" t="s">
        <v>191</v>
      </c>
      <c r="B27" s="184">
        <v>2171601546</v>
      </c>
      <c r="C27" s="184">
        <f>2239006155+145793+1000</f>
        <v>2239152948</v>
      </c>
      <c r="D27" s="182">
        <v>2249516539</v>
      </c>
      <c r="E27" s="182">
        <f t="shared" si="3"/>
        <v>10363591</v>
      </c>
      <c r="F27" s="183">
        <f t="shared" si="2"/>
        <v>0.46283533285462736</v>
      </c>
    </row>
    <row r="28" spans="1:8" s="55" customFormat="1" ht="15" customHeight="1" x14ac:dyDescent="0.2">
      <c r="A28" s="632"/>
      <c r="B28" s="632"/>
      <c r="C28" s="632"/>
      <c r="D28" s="632"/>
      <c r="E28" s="632"/>
      <c r="F28" s="632"/>
    </row>
    <row r="29" spans="1:8" s="55" customFormat="1" x14ac:dyDescent="0.2">
      <c r="A29" s="311"/>
    </row>
    <row r="31" spans="1:8" x14ac:dyDescent="0.2">
      <c r="B31" s="59"/>
      <c r="C31" s="59"/>
      <c r="D31" s="59"/>
      <c r="E31" s="59"/>
      <c r="F31" s="59"/>
      <c r="G31" s="59"/>
      <c r="H31" s="59"/>
    </row>
    <row r="32" spans="1:8" x14ac:dyDescent="0.2">
      <c r="B32" s="59"/>
      <c r="C32" s="59"/>
      <c r="D32" s="59"/>
      <c r="E32" s="59"/>
      <c r="F32" s="59"/>
      <c r="G32" s="59"/>
      <c r="H32" s="59"/>
    </row>
    <row r="33" spans="2:8" x14ac:dyDescent="0.2">
      <c r="B33" s="59"/>
      <c r="C33" s="59"/>
      <c r="D33" s="59"/>
      <c r="E33" s="59"/>
      <c r="F33" s="59"/>
      <c r="G33" s="59"/>
      <c r="H33" s="59"/>
    </row>
    <row r="34" spans="2:8" x14ac:dyDescent="0.2">
      <c r="B34" s="59"/>
      <c r="C34" s="59"/>
      <c r="D34" s="59"/>
      <c r="E34" s="59"/>
      <c r="F34" s="59"/>
      <c r="G34" s="59"/>
      <c r="H34" s="59"/>
    </row>
    <row r="35" spans="2:8" x14ac:dyDescent="0.2">
      <c r="B35" s="59"/>
      <c r="C35" s="59"/>
      <c r="D35" s="59"/>
      <c r="E35" s="59"/>
      <c r="F35" s="59"/>
      <c r="G35" s="59"/>
      <c r="H35" s="59"/>
    </row>
    <row r="36" spans="2:8" x14ac:dyDescent="0.2">
      <c r="B36" s="59"/>
      <c r="C36" s="59"/>
      <c r="D36" s="59"/>
      <c r="E36" s="59"/>
      <c r="F36" s="59"/>
      <c r="G36" s="59"/>
      <c r="H36" s="59"/>
    </row>
    <row r="37" spans="2:8" x14ac:dyDescent="0.2">
      <c r="B37" s="60"/>
      <c r="C37" s="60"/>
    </row>
    <row r="38" spans="2:8" x14ac:dyDescent="0.2">
      <c r="B38" s="60"/>
      <c r="C38" s="60"/>
    </row>
    <row r="39" spans="2:8" x14ac:dyDescent="0.2">
      <c r="B39" s="60"/>
      <c r="C39" s="60"/>
    </row>
    <row r="40" spans="2:8" x14ac:dyDescent="0.2">
      <c r="B40" s="60"/>
      <c r="C40" s="60"/>
    </row>
    <row r="41" spans="2:8" x14ac:dyDescent="0.2">
      <c r="B41" s="60"/>
      <c r="C41" s="60"/>
    </row>
    <row r="42" spans="2:8" x14ac:dyDescent="0.2">
      <c r="B42" s="60"/>
      <c r="C42" s="60"/>
    </row>
  </sheetData>
  <mergeCells count="1">
    <mergeCell ref="A28:F28"/>
  </mergeCells>
  <printOptions horizontalCentered="1"/>
  <pageMargins left="0.70866141732283472" right="0.70866141732283472" top="0.78740157480314965" bottom="0.78740157480314965" header="0.51181102362204722" footer="0.31496062992125984"/>
  <pageSetup paperSize="9" scale="68" orientation="landscape" r:id="rId1"/>
  <headerFooter>
    <oddHeader xml:space="preserve">&amp;RKapitola A
&amp;"-,Tučné"Tabulka č. 3a&amp;"-,Obyčejné"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A39"/>
  <sheetViews>
    <sheetView workbookViewId="0">
      <pane xSplit="1" ySplit="8" topLeftCell="B29" activePane="bottomRight" state="frozen"/>
      <selection activeCell="G72" sqref="G72"/>
      <selection pane="topRight" activeCell="G72" sqref="G72"/>
      <selection pane="bottomLeft" activeCell="G72" sqref="G72"/>
      <selection pane="bottomRight" activeCell="A39" sqref="A39"/>
    </sheetView>
  </sheetViews>
  <sheetFormatPr defaultRowHeight="12.75" x14ac:dyDescent="0.2"/>
  <cols>
    <col min="1" max="1" width="71.7109375" style="35" customWidth="1"/>
    <col min="2" max="2" width="14.42578125" style="35" bestFit="1" customWidth="1"/>
    <col min="3" max="3" width="11.85546875" style="35" bestFit="1" customWidth="1"/>
    <col min="4" max="5" width="14.140625" style="35" bestFit="1" customWidth="1"/>
    <col min="6" max="6" width="14.42578125" style="35" bestFit="1" customWidth="1"/>
    <col min="7" max="7" width="11.5703125" style="35" bestFit="1" customWidth="1"/>
    <col min="8" max="8" width="14" style="35" bestFit="1" customWidth="1"/>
    <col min="9" max="9" width="12.85546875" style="35" bestFit="1" customWidth="1"/>
    <col min="10" max="10" width="10.5703125" style="35" bestFit="1" customWidth="1"/>
    <col min="11" max="11" width="12.28515625" style="35" bestFit="1" customWidth="1"/>
    <col min="12" max="12" width="14.42578125" style="35" bestFit="1" customWidth="1"/>
    <col min="13" max="13" width="10.85546875" style="35" bestFit="1" customWidth="1"/>
    <col min="14" max="14" width="11.5703125" style="64" bestFit="1" customWidth="1"/>
    <col min="15" max="15" width="12.28515625" style="35" bestFit="1" customWidth="1"/>
    <col min="16" max="16" width="10.85546875" style="35" bestFit="1" customWidth="1"/>
    <col min="17" max="17" width="7.42578125" style="35" bestFit="1" customWidth="1"/>
    <col min="18" max="18" width="15.28515625" style="35" bestFit="1" customWidth="1"/>
    <col min="19" max="19" width="22.7109375" style="35" bestFit="1" customWidth="1"/>
    <col min="20" max="20" width="13.42578125" style="35" bestFit="1" customWidth="1"/>
    <col min="21" max="21" width="11.5703125" style="35" bestFit="1" customWidth="1"/>
    <col min="22" max="22" width="9" style="35" bestFit="1" customWidth="1"/>
    <col min="23" max="23" width="12" style="35" bestFit="1" customWidth="1"/>
    <col min="24" max="24" width="10.7109375" style="35" bestFit="1" customWidth="1"/>
    <col min="25" max="25" width="12.28515625" style="35" bestFit="1" customWidth="1"/>
    <col min="26" max="27" width="10.5703125" style="35" bestFit="1" customWidth="1"/>
    <col min="28" max="28" width="13.42578125" style="35" bestFit="1" customWidth="1"/>
    <col min="29" max="29" width="12.140625" style="35" bestFit="1" customWidth="1"/>
    <col min="30" max="30" width="12.85546875" style="35" bestFit="1" customWidth="1"/>
    <col min="31" max="31" width="14.7109375" style="35" bestFit="1" customWidth="1"/>
    <col min="32" max="32" width="11.5703125" style="35" bestFit="1" customWidth="1"/>
    <col min="33" max="33" width="11.85546875" style="35" bestFit="1" customWidth="1"/>
    <col min="34" max="34" width="11.5703125" style="35" bestFit="1" customWidth="1"/>
    <col min="35" max="35" width="10.5703125" style="35" bestFit="1" customWidth="1"/>
    <col min="36" max="36" width="12.5703125" style="35" bestFit="1" customWidth="1"/>
    <col min="37" max="37" width="11.42578125" style="35" bestFit="1" customWidth="1"/>
    <col min="38" max="38" width="12.28515625" style="35" bestFit="1" customWidth="1"/>
    <col min="39" max="39" width="10.5703125" style="35" bestFit="1" customWidth="1"/>
    <col min="40" max="40" width="14.140625" style="35" bestFit="1" customWidth="1"/>
    <col min="41" max="41" width="11.140625" style="35" bestFit="1" customWidth="1"/>
    <col min="42" max="42" width="9.85546875" style="35" bestFit="1" customWidth="1"/>
    <col min="43" max="43" width="11.7109375" style="35" bestFit="1" customWidth="1"/>
    <col min="44" max="44" width="12.28515625" style="35" bestFit="1" customWidth="1"/>
    <col min="45" max="45" width="10.85546875" style="35" bestFit="1" customWidth="1"/>
    <col min="46" max="46" width="10.5703125" style="35" bestFit="1" customWidth="1"/>
    <col min="47" max="47" width="13.28515625" style="35" bestFit="1" customWidth="1"/>
    <col min="48" max="48" width="10.85546875" style="35" bestFit="1" customWidth="1"/>
    <col min="49" max="49" width="13.85546875" style="35" bestFit="1" customWidth="1"/>
    <col min="50" max="50" width="15" style="35" bestFit="1" customWidth="1"/>
    <col min="51" max="51" width="14.5703125" style="35" bestFit="1" customWidth="1"/>
    <col min="52" max="52" width="20.85546875" style="35" bestFit="1" customWidth="1"/>
    <col min="53" max="53" width="14.42578125" style="35" bestFit="1" customWidth="1"/>
    <col min="54" max="257" width="9.140625" style="35"/>
    <col min="258" max="258" width="82.85546875" style="35" customWidth="1"/>
    <col min="259" max="259" width="18.85546875" style="35" customWidth="1"/>
    <col min="260" max="260" width="17.28515625" style="35" customWidth="1"/>
    <col min="261" max="261" width="18.28515625" style="35" customWidth="1"/>
    <col min="262" max="264" width="18.85546875" style="35" customWidth="1"/>
    <col min="265" max="265" width="15" style="35" bestFit="1" customWidth="1"/>
    <col min="266" max="266" width="15.42578125" style="35" customWidth="1"/>
    <col min="267" max="267" width="18.140625" style="35" customWidth="1"/>
    <col min="268" max="268" width="16.28515625" style="35" customWidth="1"/>
    <col min="269" max="269" width="14.28515625" style="35" bestFit="1" customWidth="1"/>
    <col min="270" max="270" width="15.42578125" style="35" customWidth="1"/>
    <col min="271" max="271" width="18" style="35" customWidth="1"/>
    <col min="272" max="272" width="15.42578125" style="35" customWidth="1"/>
    <col min="273" max="273" width="18.7109375" style="35" customWidth="1"/>
    <col min="274" max="274" width="19.85546875" style="35" customWidth="1"/>
    <col min="275" max="276" width="15.42578125" style="35" customWidth="1"/>
    <col min="277" max="277" width="19.7109375" style="35" customWidth="1"/>
    <col min="278" max="281" width="15.42578125" style="35" customWidth="1"/>
    <col min="282" max="282" width="14.28515625" style="35" bestFit="1" customWidth="1"/>
    <col min="283" max="292" width="16.7109375" style="35" customWidth="1"/>
    <col min="293" max="294" width="20.5703125" style="35" customWidth="1"/>
    <col min="295" max="295" width="16.5703125" style="35" bestFit="1" customWidth="1"/>
    <col min="296" max="296" width="14.85546875" style="35" bestFit="1" customWidth="1"/>
    <col min="297" max="513" width="9.140625" style="35"/>
    <col min="514" max="514" width="82.85546875" style="35" customWidth="1"/>
    <col min="515" max="515" width="18.85546875" style="35" customWidth="1"/>
    <col min="516" max="516" width="17.28515625" style="35" customWidth="1"/>
    <col min="517" max="517" width="18.28515625" style="35" customWidth="1"/>
    <col min="518" max="520" width="18.85546875" style="35" customWidth="1"/>
    <col min="521" max="521" width="15" style="35" bestFit="1" customWidth="1"/>
    <col min="522" max="522" width="15.42578125" style="35" customWidth="1"/>
    <col min="523" max="523" width="18.140625" style="35" customWidth="1"/>
    <col min="524" max="524" width="16.28515625" style="35" customWidth="1"/>
    <col min="525" max="525" width="14.28515625" style="35" bestFit="1" customWidth="1"/>
    <col min="526" max="526" width="15.42578125" style="35" customWidth="1"/>
    <col min="527" max="527" width="18" style="35" customWidth="1"/>
    <col min="528" max="528" width="15.42578125" style="35" customWidth="1"/>
    <col min="529" max="529" width="18.7109375" style="35" customWidth="1"/>
    <col min="530" max="530" width="19.85546875" style="35" customWidth="1"/>
    <col min="531" max="532" width="15.42578125" style="35" customWidth="1"/>
    <col min="533" max="533" width="19.7109375" style="35" customWidth="1"/>
    <col min="534" max="537" width="15.42578125" style="35" customWidth="1"/>
    <col min="538" max="538" width="14.28515625" style="35" bestFit="1" customWidth="1"/>
    <col min="539" max="548" width="16.7109375" style="35" customWidth="1"/>
    <col min="549" max="550" width="20.5703125" style="35" customWidth="1"/>
    <col min="551" max="551" width="16.5703125" style="35" bestFit="1" customWidth="1"/>
    <col min="552" max="552" width="14.85546875" style="35" bestFit="1" customWidth="1"/>
    <col min="553" max="769" width="9.140625" style="35"/>
    <col min="770" max="770" width="82.85546875" style="35" customWidth="1"/>
    <col min="771" max="771" width="18.85546875" style="35" customWidth="1"/>
    <col min="772" max="772" width="17.28515625" style="35" customWidth="1"/>
    <col min="773" max="773" width="18.28515625" style="35" customWidth="1"/>
    <col min="774" max="776" width="18.85546875" style="35" customWidth="1"/>
    <col min="777" max="777" width="15" style="35" bestFit="1" customWidth="1"/>
    <col min="778" max="778" width="15.42578125" style="35" customWidth="1"/>
    <col min="779" max="779" width="18.140625" style="35" customWidth="1"/>
    <col min="780" max="780" width="16.28515625" style="35" customWidth="1"/>
    <col min="781" max="781" width="14.28515625" style="35" bestFit="1" customWidth="1"/>
    <col min="782" max="782" width="15.42578125" style="35" customWidth="1"/>
    <col min="783" max="783" width="18" style="35" customWidth="1"/>
    <col min="784" max="784" width="15.42578125" style="35" customWidth="1"/>
    <col min="785" max="785" width="18.7109375" style="35" customWidth="1"/>
    <col min="786" max="786" width="19.85546875" style="35" customWidth="1"/>
    <col min="787" max="788" width="15.42578125" style="35" customWidth="1"/>
    <col min="789" max="789" width="19.7109375" style="35" customWidth="1"/>
    <col min="790" max="793" width="15.42578125" style="35" customWidth="1"/>
    <col min="794" max="794" width="14.28515625" style="35" bestFit="1" customWidth="1"/>
    <col min="795" max="804" width="16.7109375" style="35" customWidth="1"/>
    <col min="805" max="806" width="20.5703125" style="35" customWidth="1"/>
    <col min="807" max="807" width="16.5703125" style="35" bestFit="1" customWidth="1"/>
    <col min="808" max="808" width="14.85546875" style="35" bestFit="1" customWidth="1"/>
    <col min="809" max="1025" width="9.140625" style="35"/>
    <col min="1026" max="1026" width="82.85546875" style="35" customWidth="1"/>
    <col min="1027" max="1027" width="18.85546875" style="35" customWidth="1"/>
    <col min="1028" max="1028" width="17.28515625" style="35" customWidth="1"/>
    <col min="1029" max="1029" width="18.28515625" style="35" customWidth="1"/>
    <col min="1030" max="1032" width="18.85546875" style="35" customWidth="1"/>
    <col min="1033" max="1033" width="15" style="35" bestFit="1" customWidth="1"/>
    <col min="1034" max="1034" width="15.42578125" style="35" customWidth="1"/>
    <col min="1035" max="1035" width="18.140625" style="35" customWidth="1"/>
    <col min="1036" max="1036" width="16.28515625" style="35" customWidth="1"/>
    <col min="1037" max="1037" width="14.28515625" style="35" bestFit="1" customWidth="1"/>
    <col min="1038" max="1038" width="15.42578125" style="35" customWidth="1"/>
    <col min="1039" max="1039" width="18" style="35" customWidth="1"/>
    <col min="1040" max="1040" width="15.42578125" style="35" customWidth="1"/>
    <col min="1041" max="1041" width="18.7109375" style="35" customWidth="1"/>
    <col min="1042" max="1042" width="19.85546875" style="35" customWidth="1"/>
    <col min="1043" max="1044" width="15.42578125" style="35" customWidth="1"/>
    <col min="1045" max="1045" width="19.7109375" style="35" customWidth="1"/>
    <col min="1046" max="1049" width="15.42578125" style="35" customWidth="1"/>
    <col min="1050" max="1050" width="14.28515625" style="35" bestFit="1" customWidth="1"/>
    <col min="1051" max="1060" width="16.7109375" style="35" customWidth="1"/>
    <col min="1061" max="1062" width="20.5703125" style="35" customWidth="1"/>
    <col min="1063" max="1063" width="16.5703125" style="35" bestFit="1" customWidth="1"/>
    <col min="1064" max="1064" width="14.85546875" style="35" bestFit="1" customWidth="1"/>
    <col min="1065" max="1281" width="9.140625" style="35"/>
    <col min="1282" max="1282" width="82.85546875" style="35" customWidth="1"/>
    <col min="1283" max="1283" width="18.85546875" style="35" customWidth="1"/>
    <col min="1284" max="1284" width="17.28515625" style="35" customWidth="1"/>
    <col min="1285" max="1285" width="18.28515625" style="35" customWidth="1"/>
    <col min="1286" max="1288" width="18.85546875" style="35" customWidth="1"/>
    <col min="1289" max="1289" width="15" style="35" bestFit="1" customWidth="1"/>
    <col min="1290" max="1290" width="15.42578125" style="35" customWidth="1"/>
    <col min="1291" max="1291" width="18.140625" style="35" customWidth="1"/>
    <col min="1292" max="1292" width="16.28515625" style="35" customWidth="1"/>
    <col min="1293" max="1293" width="14.28515625" style="35" bestFit="1" customWidth="1"/>
    <col min="1294" max="1294" width="15.42578125" style="35" customWidth="1"/>
    <col min="1295" max="1295" width="18" style="35" customWidth="1"/>
    <col min="1296" max="1296" width="15.42578125" style="35" customWidth="1"/>
    <col min="1297" max="1297" width="18.7109375" style="35" customWidth="1"/>
    <col min="1298" max="1298" width="19.85546875" style="35" customWidth="1"/>
    <col min="1299" max="1300" width="15.42578125" style="35" customWidth="1"/>
    <col min="1301" max="1301" width="19.7109375" style="35" customWidth="1"/>
    <col min="1302" max="1305" width="15.42578125" style="35" customWidth="1"/>
    <col min="1306" max="1306" width="14.28515625" style="35" bestFit="1" customWidth="1"/>
    <col min="1307" max="1316" width="16.7109375" style="35" customWidth="1"/>
    <col min="1317" max="1318" width="20.5703125" style="35" customWidth="1"/>
    <col min="1319" max="1319" width="16.5703125" style="35" bestFit="1" customWidth="1"/>
    <col min="1320" max="1320" width="14.85546875" style="35" bestFit="1" customWidth="1"/>
    <col min="1321" max="1537" width="9.140625" style="35"/>
    <col min="1538" max="1538" width="82.85546875" style="35" customWidth="1"/>
    <col min="1539" max="1539" width="18.85546875" style="35" customWidth="1"/>
    <col min="1540" max="1540" width="17.28515625" style="35" customWidth="1"/>
    <col min="1541" max="1541" width="18.28515625" style="35" customWidth="1"/>
    <col min="1542" max="1544" width="18.85546875" style="35" customWidth="1"/>
    <col min="1545" max="1545" width="15" style="35" bestFit="1" customWidth="1"/>
    <col min="1546" max="1546" width="15.42578125" style="35" customWidth="1"/>
    <col min="1547" max="1547" width="18.140625" style="35" customWidth="1"/>
    <col min="1548" max="1548" width="16.28515625" style="35" customWidth="1"/>
    <col min="1549" max="1549" width="14.28515625" style="35" bestFit="1" customWidth="1"/>
    <col min="1550" max="1550" width="15.42578125" style="35" customWidth="1"/>
    <col min="1551" max="1551" width="18" style="35" customWidth="1"/>
    <col min="1552" max="1552" width="15.42578125" style="35" customWidth="1"/>
    <col min="1553" max="1553" width="18.7109375" style="35" customWidth="1"/>
    <col min="1554" max="1554" width="19.85546875" style="35" customWidth="1"/>
    <col min="1555" max="1556" width="15.42578125" style="35" customWidth="1"/>
    <col min="1557" max="1557" width="19.7109375" style="35" customWidth="1"/>
    <col min="1558" max="1561" width="15.42578125" style="35" customWidth="1"/>
    <col min="1562" max="1562" width="14.28515625" style="35" bestFit="1" customWidth="1"/>
    <col min="1563" max="1572" width="16.7109375" style="35" customWidth="1"/>
    <col min="1573" max="1574" width="20.5703125" style="35" customWidth="1"/>
    <col min="1575" max="1575" width="16.5703125" style="35" bestFit="1" customWidth="1"/>
    <col min="1576" max="1576" width="14.85546875" style="35" bestFit="1" customWidth="1"/>
    <col min="1577" max="1793" width="9.140625" style="35"/>
    <col min="1794" max="1794" width="82.85546875" style="35" customWidth="1"/>
    <col min="1795" max="1795" width="18.85546875" style="35" customWidth="1"/>
    <col min="1796" max="1796" width="17.28515625" style="35" customWidth="1"/>
    <col min="1797" max="1797" width="18.28515625" style="35" customWidth="1"/>
    <col min="1798" max="1800" width="18.85546875" style="35" customWidth="1"/>
    <col min="1801" max="1801" width="15" style="35" bestFit="1" customWidth="1"/>
    <col min="1802" max="1802" width="15.42578125" style="35" customWidth="1"/>
    <col min="1803" max="1803" width="18.140625" style="35" customWidth="1"/>
    <col min="1804" max="1804" width="16.28515625" style="35" customWidth="1"/>
    <col min="1805" max="1805" width="14.28515625" style="35" bestFit="1" customWidth="1"/>
    <col min="1806" max="1806" width="15.42578125" style="35" customWidth="1"/>
    <col min="1807" max="1807" width="18" style="35" customWidth="1"/>
    <col min="1808" max="1808" width="15.42578125" style="35" customWidth="1"/>
    <col min="1809" max="1809" width="18.7109375" style="35" customWidth="1"/>
    <col min="1810" max="1810" width="19.85546875" style="35" customWidth="1"/>
    <col min="1811" max="1812" width="15.42578125" style="35" customWidth="1"/>
    <col min="1813" max="1813" width="19.7109375" style="35" customWidth="1"/>
    <col min="1814" max="1817" width="15.42578125" style="35" customWidth="1"/>
    <col min="1818" max="1818" width="14.28515625" style="35" bestFit="1" customWidth="1"/>
    <col min="1819" max="1828" width="16.7109375" style="35" customWidth="1"/>
    <col min="1829" max="1830" width="20.5703125" style="35" customWidth="1"/>
    <col min="1831" max="1831" width="16.5703125" style="35" bestFit="1" customWidth="1"/>
    <col min="1832" max="1832" width="14.85546875" style="35" bestFit="1" customWidth="1"/>
    <col min="1833" max="2049" width="9.140625" style="35"/>
    <col min="2050" max="2050" width="82.85546875" style="35" customWidth="1"/>
    <col min="2051" max="2051" width="18.85546875" style="35" customWidth="1"/>
    <col min="2052" max="2052" width="17.28515625" style="35" customWidth="1"/>
    <col min="2053" max="2053" width="18.28515625" style="35" customWidth="1"/>
    <col min="2054" max="2056" width="18.85546875" style="35" customWidth="1"/>
    <col min="2057" max="2057" width="15" style="35" bestFit="1" customWidth="1"/>
    <col min="2058" max="2058" width="15.42578125" style="35" customWidth="1"/>
    <col min="2059" max="2059" width="18.140625" style="35" customWidth="1"/>
    <col min="2060" max="2060" width="16.28515625" style="35" customWidth="1"/>
    <col min="2061" max="2061" width="14.28515625" style="35" bestFit="1" customWidth="1"/>
    <col min="2062" max="2062" width="15.42578125" style="35" customWidth="1"/>
    <col min="2063" max="2063" width="18" style="35" customWidth="1"/>
    <col min="2064" max="2064" width="15.42578125" style="35" customWidth="1"/>
    <col min="2065" max="2065" width="18.7109375" style="35" customWidth="1"/>
    <col min="2066" max="2066" width="19.85546875" style="35" customWidth="1"/>
    <col min="2067" max="2068" width="15.42578125" style="35" customWidth="1"/>
    <col min="2069" max="2069" width="19.7109375" style="35" customWidth="1"/>
    <col min="2070" max="2073" width="15.42578125" style="35" customWidth="1"/>
    <col min="2074" max="2074" width="14.28515625" style="35" bestFit="1" customWidth="1"/>
    <col min="2075" max="2084" width="16.7109375" style="35" customWidth="1"/>
    <col min="2085" max="2086" width="20.5703125" style="35" customWidth="1"/>
    <col min="2087" max="2087" width="16.5703125" style="35" bestFit="1" customWidth="1"/>
    <col min="2088" max="2088" width="14.85546875" style="35" bestFit="1" customWidth="1"/>
    <col min="2089" max="2305" width="9.140625" style="35"/>
    <col min="2306" max="2306" width="82.85546875" style="35" customWidth="1"/>
    <col min="2307" max="2307" width="18.85546875" style="35" customWidth="1"/>
    <col min="2308" max="2308" width="17.28515625" style="35" customWidth="1"/>
    <col min="2309" max="2309" width="18.28515625" style="35" customWidth="1"/>
    <col min="2310" max="2312" width="18.85546875" style="35" customWidth="1"/>
    <col min="2313" max="2313" width="15" style="35" bestFit="1" customWidth="1"/>
    <col min="2314" max="2314" width="15.42578125" style="35" customWidth="1"/>
    <col min="2315" max="2315" width="18.140625" style="35" customWidth="1"/>
    <col min="2316" max="2316" width="16.28515625" style="35" customWidth="1"/>
    <col min="2317" max="2317" width="14.28515625" style="35" bestFit="1" customWidth="1"/>
    <col min="2318" max="2318" width="15.42578125" style="35" customWidth="1"/>
    <col min="2319" max="2319" width="18" style="35" customWidth="1"/>
    <col min="2320" max="2320" width="15.42578125" style="35" customWidth="1"/>
    <col min="2321" max="2321" width="18.7109375" style="35" customWidth="1"/>
    <col min="2322" max="2322" width="19.85546875" style="35" customWidth="1"/>
    <col min="2323" max="2324" width="15.42578125" style="35" customWidth="1"/>
    <col min="2325" max="2325" width="19.7109375" style="35" customWidth="1"/>
    <col min="2326" max="2329" width="15.42578125" style="35" customWidth="1"/>
    <col min="2330" max="2330" width="14.28515625" style="35" bestFit="1" customWidth="1"/>
    <col min="2331" max="2340" width="16.7109375" style="35" customWidth="1"/>
    <col min="2341" max="2342" width="20.5703125" style="35" customWidth="1"/>
    <col min="2343" max="2343" width="16.5703125" style="35" bestFit="1" customWidth="1"/>
    <col min="2344" max="2344" width="14.85546875" style="35" bestFit="1" customWidth="1"/>
    <col min="2345" max="2561" width="9.140625" style="35"/>
    <col min="2562" max="2562" width="82.85546875" style="35" customWidth="1"/>
    <col min="2563" max="2563" width="18.85546875" style="35" customWidth="1"/>
    <col min="2564" max="2564" width="17.28515625" style="35" customWidth="1"/>
    <col min="2565" max="2565" width="18.28515625" style="35" customWidth="1"/>
    <col min="2566" max="2568" width="18.85546875" style="35" customWidth="1"/>
    <col min="2569" max="2569" width="15" style="35" bestFit="1" customWidth="1"/>
    <col min="2570" max="2570" width="15.42578125" style="35" customWidth="1"/>
    <col min="2571" max="2571" width="18.140625" style="35" customWidth="1"/>
    <col min="2572" max="2572" width="16.28515625" style="35" customWidth="1"/>
    <col min="2573" max="2573" width="14.28515625" style="35" bestFit="1" customWidth="1"/>
    <col min="2574" max="2574" width="15.42578125" style="35" customWidth="1"/>
    <col min="2575" max="2575" width="18" style="35" customWidth="1"/>
    <col min="2576" max="2576" width="15.42578125" style="35" customWidth="1"/>
    <col min="2577" max="2577" width="18.7109375" style="35" customWidth="1"/>
    <col min="2578" max="2578" width="19.85546875" style="35" customWidth="1"/>
    <col min="2579" max="2580" width="15.42578125" style="35" customWidth="1"/>
    <col min="2581" max="2581" width="19.7109375" style="35" customWidth="1"/>
    <col min="2582" max="2585" width="15.42578125" style="35" customWidth="1"/>
    <col min="2586" max="2586" width="14.28515625" style="35" bestFit="1" customWidth="1"/>
    <col min="2587" max="2596" width="16.7109375" style="35" customWidth="1"/>
    <col min="2597" max="2598" width="20.5703125" style="35" customWidth="1"/>
    <col min="2599" max="2599" width="16.5703125" style="35" bestFit="1" customWidth="1"/>
    <col min="2600" max="2600" width="14.85546875" style="35" bestFit="1" customWidth="1"/>
    <col min="2601" max="2817" width="9.140625" style="35"/>
    <col min="2818" max="2818" width="82.85546875" style="35" customWidth="1"/>
    <col min="2819" max="2819" width="18.85546875" style="35" customWidth="1"/>
    <col min="2820" max="2820" width="17.28515625" style="35" customWidth="1"/>
    <col min="2821" max="2821" width="18.28515625" style="35" customWidth="1"/>
    <col min="2822" max="2824" width="18.85546875" style="35" customWidth="1"/>
    <col min="2825" max="2825" width="15" style="35" bestFit="1" customWidth="1"/>
    <col min="2826" max="2826" width="15.42578125" style="35" customWidth="1"/>
    <col min="2827" max="2827" width="18.140625" style="35" customWidth="1"/>
    <col min="2828" max="2828" width="16.28515625" style="35" customWidth="1"/>
    <col min="2829" max="2829" width="14.28515625" style="35" bestFit="1" customWidth="1"/>
    <col min="2830" max="2830" width="15.42578125" style="35" customWidth="1"/>
    <col min="2831" max="2831" width="18" style="35" customWidth="1"/>
    <col min="2832" max="2832" width="15.42578125" style="35" customWidth="1"/>
    <col min="2833" max="2833" width="18.7109375" style="35" customWidth="1"/>
    <col min="2834" max="2834" width="19.85546875" style="35" customWidth="1"/>
    <col min="2835" max="2836" width="15.42578125" style="35" customWidth="1"/>
    <col min="2837" max="2837" width="19.7109375" style="35" customWidth="1"/>
    <col min="2838" max="2841" width="15.42578125" style="35" customWidth="1"/>
    <col min="2842" max="2842" width="14.28515625" style="35" bestFit="1" customWidth="1"/>
    <col min="2843" max="2852" width="16.7109375" style="35" customWidth="1"/>
    <col min="2853" max="2854" width="20.5703125" style="35" customWidth="1"/>
    <col min="2855" max="2855" width="16.5703125" style="35" bestFit="1" customWidth="1"/>
    <col min="2856" max="2856" width="14.85546875" style="35" bestFit="1" customWidth="1"/>
    <col min="2857" max="3073" width="9.140625" style="35"/>
    <col min="3074" max="3074" width="82.85546875" style="35" customWidth="1"/>
    <col min="3075" max="3075" width="18.85546875" style="35" customWidth="1"/>
    <col min="3076" max="3076" width="17.28515625" style="35" customWidth="1"/>
    <col min="3077" max="3077" width="18.28515625" style="35" customWidth="1"/>
    <col min="3078" max="3080" width="18.85546875" style="35" customWidth="1"/>
    <col min="3081" max="3081" width="15" style="35" bestFit="1" customWidth="1"/>
    <col min="3082" max="3082" width="15.42578125" style="35" customWidth="1"/>
    <col min="3083" max="3083" width="18.140625" style="35" customWidth="1"/>
    <col min="3084" max="3084" width="16.28515625" style="35" customWidth="1"/>
    <col min="3085" max="3085" width="14.28515625" style="35" bestFit="1" customWidth="1"/>
    <col min="3086" max="3086" width="15.42578125" style="35" customWidth="1"/>
    <col min="3087" max="3087" width="18" style="35" customWidth="1"/>
    <col min="3088" max="3088" width="15.42578125" style="35" customWidth="1"/>
    <col min="3089" max="3089" width="18.7109375" style="35" customWidth="1"/>
    <col min="3090" max="3090" width="19.85546875" style="35" customWidth="1"/>
    <col min="3091" max="3092" width="15.42578125" style="35" customWidth="1"/>
    <col min="3093" max="3093" width="19.7109375" style="35" customWidth="1"/>
    <col min="3094" max="3097" width="15.42578125" style="35" customWidth="1"/>
    <col min="3098" max="3098" width="14.28515625" style="35" bestFit="1" customWidth="1"/>
    <col min="3099" max="3108" width="16.7109375" style="35" customWidth="1"/>
    <col min="3109" max="3110" width="20.5703125" style="35" customWidth="1"/>
    <col min="3111" max="3111" width="16.5703125" style="35" bestFit="1" customWidth="1"/>
    <col min="3112" max="3112" width="14.85546875" style="35" bestFit="1" customWidth="1"/>
    <col min="3113" max="3329" width="9.140625" style="35"/>
    <col min="3330" max="3330" width="82.85546875" style="35" customWidth="1"/>
    <col min="3331" max="3331" width="18.85546875" style="35" customWidth="1"/>
    <col min="3332" max="3332" width="17.28515625" style="35" customWidth="1"/>
    <col min="3333" max="3333" width="18.28515625" style="35" customWidth="1"/>
    <col min="3334" max="3336" width="18.85546875" style="35" customWidth="1"/>
    <col min="3337" max="3337" width="15" style="35" bestFit="1" customWidth="1"/>
    <col min="3338" max="3338" width="15.42578125" style="35" customWidth="1"/>
    <col min="3339" max="3339" width="18.140625" style="35" customWidth="1"/>
    <col min="3340" max="3340" width="16.28515625" style="35" customWidth="1"/>
    <col min="3341" max="3341" width="14.28515625" style="35" bestFit="1" customWidth="1"/>
    <col min="3342" max="3342" width="15.42578125" style="35" customWidth="1"/>
    <col min="3343" max="3343" width="18" style="35" customWidth="1"/>
    <col min="3344" max="3344" width="15.42578125" style="35" customWidth="1"/>
    <col min="3345" max="3345" width="18.7109375" style="35" customWidth="1"/>
    <col min="3346" max="3346" width="19.85546875" style="35" customWidth="1"/>
    <col min="3347" max="3348" width="15.42578125" style="35" customWidth="1"/>
    <col min="3349" max="3349" width="19.7109375" style="35" customWidth="1"/>
    <col min="3350" max="3353" width="15.42578125" style="35" customWidth="1"/>
    <col min="3354" max="3354" width="14.28515625" style="35" bestFit="1" customWidth="1"/>
    <col min="3355" max="3364" width="16.7109375" style="35" customWidth="1"/>
    <col min="3365" max="3366" width="20.5703125" style="35" customWidth="1"/>
    <col min="3367" max="3367" width="16.5703125" style="35" bestFit="1" customWidth="1"/>
    <col min="3368" max="3368" width="14.85546875" style="35" bestFit="1" customWidth="1"/>
    <col min="3369" max="3585" width="9.140625" style="35"/>
    <col min="3586" max="3586" width="82.85546875" style="35" customWidth="1"/>
    <col min="3587" max="3587" width="18.85546875" style="35" customWidth="1"/>
    <col min="3588" max="3588" width="17.28515625" style="35" customWidth="1"/>
    <col min="3589" max="3589" width="18.28515625" style="35" customWidth="1"/>
    <col min="3590" max="3592" width="18.85546875" style="35" customWidth="1"/>
    <col min="3593" max="3593" width="15" style="35" bestFit="1" customWidth="1"/>
    <col min="3594" max="3594" width="15.42578125" style="35" customWidth="1"/>
    <col min="3595" max="3595" width="18.140625" style="35" customWidth="1"/>
    <col min="3596" max="3596" width="16.28515625" style="35" customWidth="1"/>
    <col min="3597" max="3597" width="14.28515625" style="35" bestFit="1" customWidth="1"/>
    <col min="3598" max="3598" width="15.42578125" style="35" customWidth="1"/>
    <col min="3599" max="3599" width="18" style="35" customWidth="1"/>
    <col min="3600" max="3600" width="15.42578125" style="35" customWidth="1"/>
    <col min="3601" max="3601" width="18.7109375" style="35" customWidth="1"/>
    <col min="3602" max="3602" width="19.85546875" style="35" customWidth="1"/>
    <col min="3603" max="3604" width="15.42578125" style="35" customWidth="1"/>
    <col min="3605" max="3605" width="19.7109375" style="35" customWidth="1"/>
    <col min="3606" max="3609" width="15.42578125" style="35" customWidth="1"/>
    <col min="3610" max="3610" width="14.28515625" style="35" bestFit="1" customWidth="1"/>
    <col min="3611" max="3620" width="16.7109375" style="35" customWidth="1"/>
    <col min="3621" max="3622" width="20.5703125" style="35" customWidth="1"/>
    <col min="3623" max="3623" width="16.5703125" style="35" bestFit="1" customWidth="1"/>
    <col min="3624" max="3624" width="14.85546875" style="35" bestFit="1" customWidth="1"/>
    <col min="3625" max="3841" width="9.140625" style="35"/>
    <col min="3842" max="3842" width="82.85546875" style="35" customWidth="1"/>
    <col min="3843" max="3843" width="18.85546875" style="35" customWidth="1"/>
    <col min="3844" max="3844" width="17.28515625" style="35" customWidth="1"/>
    <col min="3845" max="3845" width="18.28515625" style="35" customWidth="1"/>
    <col min="3846" max="3848" width="18.85546875" style="35" customWidth="1"/>
    <col min="3849" max="3849" width="15" style="35" bestFit="1" customWidth="1"/>
    <col min="3850" max="3850" width="15.42578125" style="35" customWidth="1"/>
    <col min="3851" max="3851" width="18.140625" style="35" customWidth="1"/>
    <col min="3852" max="3852" width="16.28515625" style="35" customWidth="1"/>
    <col min="3853" max="3853" width="14.28515625" style="35" bestFit="1" customWidth="1"/>
    <col min="3854" max="3854" width="15.42578125" style="35" customWidth="1"/>
    <col min="3855" max="3855" width="18" style="35" customWidth="1"/>
    <col min="3856" max="3856" width="15.42578125" style="35" customWidth="1"/>
    <col min="3857" max="3857" width="18.7109375" style="35" customWidth="1"/>
    <col min="3858" max="3858" width="19.85546875" style="35" customWidth="1"/>
    <col min="3859" max="3860" width="15.42578125" style="35" customWidth="1"/>
    <col min="3861" max="3861" width="19.7109375" style="35" customWidth="1"/>
    <col min="3862" max="3865" width="15.42578125" style="35" customWidth="1"/>
    <col min="3866" max="3866" width="14.28515625" style="35" bestFit="1" customWidth="1"/>
    <col min="3867" max="3876" width="16.7109375" style="35" customWidth="1"/>
    <col min="3877" max="3878" width="20.5703125" style="35" customWidth="1"/>
    <col min="3879" max="3879" width="16.5703125" style="35" bestFit="1" customWidth="1"/>
    <col min="3880" max="3880" width="14.85546875" style="35" bestFit="1" customWidth="1"/>
    <col min="3881" max="4097" width="9.140625" style="35"/>
    <col min="4098" max="4098" width="82.85546875" style="35" customWidth="1"/>
    <col min="4099" max="4099" width="18.85546875" style="35" customWidth="1"/>
    <col min="4100" max="4100" width="17.28515625" style="35" customWidth="1"/>
    <col min="4101" max="4101" width="18.28515625" style="35" customWidth="1"/>
    <col min="4102" max="4104" width="18.85546875" style="35" customWidth="1"/>
    <col min="4105" max="4105" width="15" style="35" bestFit="1" customWidth="1"/>
    <col min="4106" max="4106" width="15.42578125" style="35" customWidth="1"/>
    <col min="4107" max="4107" width="18.140625" style="35" customWidth="1"/>
    <col min="4108" max="4108" width="16.28515625" style="35" customWidth="1"/>
    <col min="4109" max="4109" width="14.28515625" style="35" bestFit="1" customWidth="1"/>
    <col min="4110" max="4110" width="15.42578125" style="35" customWidth="1"/>
    <col min="4111" max="4111" width="18" style="35" customWidth="1"/>
    <col min="4112" max="4112" width="15.42578125" style="35" customWidth="1"/>
    <col min="4113" max="4113" width="18.7109375" style="35" customWidth="1"/>
    <col min="4114" max="4114" width="19.85546875" style="35" customWidth="1"/>
    <col min="4115" max="4116" width="15.42578125" style="35" customWidth="1"/>
    <col min="4117" max="4117" width="19.7109375" style="35" customWidth="1"/>
    <col min="4118" max="4121" width="15.42578125" style="35" customWidth="1"/>
    <col min="4122" max="4122" width="14.28515625" style="35" bestFit="1" customWidth="1"/>
    <col min="4123" max="4132" width="16.7109375" style="35" customWidth="1"/>
    <col min="4133" max="4134" width="20.5703125" style="35" customWidth="1"/>
    <col min="4135" max="4135" width="16.5703125" style="35" bestFit="1" customWidth="1"/>
    <col min="4136" max="4136" width="14.85546875" style="35" bestFit="1" customWidth="1"/>
    <col min="4137" max="4353" width="9.140625" style="35"/>
    <col min="4354" max="4354" width="82.85546875" style="35" customWidth="1"/>
    <col min="4355" max="4355" width="18.85546875" style="35" customWidth="1"/>
    <col min="4356" max="4356" width="17.28515625" style="35" customWidth="1"/>
    <col min="4357" max="4357" width="18.28515625" style="35" customWidth="1"/>
    <col min="4358" max="4360" width="18.85546875" style="35" customWidth="1"/>
    <col min="4361" max="4361" width="15" style="35" bestFit="1" customWidth="1"/>
    <col min="4362" max="4362" width="15.42578125" style="35" customWidth="1"/>
    <col min="4363" max="4363" width="18.140625" style="35" customWidth="1"/>
    <col min="4364" max="4364" width="16.28515625" style="35" customWidth="1"/>
    <col min="4365" max="4365" width="14.28515625" style="35" bestFit="1" customWidth="1"/>
    <col min="4366" max="4366" width="15.42578125" style="35" customWidth="1"/>
    <col min="4367" max="4367" width="18" style="35" customWidth="1"/>
    <col min="4368" max="4368" width="15.42578125" style="35" customWidth="1"/>
    <col min="4369" max="4369" width="18.7109375" style="35" customWidth="1"/>
    <col min="4370" max="4370" width="19.85546875" style="35" customWidth="1"/>
    <col min="4371" max="4372" width="15.42578125" style="35" customWidth="1"/>
    <col min="4373" max="4373" width="19.7109375" style="35" customWidth="1"/>
    <col min="4374" max="4377" width="15.42578125" style="35" customWidth="1"/>
    <col min="4378" max="4378" width="14.28515625" style="35" bestFit="1" customWidth="1"/>
    <col min="4379" max="4388" width="16.7109375" style="35" customWidth="1"/>
    <col min="4389" max="4390" width="20.5703125" style="35" customWidth="1"/>
    <col min="4391" max="4391" width="16.5703125" style="35" bestFit="1" customWidth="1"/>
    <col min="4392" max="4392" width="14.85546875" style="35" bestFit="1" customWidth="1"/>
    <col min="4393" max="4609" width="9.140625" style="35"/>
    <col min="4610" max="4610" width="82.85546875" style="35" customWidth="1"/>
    <col min="4611" max="4611" width="18.85546875" style="35" customWidth="1"/>
    <col min="4612" max="4612" width="17.28515625" style="35" customWidth="1"/>
    <col min="4613" max="4613" width="18.28515625" style="35" customWidth="1"/>
    <col min="4614" max="4616" width="18.85546875" style="35" customWidth="1"/>
    <col min="4617" max="4617" width="15" style="35" bestFit="1" customWidth="1"/>
    <col min="4618" max="4618" width="15.42578125" style="35" customWidth="1"/>
    <col min="4619" max="4619" width="18.140625" style="35" customWidth="1"/>
    <col min="4620" max="4620" width="16.28515625" style="35" customWidth="1"/>
    <col min="4621" max="4621" width="14.28515625" style="35" bestFit="1" customWidth="1"/>
    <col min="4622" max="4622" width="15.42578125" style="35" customWidth="1"/>
    <col min="4623" max="4623" width="18" style="35" customWidth="1"/>
    <col min="4624" max="4624" width="15.42578125" style="35" customWidth="1"/>
    <col min="4625" max="4625" width="18.7109375" style="35" customWidth="1"/>
    <col min="4626" max="4626" width="19.85546875" style="35" customWidth="1"/>
    <col min="4627" max="4628" width="15.42578125" style="35" customWidth="1"/>
    <col min="4629" max="4629" width="19.7109375" style="35" customWidth="1"/>
    <col min="4630" max="4633" width="15.42578125" style="35" customWidth="1"/>
    <col min="4634" max="4634" width="14.28515625" style="35" bestFit="1" customWidth="1"/>
    <col min="4635" max="4644" width="16.7109375" style="35" customWidth="1"/>
    <col min="4645" max="4646" width="20.5703125" style="35" customWidth="1"/>
    <col min="4647" max="4647" width="16.5703125" style="35" bestFit="1" customWidth="1"/>
    <col min="4648" max="4648" width="14.85546875" style="35" bestFit="1" customWidth="1"/>
    <col min="4649" max="4865" width="9.140625" style="35"/>
    <col min="4866" max="4866" width="82.85546875" style="35" customWidth="1"/>
    <col min="4867" max="4867" width="18.85546875" style="35" customWidth="1"/>
    <col min="4868" max="4868" width="17.28515625" style="35" customWidth="1"/>
    <col min="4869" max="4869" width="18.28515625" style="35" customWidth="1"/>
    <col min="4870" max="4872" width="18.85546875" style="35" customWidth="1"/>
    <col min="4873" max="4873" width="15" style="35" bestFit="1" customWidth="1"/>
    <col min="4874" max="4874" width="15.42578125" style="35" customWidth="1"/>
    <col min="4875" max="4875" width="18.140625" style="35" customWidth="1"/>
    <col min="4876" max="4876" width="16.28515625" style="35" customWidth="1"/>
    <col min="4877" max="4877" width="14.28515625" style="35" bestFit="1" customWidth="1"/>
    <col min="4878" max="4878" width="15.42578125" style="35" customWidth="1"/>
    <col min="4879" max="4879" width="18" style="35" customWidth="1"/>
    <col min="4880" max="4880" width="15.42578125" style="35" customWidth="1"/>
    <col min="4881" max="4881" width="18.7109375" style="35" customWidth="1"/>
    <col min="4882" max="4882" width="19.85546875" style="35" customWidth="1"/>
    <col min="4883" max="4884" width="15.42578125" style="35" customWidth="1"/>
    <col min="4885" max="4885" width="19.7109375" style="35" customWidth="1"/>
    <col min="4886" max="4889" width="15.42578125" style="35" customWidth="1"/>
    <col min="4890" max="4890" width="14.28515625" style="35" bestFit="1" customWidth="1"/>
    <col min="4891" max="4900" width="16.7109375" style="35" customWidth="1"/>
    <col min="4901" max="4902" width="20.5703125" style="35" customWidth="1"/>
    <col min="4903" max="4903" width="16.5703125" style="35" bestFit="1" customWidth="1"/>
    <col min="4904" max="4904" width="14.85546875" style="35" bestFit="1" customWidth="1"/>
    <col min="4905" max="5121" width="9.140625" style="35"/>
    <col min="5122" max="5122" width="82.85546875" style="35" customWidth="1"/>
    <col min="5123" max="5123" width="18.85546875" style="35" customWidth="1"/>
    <col min="5124" max="5124" width="17.28515625" style="35" customWidth="1"/>
    <col min="5125" max="5125" width="18.28515625" style="35" customWidth="1"/>
    <col min="5126" max="5128" width="18.85546875" style="35" customWidth="1"/>
    <col min="5129" max="5129" width="15" style="35" bestFit="1" customWidth="1"/>
    <col min="5130" max="5130" width="15.42578125" style="35" customWidth="1"/>
    <col min="5131" max="5131" width="18.140625" style="35" customWidth="1"/>
    <col min="5132" max="5132" width="16.28515625" style="35" customWidth="1"/>
    <col min="5133" max="5133" width="14.28515625" style="35" bestFit="1" customWidth="1"/>
    <col min="5134" max="5134" width="15.42578125" style="35" customWidth="1"/>
    <col min="5135" max="5135" width="18" style="35" customWidth="1"/>
    <col min="5136" max="5136" width="15.42578125" style="35" customWidth="1"/>
    <col min="5137" max="5137" width="18.7109375" style="35" customWidth="1"/>
    <col min="5138" max="5138" width="19.85546875" style="35" customWidth="1"/>
    <col min="5139" max="5140" width="15.42578125" style="35" customWidth="1"/>
    <col min="5141" max="5141" width="19.7109375" style="35" customWidth="1"/>
    <col min="5142" max="5145" width="15.42578125" style="35" customWidth="1"/>
    <col min="5146" max="5146" width="14.28515625" style="35" bestFit="1" customWidth="1"/>
    <col min="5147" max="5156" width="16.7109375" style="35" customWidth="1"/>
    <col min="5157" max="5158" width="20.5703125" style="35" customWidth="1"/>
    <col min="5159" max="5159" width="16.5703125" style="35" bestFit="1" customWidth="1"/>
    <col min="5160" max="5160" width="14.85546875" style="35" bestFit="1" customWidth="1"/>
    <col min="5161" max="5377" width="9.140625" style="35"/>
    <col min="5378" max="5378" width="82.85546875" style="35" customWidth="1"/>
    <col min="5379" max="5379" width="18.85546875" style="35" customWidth="1"/>
    <col min="5380" max="5380" width="17.28515625" style="35" customWidth="1"/>
    <col min="5381" max="5381" width="18.28515625" style="35" customWidth="1"/>
    <col min="5382" max="5384" width="18.85546875" style="35" customWidth="1"/>
    <col min="5385" max="5385" width="15" style="35" bestFit="1" customWidth="1"/>
    <col min="5386" max="5386" width="15.42578125" style="35" customWidth="1"/>
    <col min="5387" max="5387" width="18.140625" style="35" customWidth="1"/>
    <col min="5388" max="5388" width="16.28515625" style="35" customWidth="1"/>
    <col min="5389" max="5389" width="14.28515625" style="35" bestFit="1" customWidth="1"/>
    <col min="5390" max="5390" width="15.42578125" style="35" customWidth="1"/>
    <col min="5391" max="5391" width="18" style="35" customWidth="1"/>
    <col min="5392" max="5392" width="15.42578125" style="35" customWidth="1"/>
    <col min="5393" max="5393" width="18.7109375" style="35" customWidth="1"/>
    <col min="5394" max="5394" width="19.85546875" style="35" customWidth="1"/>
    <col min="5395" max="5396" width="15.42578125" style="35" customWidth="1"/>
    <col min="5397" max="5397" width="19.7109375" style="35" customWidth="1"/>
    <col min="5398" max="5401" width="15.42578125" style="35" customWidth="1"/>
    <col min="5402" max="5402" width="14.28515625" style="35" bestFit="1" customWidth="1"/>
    <col min="5403" max="5412" width="16.7109375" style="35" customWidth="1"/>
    <col min="5413" max="5414" width="20.5703125" style="35" customWidth="1"/>
    <col min="5415" max="5415" width="16.5703125" style="35" bestFit="1" customWidth="1"/>
    <col min="5416" max="5416" width="14.85546875" style="35" bestFit="1" customWidth="1"/>
    <col min="5417" max="5633" width="9.140625" style="35"/>
    <col min="5634" max="5634" width="82.85546875" style="35" customWidth="1"/>
    <col min="5635" max="5635" width="18.85546875" style="35" customWidth="1"/>
    <col min="5636" max="5636" width="17.28515625" style="35" customWidth="1"/>
    <col min="5637" max="5637" width="18.28515625" style="35" customWidth="1"/>
    <col min="5638" max="5640" width="18.85546875" style="35" customWidth="1"/>
    <col min="5641" max="5641" width="15" style="35" bestFit="1" customWidth="1"/>
    <col min="5642" max="5642" width="15.42578125" style="35" customWidth="1"/>
    <col min="5643" max="5643" width="18.140625" style="35" customWidth="1"/>
    <col min="5644" max="5644" width="16.28515625" style="35" customWidth="1"/>
    <col min="5645" max="5645" width="14.28515625" style="35" bestFit="1" customWidth="1"/>
    <col min="5646" max="5646" width="15.42578125" style="35" customWidth="1"/>
    <col min="5647" max="5647" width="18" style="35" customWidth="1"/>
    <col min="5648" max="5648" width="15.42578125" style="35" customWidth="1"/>
    <col min="5649" max="5649" width="18.7109375" style="35" customWidth="1"/>
    <col min="5650" max="5650" width="19.85546875" style="35" customWidth="1"/>
    <col min="5651" max="5652" width="15.42578125" style="35" customWidth="1"/>
    <col min="5653" max="5653" width="19.7109375" style="35" customWidth="1"/>
    <col min="5654" max="5657" width="15.42578125" style="35" customWidth="1"/>
    <col min="5658" max="5658" width="14.28515625" style="35" bestFit="1" customWidth="1"/>
    <col min="5659" max="5668" width="16.7109375" style="35" customWidth="1"/>
    <col min="5669" max="5670" width="20.5703125" style="35" customWidth="1"/>
    <col min="5671" max="5671" width="16.5703125" style="35" bestFit="1" customWidth="1"/>
    <col min="5672" max="5672" width="14.85546875" style="35" bestFit="1" customWidth="1"/>
    <col min="5673" max="5889" width="9.140625" style="35"/>
    <col min="5890" max="5890" width="82.85546875" style="35" customWidth="1"/>
    <col min="5891" max="5891" width="18.85546875" style="35" customWidth="1"/>
    <col min="5892" max="5892" width="17.28515625" style="35" customWidth="1"/>
    <col min="5893" max="5893" width="18.28515625" style="35" customWidth="1"/>
    <col min="5894" max="5896" width="18.85546875" style="35" customWidth="1"/>
    <col min="5897" max="5897" width="15" style="35" bestFit="1" customWidth="1"/>
    <col min="5898" max="5898" width="15.42578125" style="35" customWidth="1"/>
    <col min="5899" max="5899" width="18.140625" style="35" customWidth="1"/>
    <col min="5900" max="5900" width="16.28515625" style="35" customWidth="1"/>
    <col min="5901" max="5901" width="14.28515625" style="35" bestFit="1" customWidth="1"/>
    <col min="5902" max="5902" width="15.42578125" style="35" customWidth="1"/>
    <col min="5903" max="5903" width="18" style="35" customWidth="1"/>
    <col min="5904" max="5904" width="15.42578125" style="35" customWidth="1"/>
    <col min="5905" max="5905" width="18.7109375" style="35" customWidth="1"/>
    <col min="5906" max="5906" width="19.85546875" style="35" customWidth="1"/>
    <col min="5907" max="5908" width="15.42578125" style="35" customWidth="1"/>
    <col min="5909" max="5909" width="19.7109375" style="35" customWidth="1"/>
    <col min="5910" max="5913" width="15.42578125" style="35" customWidth="1"/>
    <col min="5914" max="5914" width="14.28515625" style="35" bestFit="1" customWidth="1"/>
    <col min="5915" max="5924" width="16.7109375" style="35" customWidth="1"/>
    <col min="5925" max="5926" width="20.5703125" style="35" customWidth="1"/>
    <col min="5927" max="5927" width="16.5703125" style="35" bestFit="1" customWidth="1"/>
    <col min="5928" max="5928" width="14.85546875" style="35" bestFit="1" customWidth="1"/>
    <col min="5929" max="6145" width="9.140625" style="35"/>
    <col min="6146" max="6146" width="82.85546875" style="35" customWidth="1"/>
    <col min="6147" max="6147" width="18.85546875" style="35" customWidth="1"/>
    <col min="6148" max="6148" width="17.28515625" style="35" customWidth="1"/>
    <col min="6149" max="6149" width="18.28515625" style="35" customWidth="1"/>
    <col min="6150" max="6152" width="18.85546875" style="35" customWidth="1"/>
    <col min="6153" max="6153" width="15" style="35" bestFit="1" customWidth="1"/>
    <col min="6154" max="6154" width="15.42578125" style="35" customWidth="1"/>
    <col min="6155" max="6155" width="18.140625" style="35" customWidth="1"/>
    <col min="6156" max="6156" width="16.28515625" style="35" customWidth="1"/>
    <col min="6157" max="6157" width="14.28515625" style="35" bestFit="1" customWidth="1"/>
    <col min="6158" max="6158" width="15.42578125" style="35" customWidth="1"/>
    <col min="6159" max="6159" width="18" style="35" customWidth="1"/>
    <col min="6160" max="6160" width="15.42578125" style="35" customWidth="1"/>
    <col min="6161" max="6161" width="18.7109375" style="35" customWidth="1"/>
    <col min="6162" max="6162" width="19.85546875" style="35" customWidth="1"/>
    <col min="6163" max="6164" width="15.42578125" style="35" customWidth="1"/>
    <col min="6165" max="6165" width="19.7109375" style="35" customWidth="1"/>
    <col min="6166" max="6169" width="15.42578125" style="35" customWidth="1"/>
    <col min="6170" max="6170" width="14.28515625" style="35" bestFit="1" customWidth="1"/>
    <col min="6171" max="6180" width="16.7109375" style="35" customWidth="1"/>
    <col min="6181" max="6182" width="20.5703125" style="35" customWidth="1"/>
    <col min="6183" max="6183" width="16.5703125" style="35" bestFit="1" customWidth="1"/>
    <col min="6184" max="6184" width="14.85546875" style="35" bestFit="1" customWidth="1"/>
    <col min="6185" max="6401" width="9.140625" style="35"/>
    <col min="6402" max="6402" width="82.85546875" style="35" customWidth="1"/>
    <col min="6403" max="6403" width="18.85546875" style="35" customWidth="1"/>
    <col min="6404" max="6404" width="17.28515625" style="35" customWidth="1"/>
    <col min="6405" max="6405" width="18.28515625" style="35" customWidth="1"/>
    <col min="6406" max="6408" width="18.85546875" style="35" customWidth="1"/>
    <col min="6409" max="6409" width="15" style="35" bestFit="1" customWidth="1"/>
    <col min="6410" max="6410" width="15.42578125" style="35" customWidth="1"/>
    <col min="6411" max="6411" width="18.140625" style="35" customWidth="1"/>
    <col min="6412" max="6412" width="16.28515625" style="35" customWidth="1"/>
    <col min="6413" max="6413" width="14.28515625" style="35" bestFit="1" customWidth="1"/>
    <col min="6414" max="6414" width="15.42578125" style="35" customWidth="1"/>
    <col min="6415" max="6415" width="18" style="35" customWidth="1"/>
    <col min="6416" max="6416" width="15.42578125" style="35" customWidth="1"/>
    <col min="6417" max="6417" width="18.7109375" style="35" customWidth="1"/>
    <col min="6418" max="6418" width="19.85546875" style="35" customWidth="1"/>
    <col min="6419" max="6420" width="15.42578125" style="35" customWidth="1"/>
    <col min="6421" max="6421" width="19.7109375" style="35" customWidth="1"/>
    <col min="6422" max="6425" width="15.42578125" style="35" customWidth="1"/>
    <col min="6426" max="6426" width="14.28515625" style="35" bestFit="1" customWidth="1"/>
    <col min="6427" max="6436" width="16.7109375" style="35" customWidth="1"/>
    <col min="6437" max="6438" width="20.5703125" style="35" customWidth="1"/>
    <col min="6439" max="6439" width="16.5703125" style="35" bestFit="1" customWidth="1"/>
    <col min="6440" max="6440" width="14.85546875" style="35" bestFit="1" customWidth="1"/>
    <col min="6441" max="6657" width="9.140625" style="35"/>
    <col min="6658" max="6658" width="82.85546875" style="35" customWidth="1"/>
    <col min="6659" max="6659" width="18.85546875" style="35" customWidth="1"/>
    <col min="6660" max="6660" width="17.28515625" style="35" customWidth="1"/>
    <col min="6661" max="6661" width="18.28515625" style="35" customWidth="1"/>
    <col min="6662" max="6664" width="18.85546875" style="35" customWidth="1"/>
    <col min="6665" max="6665" width="15" style="35" bestFit="1" customWidth="1"/>
    <col min="6666" max="6666" width="15.42578125" style="35" customWidth="1"/>
    <col min="6667" max="6667" width="18.140625" style="35" customWidth="1"/>
    <col min="6668" max="6668" width="16.28515625" style="35" customWidth="1"/>
    <col min="6669" max="6669" width="14.28515625" style="35" bestFit="1" customWidth="1"/>
    <col min="6670" max="6670" width="15.42578125" style="35" customWidth="1"/>
    <col min="6671" max="6671" width="18" style="35" customWidth="1"/>
    <col min="6672" max="6672" width="15.42578125" style="35" customWidth="1"/>
    <col min="6673" max="6673" width="18.7109375" style="35" customWidth="1"/>
    <col min="6674" max="6674" width="19.85546875" style="35" customWidth="1"/>
    <col min="6675" max="6676" width="15.42578125" style="35" customWidth="1"/>
    <col min="6677" max="6677" width="19.7109375" style="35" customWidth="1"/>
    <col min="6678" max="6681" width="15.42578125" style="35" customWidth="1"/>
    <col min="6682" max="6682" width="14.28515625" style="35" bestFit="1" customWidth="1"/>
    <col min="6683" max="6692" width="16.7109375" style="35" customWidth="1"/>
    <col min="6693" max="6694" width="20.5703125" style="35" customWidth="1"/>
    <col min="6695" max="6695" width="16.5703125" style="35" bestFit="1" customWidth="1"/>
    <col min="6696" max="6696" width="14.85546875" style="35" bestFit="1" customWidth="1"/>
    <col min="6697" max="6913" width="9.140625" style="35"/>
    <col min="6914" max="6914" width="82.85546875" style="35" customWidth="1"/>
    <col min="6915" max="6915" width="18.85546875" style="35" customWidth="1"/>
    <col min="6916" max="6916" width="17.28515625" style="35" customWidth="1"/>
    <col min="6917" max="6917" width="18.28515625" style="35" customWidth="1"/>
    <col min="6918" max="6920" width="18.85546875" style="35" customWidth="1"/>
    <col min="6921" max="6921" width="15" style="35" bestFit="1" customWidth="1"/>
    <col min="6922" max="6922" width="15.42578125" style="35" customWidth="1"/>
    <col min="6923" max="6923" width="18.140625" style="35" customWidth="1"/>
    <col min="6924" max="6924" width="16.28515625" style="35" customWidth="1"/>
    <col min="6925" max="6925" width="14.28515625" style="35" bestFit="1" customWidth="1"/>
    <col min="6926" max="6926" width="15.42578125" style="35" customWidth="1"/>
    <col min="6927" max="6927" width="18" style="35" customWidth="1"/>
    <col min="6928" max="6928" width="15.42578125" style="35" customWidth="1"/>
    <col min="6929" max="6929" width="18.7109375" style="35" customWidth="1"/>
    <col min="6930" max="6930" width="19.85546875" style="35" customWidth="1"/>
    <col min="6931" max="6932" width="15.42578125" style="35" customWidth="1"/>
    <col min="6933" max="6933" width="19.7109375" style="35" customWidth="1"/>
    <col min="6934" max="6937" width="15.42578125" style="35" customWidth="1"/>
    <col min="6938" max="6938" width="14.28515625" style="35" bestFit="1" customWidth="1"/>
    <col min="6939" max="6948" width="16.7109375" style="35" customWidth="1"/>
    <col min="6949" max="6950" width="20.5703125" style="35" customWidth="1"/>
    <col min="6951" max="6951" width="16.5703125" style="35" bestFit="1" customWidth="1"/>
    <col min="6952" max="6952" width="14.85546875" style="35" bestFit="1" customWidth="1"/>
    <col min="6953" max="7169" width="9.140625" style="35"/>
    <col min="7170" max="7170" width="82.85546875" style="35" customWidth="1"/>
    <col min="7171" max="7171" width="18.85546875" style="35" customWidth="1"/>
    <col min="7172" max="7172" width="17.28515625" style="35" customWidth="1"/>
    <col min="7173" max="7173" width="18.28515625" style="35" customWidth="1"/>
    <col min="7174" max="7176" width="18.85546875" style="35" customWidth="1"/>
    <col min="7177" max="7177" width="15" style="35" bestFit="1" customWidth="1"/>
    <col min="7178" max="7178" width="15.42578125" style="35" customWidth="1"/>
    <col min="7179" max="7179" width="18.140625" style="35" customWidth="1"/>
    <col min="7180" max="7180" width="16.28515625" style="35" customWidth="1"/>
    <col min="7181" max="7181" width="14.28515625" style="35" bestFit="1" customWidth="1"/>
    <col min="7182" max="7182" width="15.42578125" style="35" customWidth="1"/>
    <col min="7183" max="7183" width="18" style="35" customWidth="1"/>
    <col min="7184" max="7184" width="15.42578125" style="35" customWidth="1"/>
    <col min="7185" max="7185" width="18.7109375" style="35" customWidth="1"/>
    <col min="7186" max="7186" width="19.85546875" style="35" customWidth="1"/>
    <col min="7187" max="7188" width="15.42578125" style="35" customWidth="1"/>
    <col min="7189" max="7189" width="19.7109375" style="35" customWidth="1"/>
    <col min="7190" max="7193" width="15.42578125" style="35" customWidth="1"/>
    <col min="7194" max="7194" width="14.28515625" style="35" bestFit="1" customWidth="1"/>
    <col min="7195" max="7204" width="16.7109375" style="35" customWidth="1"/>
    <col min="7205" max="7206" width="20.5703125" style="35" customWidth="1"/>
    <col min="7207" max="7207" width="16.5703125" style="35" bestFit="1" customWidth="1"/>
    <col min="7208" max="7208" width="14.85546875" style="35" bestFit="1" customWidth="1"/>
    <col min="7209" max="7425" width="9.140625" style="35"/>
    <col min="7426" max="7426" width="82.85546875" style="35" customWidth="1"/>
    <col min="7427" max="7427" width="18.85546875" style="35" customWidth="1"/>
    <col min="7428" max="7428" width="17.28515625" style="35" customWidth="1"/>
    <col min="7429" max="7429" width="18.28515625" style="35" customWidth="1"/>
    <col min="7430" max="7432" width="18.85546875" style="35" customWidth="1"/>
    <col min="7433" max="7433" width="15" style="35" bestFit="1" customWidth="1"/>
    <col min="7434" max="7434" width="15.42578125" style="35" customWidth="1"/>
    <col min="7435" max="7435" width="18.140625" style="35" customWidth="1"/>
    <col min="7436" max="7436" width="16.28515625" style="35" customWidth="1"/>
    <col min="7437" max="7437" width="14.28515625" style="35" bestFit="1" customWidth="1"/>
    <col min="7438" max="7438" width="15.42578125" style="35" customWidth="1"/>
    <col min="7439" max="7439" width="18" style="35" customWidth="1"/>
    <col min="7440" max="7440" width="15.42578125" style="35" customWidth="1"/>
    <col min="7441" max="7441" width="18.7109375" style="35" customWidth="1"/>
    <col min="7442" max="7442" width="19.85546875" style="35" customWidth="1"/>
    <col min="7443" max="7444" width="15.42578125" style="35" customWidth="1"/>
    <col min="7445" max="7445" width="19.7109375" style="35" customWidth="1"/>
    <col min="7446" max="7449" width="15.42578125" style="35" customWidth="1"/>
    <col min="7450" max="7450" width="14.28515625" style="35" bestFit="1" customWidth="1"/>
    <col min="7451" max="7460" width="16.7109375" style="35" customWidth="1"/>
    <col min="7461" max="7462" width="20.5703125" style="35" customWidth="1"/>
    <col min="7463" max="7463" width="16.5703125" style="35" bestFit="1" customWidth="1"/>
    <col min="7464" max="7464" width="14.85546875" style="35" bestFit="1" customWidth="1"/>
    <col min="7465" max="7681" width="9.140625" style="35"/>
    <col min="7682" max="7682" width="82.85546875" style="35" customWidth="1"/>
    <col min="7683" max="7683" width="18.85546875" style="35" customWidth="1"/>
    <col min="7684" max="7684" width="17.28515625" style="35" customWidth="1"/>
    <col min="7685" max="7685" width="18.28515625" style="35" customWidth="1"/>
    <col min="7686" max="7688" width="18.85546875" style="35" customWidth="1"/>
    <col min="7689" max="7689" width="15" style="35" bestFit="1" customWidth="1"/>
    <col min="7690" max="7690" width="15.42578125" style="35" customWidth="1"/>
    <col min="7691" max="7691" width="18.140625" style="35" customWidth="1"/>
    <col min="7692" max="7692" width="16.28515625" style="35" customWidth="1"/>
    <col min="7693" max="7693" width="14.28515625" style="35" bestFit="1" customWidth="1"/>
    <col min="7694" max="7694" width="15.42578125" style="35" customWidth="1"/>
    <col min="7695" max="7695" width="18" style="35" customWidth="1"/>
    <col min="7696" max="7696" width="15.42578125" style="35" customWidth="1"/>
    <col min="7697" max="7697" width="18.7109375" style="35" customWidth="1"/>
    <col min="7698" max="7698" width="19.85546875" style="35" customWidth="1"/>
    <col min="7699" max="7700" width="15.42578125" style="35" customWidth="1"/>
    <col min="7701" max="7701" width="19.7109375" style="35" customWidth="1"/>
    <col min="7702" max="7705" width="15.42578125" style="35" customWidth="1"/>
    <col min="7706" max="7706" width="14.28515625" style="35" bestFit="1" customWidth="1"/>
    <col min="7707" max="7716" width="16.7109375" style="35" customWidth="1"/>
    <col min="7717" max="7718" width="20.5703125" style="35" customWidth="1"/>
    <col min="7719" max="7719" width="16.5703125" style="35" bestFit="1" customWidth="1"/>
    <col min="7720" max="7720" width="14.85546875" style="35" bestFit="1" customWidth="1"/>
    <col min="7721" max="7937" width="9.140625" style="35"/>
    <col min="7938" max="7938" width="82.85546875" style="35" customWidth="1"/>
    <col min="7939" max="7939" width="18.85546875" style="35" customWidth="1"/>
    <col min="7940" max="7940" width="17.28515625" style="35" customWidth="1"/>
    <col min="7941" max="7941" width="18.28515625" style="35" customWidth="1"/>
    <col min="7942" max="7944" width="18.85546875" style="35" customWidth="1"/>
    <col min="7945" max="7945" width="15" style="35" bestFit="1" customWidth="1"/>
    <col min="7946" max="7946" width="15.42578125" style="35" customWidth="1"/>
    <col min="7947" max="7947" width="18.140625" style="35" customWidth="1"/>
    <col min="7948" max="7948" width="16.28515625" style="35" customWidth="1"/>
    <col min="7949" max="7949" width="14.28515625" style="35" bestFit="1" customWidth="1"/>
    <col min="7950" max="7950" width="15.42578125" style="35" customWidth="1"/>
    <col min="7951" max="7951" width="18" style="35" customWidth="1"/>
    <col min="7952" max="7952" width="15.42578125" style="35" customWidth="1"/>
    <col min="7953" max="7953" width="18.7109375" style="35" customWidth="1"/>
    <col min="7954" max="7954" width="19.85546875" style="35" customWidth="1"/>
    <col min="7955" max="7956" width="15.42578125" style="35" customWidth="1"/>
    <col min="7957" max="7957" width="19.7109375" style="35" customWidth="1"/>
    <col min="7958" max="7961" width="15.42578125" style="35" customWidth="1"/>
    <col min="7962" max="7962" width="14.28515625" style="35" bestFit="1" customWidth="1"/>
    <col min="7963" max="7972" width="16.7109375" style="35" customWidth="1"/>
    <col min="7973" max="7974" width="20.5703125" style="35" customWidth="1"/>
    <col min="7975" max="7975" width="16.5703125" style="35" bestFit="1" customWidth="1"/>
    <col min="7976" max="7976" width="14.85546875" style="35" bestFit="1" customWidth="1"/>
    <col min="7977" max="8193" width="9.140625" style="35"/>
    <col min="8194" max="8194" width="82.85546875" style="35" customWidth="1"/>
    <col min="8195" max="8195" width="18.85546875" style="35" customWidth="1"/>
    <col min="8196" max="8196" width="17.28515625" style="35" customWidth="1"/>
    <col min="8197" max="8197" width="18.28515625" style="35" customWidth="1"/>
    <col min="8198" max="8200" width="18.85546875" style="35" customWidth="1"/>
    <col min="8201" max="8201" width="15" style="35" bestFit="1" customWidth="1"/>
    <col min="8202" max="8202" width="15.42578125" style="35" customWidth="1"/>
    <col min="8203" max="8203" width="18.140625" style="35" customWidth="1"/>
    <col min="8204" max="8204" width="16.28515625" style="35" customWidth="1"/>
    <col min="8205" max="8205" width="14.28515625" style="35" bestFit="1" customWidth="1"/>
    <col min="8206" max="8206" width="15.42578125" style="35" customWidth="1"/>
    <col min="8207" max="8207" width="18" style="35" customWidth="1"/>
    <col min="8208" max="8208" width="15.42578125" style="35" customWidth="1"/>
    <col min="8209" max="8209" width="18.7109375" style="35" customWidth="1"/>
    <col min="8210" max="8210" width="19.85546875" style="35" customWidth="1"/>
    <col min="8211" max="8212" width="15.42578125" style="35" customWidth="1"/>
    <col min="8213" max="8213" width="19.7109375" style="35" customWidth="1"/>
    <col min="8214" max="8217" width="15.42578125" style="35" customWidth="1"/>
    <col min="8218" max="8218" width="14.28515625" style="35" bestFit="1" customWidth="1"/>
    <col min="8219" max="8228" width="16.7109375" style="35" customWidth="1"/>
    <col min="8229" max="8230" width="20.5703125" style="35" customWidth="1"/>
    <col min="8231" max="8231" width="16.5703125" style="35" bestFit="1" customWidth="1"/>
    <col min="8232" max="8232" width="14.85546875" style="35" bestFit="1" customWidth="1"/>
    <col min="8233" max="8449" width="9.140625" style="35"/>
    <col min="8450" max="8450" width="82.85546875" style="35" customWidth="1"/>
    <col min="8451" max="8451" width="18.85546875" style="35" customWidth="1"/>
    <col min="8452" max="8452" width="17.28515625" style="35" customWidth="1"/>
    <col min="8453" max="8453" width="18.28515625" style="35" customWidth="1"/>
    <col min="8454" max="8456" width="18.85546875" style="35" customWidth="1"/>
    <col min="8457" max="8457" width="15" style="35" bestFit="1" customWidth="1"/>
    <col min="8458" max="8458" width="15.42578125" style="35" customWidth="1"/>
    <col min="8459" max="8459" width="18.140625" style="35" customWidth="1"/>
    <col min="8460" max="8460" width="16.28515625" style="35" customWidth="1"/>
    <col min="8461" max="8461" width="14.28515625" style="35" bestFit="1" customWidth="1"/>
    <col min="8462" max="8462" width="15.42578125" style="35" customWidth="1"/>
    <col min="8463" max="8463" width="18" style="35" customWidth="1"/>
    <col min="8464" max="8464" width="15.42578125" style="35" customWidth="1"/>
    <col min="8465" max="8465" width="18.7109375" style="35" customWidth="1"/>
    <col min="8466" max="8466" width="19.85546875" style="35" customWidth="1"/>
    <col min="8467" max="8468" width="15.42578125" style="35" customWidth="1"/>
    <col min="8469" max="8469" width="19.7109375" style="35" customWidth="1"/>
    <col min="8470" max="8473" width="15.42578125" style="35" customWidth="1"/>
    <col min="8474" max="8474" width="14.28515625" style="35" bestFit="1" customWidth="1"/>
    <col min="8475" max="8484" width="16.7109375" style="35" customWidth="1"/>
    <col min="8485" max="8486" width="20.5703125" style="35" customWidth="1"/>
    <col min="8487" max="8487" width="16.5703125" style="35" bestFit="1" customWidth="1"/>
    <col min="8488" max="8488" width="14.85546875" style="35" bestFit="1" customWidth="1"/>
    <col min="8489" max="8705" width="9.140625" style="35"/>
    <col min="8706" max="8706" width="82.85546875" style="35" customWidth="1"/>
    <col min="8707" max="8707" width="18.85546875" style="35" customWidth="1"/>
    <col min="8708" max="8708" width="17.28515625" style="35" customWidth="1"/>
    <col min="8709" max="8709" width="18.28515625" style="35" customWidth="1"/>
    <col min="8710" max="8712" width="18.85546875" style="35" customWidth="1"/>
    <col min="8713" max="8713" width="15" style="35" bestFit="1" customWidth="1"/>
    <col min="8714" max="8714" width="15.42578125" style="35" customWidth="1"/>
    <col min="8715" max="8715" width="18.140625" style="35" customWidth="1"/>
    <col min="8716" max="8716" width="16.28515625" style="35" customWidth="1"/>
    <col min="8717" max="8717" width="14.28515625" style="35" bestFit="1" customWidth="1"/>
    <col min="8718" max="8718" width="15.42578125" style="35" customWidth="1"/>
    <col min="8719" max="8719" width="18" style="35" customWidth="1"/>
    <col min="8720" max="8720" width="15.42578125" style="35" customWidth="1"/>
    <col min="8721" max="8721" width="18.7109375" style="35" customWidth="1"/>
    <col min="8722" max="8722" width="19.85546875" style="35" customWidth="1"/>
    <col min="8723" max="8724" width="15.42578125" style="35" customWidth="1"/>
    <col min="8725" max="8725" width="19.7109375" style="35" customWidth="1"/>
    <col min="8726" max="8729" width="15.42578125" style="35" customWidth="1"/>
    <col min="8730" max="8730" width="14.28515625" style="35" bestFit="1" customWidth="1"/>
    <col min="8731" max="8740" width="16.7109375" style="35" customWidth="1"/>
    <col min="8741" max="8742" width="20.5703125" style="35" customWidth="1"/>
    <col min="8743" max="8743" width="16.5703125" style="35" bestFit="1" customWidth="1"/>
    <col min="8744" max="8744" width="14.85546875" style="35" bestFit="1" customWidth="1"/>
    <col min="8745" max="8961" width="9.140625" style="35"/>
    <col min="8962" max="8962" width="82.85546875" style="35" customWidth="1"/>
    <col min="8963" max="8963" width="18.85546875" style="35" customWidth="1"/>
    <col min="8964" max="8964" width="17.28515625" style="35" customWidth="1"/>
    <col min="8965" max="8965" width="18.28515625" style="35" customWidth="1"/>
    <col min="8966" max="8968" width="18.85546875" style="35" customWidth="1"/>
    <col min="8969" max="8969" width="15" style="35" bestFit="1" customWidth="1"/>
    <col min="8970" max="8970" width="15.42578125" style="35" customWidth="1"/>
    <col min="8971" max="8971" width="18.140625" style="35" customWidth="1"/>
    <col min="8972" max="8972" width="16.28515625" style="35" customWidth="1"/>
    <col min="8973" max="8973" width="14.28515625" style="35" bestFit="1" customWidth="1"/>
    <col min="8974" max="8974" width="15.42578125" style="35" customWidth="1"/>
    <col min="8975" max="8975" width="18" style="35" customWidth="1"/>
    <col min="8976" max="8976" width="15.42578125" style="35" customWidth="1"/>
    <col min="8977" max="8977" width="18.7109375" style="35" customWidth="1"/>
    <col min="8978" max="8978" width="19.85546875" style="35" customWidth="1"/>
    <col min="8979" max="8980" width="15.42578125" style="35" customWidth="1"/>
    <col min="8981" max="8981" width="19.7109375" style="35" customWidth="1"/>
    <col min="8982" max="8985" width="15.42578125" style="35" customWidth="1"/>
    <col min="8986" max="8986" width="14.28515625" style="35" bestFit="1" customWidth="1"/>
    <col min="8987" max="8996" width="16.7109375" style="35" customWidth="1"/>
    <col min="8997" max="8998" width="20.5703125" style="35" customWidth="1"/>
    <col min="8999" max="8999" width="16.5703125" style="35" bestFit="1" customWidth="1"/>
    <col min="9000" max="9000" width="14.85546875" style="35" bestFit="1" customWidth="1"/>
    <col min="9001" max="9217" width="9.140625" style="35"/>
    <col min="9218" max="9218" width="82.85546875" style="35" customWidth="1"/>
    <col min="9219" max="9219" width="18.85546875" style="35" customWidth="1"/>
    <col min="9220" max="9220" width="17.28515625" style="35" customWidth="1"/>
    <col min="9221" max="9221" width="18.28515625" style="35" customWidth="1"/>
    <col min="9222" max="9224" width="18.85546875" style="35" customWidth="1"/>
    <col min="9225" max="9225" width="15" style="35" bestFit="1" customWidth="1"/>
    <col min="9226" max="9226" width="15.42578125" style="35" customWidth="1"/>
    <col min="9227" max="9227" width="18.140625" style="35" customWidth="1"/>
    <col min="9228" max="9228" width="16.28515625" style="35" customWidth="1"/>
    <col min="9229" max="9229" width="14.28515625" style="35" bestFit="1" customWidth="1"/>
    <col min="9230" max="9230" width="15.42578125" style="35" customWidth="1"/>
    <col min="9231" max="9231" width="18" style="35" customWidth="1"/>
    <col min="9232" max="9232" width="15.42578125" style="35" customWidth="1"/>
    <col min="9233" max="9233" width="18.7109375" style="35" customWidth="1"/>
    <col min="9234" max="9234" width="19.85546875" style="35" customWidth="1"/>
    <col min="9235" max="9236" width="15.42578125" style="35" customWidth="1"/>
    <col min="9237" max="9237" width="19.7109375" style="35" customWidth="1"/>
    <col min="9238" max="9241" width="15.42578125" style="35" customWidth="1"/>
    <col min="9242" max="9242" width="14.28515625" style="35" bestFit="1" customWidth="1"/>
    <col min="9243" max="9252" width="16.7109375" style="35" customWidth="1"/>
    <col min="9253" max="9254" width="20.5703125" style="35" customWidth="1"/>
    <col min="9255" max="9255" width="16.5703125" style="35" bestFit="1" customWidth="1"/>
    <col min="9256" max="9256" width="14.85546875" style="35" bestFit="1" customWidth="1"/>
    <col min="9257" max="9473" width="9.140625" style="35"/>
    <col min="9474" max="9474" width="82.85546875" style="35" customWidth="1"/>
    <col min="9475" max="9475" width="18.85546875" style="35" customWidth="1"/>
    <col min="9476" max="9476" width="17.28515625" style="35" customWidth="1"/>
    <col min="9477" max="9477" width="18.28515625" style="35" customWidth="1"/>
    <col min="9478" max="9480" width="18.85546875" style="35" customWidth="1"/>
    <col min="9481" max="9481" width="15" style="35" bestFit="1" customWidth="1"/>
    <col min="9482" max="9482" width="15.42578125" style="35" customWidth="1"/>
    <col min="9483" max="9483" width="18.140625" style="35" customWidth="1"/>
    <col min="9484" max="9484" width="16.28515625" style="35" customWidth="1"/>
    <col min="9485" max="9485" width="14.28515625" style="35" bestFit="1" customWidth="1"/>
    <col min="9486" max="9486" width="15.42578125" style="35" customWidth="1"/>
    <col min="9487" max="9487" width="18" style="35" customWidth="1"/>
    <col min="9488" max="9488" width="15.42578125" style="35" customWidth="1"/>
    <col min="9489" max="9489" width="18.7109375" style="35" customWidth="1"/>
    <col min="9490" max="9490" width="19.85546875" style="35" customWidth="1"/>
    <col min="9491" max="9492" width="15.42578125" style="35" customWidth="1"/>
    <col min="9493" max="9493" width="19.7109375" style="35" customWidth="1"/>
    <col min="9494" max="9497" width="15.42578125" style="35" customWidth="1"/>
    <col min="9498" max="9498" width="14.28515625" style="35" bestFit="1" customWidth="1"/>
    <col min="9499" max="9508" width="16.7109375" style="35" customWidth="1"/>
    <col min="9509" max="9510" width="20.5703125" style="35" customWidth="1"/>
    <col min="9511" max="9511" width="16.5703125" style="35" bestFit="1" customWidth="1"/>
    <col min="9512" max="9512" width="14.85546875" style="35" bestFit="1" customWidth="1"/>
    <col min="9513" max="9729" width="9.140625" style="35"/>
    <col min="9730" max="9730" width="82.85546875" style="35" customWidth="1"/>
    <col min="9731" max="9731" width="18.85546875" style="35" customWidth="1"/>
    <col min="9732" max="9732" width="17.28515625" style="35" customWidth="1"/>
    <col min="9733" max="9733" width="18.28515625" style="35" customWidth="1"/>
    <col min="9734" max="9736" width="18.85546875" style="35" customWidth="1"/>
    <col min="9737" max="9737" width="15" style="35" bestFit="1" customWidth="1"/>
    <col min="9738" max="9738" width="15.42578125" style="35" customWidth="1"/>
    <col min="9739" max="9739" width="18.140625" style="35" customWidth="1"/>
    <col min="9740" max="9740" width="16.28515625" style="35" customWidth="1"/>
    <col min="9741" max="9741" width="14.28515625" style="35" bestFit="1" customWidth="1"/>
    <col min="9742" max="9742" width="15.42578125" style="35" customWidth="1"/>
    <col min="9743" max="9743" width="18" style="35" customWidth="1"/>
    <col min="9744" max="9744" width="15.42578125" style="35" customWidth="1"/>
    <col min="9745" max="9745" width="18.7109375" style="35" customWidth="1"/>
    <col min="9746" max="9746" width="19.85546875" style="35" customWidth="1"/>
    <col min="9747" max="9748" width="15.42578125" style="35" customWidth="1"/>
    <col min="9749" max="9749" width="19.7109375" style="35" customWidth="1"/>
    <col min="9750" max="9753" width="15.42578125" style="35" customWidth="1"/>
    <col min="9754" max="9754" width="14.28515625" style="35" bestFit="1" customWidth="1"/>
    <col min="9755" max="9764" width="16.7109375" style="35" customWidth="1"/>
    <col min="9765" max="9766" width="20.5703125" style="35" customWidth="1"/>
    <col min="9767" max="9767" width="16.5703125" style="35" bestFit="1" customWidth="1"/>
    <col min="9768" max="9768" width="14.85546875" style="35" bestFit="1" customWidth="1"/>
    <col min="9769" max="9985" width="9.140625" style="35"/>
    <col min="9986" max="9986" width="82.85546875" style="35" customWidth="1"/>
    <col min="9987" max="9987" width="18.85546875" style="35" customWidth="1"/>
    <col min="9988" max="9988" width="17.28515625" style="35" customWidth="1"/>
    <col min="9989" max="9989" width="18.28515625" style="35" customWidth="1"/>
    <col min="9990" max="9992" width="18.85546875" style="35" customWidth="1"/>
    <col min="9993" max="9993" width="15" style="35" bestFit="1" customWidth="1"/>
    <col min="9994" max="9994" width="15.42578125" style="35" customWidth="1"/>
    <col min="9995" max="9995" width="18.140625" style="35" customWidth="1"/>
    <col min="9996" max="9996" width="16.28515625" style="35" customWidth="1"/>
    <col min="9997" max="9997" width="14.28515625" style="35" bestFit="1" customWidth="1"/>
    <col min="9998" max="9998" width="15.42578125" style="35" customWidth="1"/>
    <col min="9999" max="9999" width="18" style="35" customWidth="1"/>
    <col min="10000" max="10000" width="15.42578125" style="35" customWidth="1"/>
    <col min="10001" max="10001" width="18.7109375" style="35" customWidth="1"/>
    <col min="10002" max="10002" width="19.85546875" style="35" customWidth="1"/>
    <col min="10003" max="10004" width="15.42578125" style="35" customWidth="1"/>
    <col min="10005" max="10005" width="19.7109375" style="35" customWidth="1"/>
    <col min="10006" max="10009" width="15.42578125" style="35" customWidth="1"/>
    <col min="10010" max="10010" width="14.28515625" style="35" bestFit="1" customWidth="1"/>
    <col min="10011" max="10020" width="16.7109375" style="35" customWidth="1"/>
    <col min="10021" max="10022" width="20.5703125" style="35" customWidth="1"/>
    <col min="10023" max="10023" width="16.5703125" style="35" bestFit="1" customWidth="1"/>
    <col min="10024" max="10024" width="14.85546875" style="35" bestFit="1" customWidth="1"/>
    <col min="10025" max="10241" width="9.140625" style="35"/>
    <col min="10242" max="10242" width="82.85546875" style="35" customWidth="1"/>
    <col min="10243" max="10243" width="18.85546875" style="35" customWidth="1"/>
    <col min="10244" max="10244" width="17.28515625" style="35" customWidth="1"/>
    <col min="10245" max="10245" width="18.28515625" style="35" customWidth="1"/>
    <col min="10246" max="10248" width="18.85546875" style="35" customWidth="1"/>
    <col min="10249" max="10249" width="15" style="35" bestFit="1" customWidth="1"/>
    <col min="10250" max="10250" width="15.42578125" style="35" customWidth="1"/>
    <col min="10251" max="10251" width="18.140625" style="35" customWidth="1"/>
    <col min="10252" max="10252" width="16.28515625" style="35" customWidth="1"/>
    <col min="10253" max="10253" width="14.28515625" style="35" bestFit="1" customWidth="1"/>
    <col min="10254" max="10254" width="15.42578125" style="35" customWidth="1"/>
    <col min="10255" max="10255" width="18" style="35" customWidth="1"/>
    <col min="10256" max="10256" width="15.42578125" style="35" customWidth="1"/>
    <col min="10257" max="10257" width="18.7109375" style="35" customWidth="1"/>
    <col min="10258" max="10258" width="19.85546875" style="35" customWidth="1"/>
    <col min="10259" max="10260" width="15.42578125" style="35" customWidth="1"/>
    <col min="10261" max="10261" width="19.7109375" style="35" customWidth="1"/>
    <col min="10262" max="10265" width="15.42578125" style="35" customWidth="1"/>
    <col min="10266" max="10266" width="14.28515625" style="35" bestFit="1" customWidth="1"/>
    <col min="10267" max="10276" width="16.7109375" style="35" customWidth="1"/>
    <col min="10277" max="10278" width="20.5703125" style="35" customWidth="1"/>
    <col min="10279" max="10279" width="16.5703125" style="35" bestFit="1" customWidth="1"/>
    <col min="10280" max="10280" width="14.85546875" style="35" bestFit="1" customWidth="1"/>
    <col min="10281" max="10497" width="9.140625" style="35"/>
    <col min="10498" max="10498" width="82.85546875" style="35" customWidth="1"/>
    <col min="10499" max="10499" width="18.85546875" style="35" customWidth="1"/>
    <col min="10500" max="10500" width="17.28515625" style="35" customWidth="1"/>
    <col min="10501" max="10501" width="18.28515625" style="35" customWidth="1"/>
    <col min="10502" max="10504" width="18.85546875" style="35" customWidth="1"/>
    <col min="10505" max="10505" width="15" style="35" bestFit="1" customWidth="1"/>
    <col min="10506" max="10506" width="15.42578125" style="35" customWidth="1"/>
    <col min="10507" max="10507" width="18.140625" style="35" customWidth="1"/>
    <col min="10508" max="10508" width="16.28515625" style="35" customWidth="1"/>
    <col min="10509" max="10509" width="14.28515625" style="35" bestFit="1" customWidth="1"/>
    <col min="10510" max="10510" width="15.42578125" style="35" customWidth="1"/>
    <col min="10511" max="10511" width="18" style="35" customWidth="1"/>
    <col min="10512" max="10512" width="15.42578125" style="35" customWidth="1"/>
    <col min="10513" max="10513" width="18.7109375" style="35" customWidth="1"/>
    <col min="10514" max="10514" width="19.85546875" style="35" customWidth="1"/>
    <col min="10515" max="10516" width="15.42578125" style="35" customWidth="1"/>
    <col min="10517" max="10517" width="19.7109375" style="35" customWidth="1"/>
    <col min="10518" max="10521" width="15.42578125" style="35" customWidth="1"/>
    <col min="10522" max="10522" width="14.28515625" style="35" bestFit="1" customWidth="1"/>
    <col min="10523" max="10532" width="16.7109375" style="35" customWidth="1"/>
    <col min="10533" max="10534" width="20.5703125" style="35" customWidth="1"/>
    <col min="10535" max="10535" width="16.5703125" style="35" bestFit="1" customWidth="1"/>
    <col min="10536" max="10536" width="14.85546875" style="35" bestFit="1" customWidth="1"/>
    <col min="10537" max="10753" width="9.140625" style="35"/>
    <col min="10754" max="10754" width="82.85546875" style="35" customWidth="1"/>
    <col min="10755" max="10755" width="18.85546875" style="35" customWidth="1"/>
    <col min="10756" max="10756" width="17.28515625" style="35" customWidth="1"/>
    <col min="10757" max="10757" width="18.28515625" style="35" customWidth="1"/>
    <col min="10758" max="10760" width="18.85546875" style="35" customWidth="1"/>
    <col min="10761" max="10761" width="15" style="35" bestFit="1" customWidth="1"/>
    <col min="10762" max="10762" width="15.42578125" style="35" customWidth="1"/>
    <col min="10763" max="10763" width="18.140625" style="35" customWidth="1"/>
    <col min="10764" max="10764" width="16.28515625" style="35" customWidth="1"/>
    <col min="10765" max="10765" width="14.28515625" style="35" bestFit="1" customWidth="1"/>
    <col min="10766" max="10766" width="15.42578125" style="35" customWidth="1"/>
    <col min="10767" max="10767" width="18" style="35" customWidth="1"/>
    <col min="10768" max="10768" width="15.42578125" style="35" customWidth="1"/>
    <col min="10769" max="10769" width="18.7109375" style="35" customWidth="1"/>
    <col min="10770" max="10770" width="19.85546875" style="35" customWidth="1"/>
    <col min="10771" max="10772" width="15.42578125" style="35" customWidth="1"/>
    <col min="10773" max="10773" width="19.7109375" style="35" customWidth="1"/>
    <col min="10774" max="10777" width="15.42578125" style="35" customWidth="1"/>
    <col min="10778" max="10778" width="14.28515625" style="35" bestFit="1" customWidth="1"/>
    <col min="10779" max="10788" width="16.7109375" style="35" customWidth="1"/>
    <col min="10789" max="10790" width="20.5703125" style="35" customWidth="1"/>
    <col min="10791" max="10791" width="16.5703125" style="35" bestFit="1" customWidth="1"/>
    <col min="10792" max="10792" width="14.85546875" style="35" bestFit="1" customWidth="1"/>
    <col min="10793" max="11009" width="9.140625" style="35"/>
    <col min="11010" max="11010" width="82.85546875" style="35" customWidth="1"/>
    <col min="11011" max="11011" width="18.85546875" style="35" customWidth="1"/>
    <col min="11012" max="11012" width="17.28515625" style="35" customWidth="1"/>
    <col min="11013" max="11013" width="18.28515625" style="35" customWidth="1"/>
    <col min="11014" max="11016" width="18.85546875" style="35" customWidth="1"/>
    <col min="11017" max="11017" width="15" style="35" bestFit="1" customWidth="1"/>
    <col min="11018" max="11018" width="15.42578125" style="35" customWidth="1"/>
    <col min="11019" max="11019" width="18.140625" style="35" customWidth="1"/>
    <col min="11020" max="11020" width="16.28515625" style="35" customWidth="1"/>
    <col min="11021" max="11021" width="14.28515625" style="35" bestFit="1" customWidth="1"/>
    <col min="11022" max="11022" width="15.42578125" style="35" customWidth="1"/>
    <col min="11023" max="11023" width="18" style="35" customWidth="1"/>
    <col min="11024" max="11024" width="15.42578125" style="35" customWidth="1"/>
    <col min="11025" max="11025" width="18.7109375" style="35" customWidth="1"/>
    <col min="11026" max="11026" width="19.85546875" style="35" customWidth="1"/>
    <col min="11027" max="11028" width="15.42578125" style="35" customWidth="1"/>
    <col min="11029" max="11029" width="19.7109375" style="35" customWidth="1"/>
    <col min="11030" max="11033" width="15.42578125" style="35" customWidth="1"/>
    <col min="11034" max="11034" width="14.28515625" style="35" bestFit="1" customWidth="1"/>
    <col min="11035" max="11044" width="16.7109375" style="35" customWidth="1"/>
    <col min="11045" max="11046" width="20.5703125" style="35" customWidth="1"/>
    <col min="11047" max="11047" width="16.5703125" style="35" bestFit="1" customWidth="1"/>
    <col min="11048" max="11048" width="14.85546875" style="35" bestFit="1" customWidth="1"/>
    <col min="11049" max="11265" width="9.140625" style="35"/>
    <col min="11266" max="11266" width="82.85546875" style="35" customWidth="1"/>
    <col min="11267" max="11267" width="18.85546875" style="35" customWidth="1"/>
    <col min="11268" max="11268" width="17.28515625" style="35" customWidth="1"/>
    <col min="11269" max="11269" width="18.28515625" style="35" customWidth="1"/>
    <col min="11270" max="11272" width="18.85546875" style="35" customWidth="1"/>
    <col min="11273" max="11273" width="15" style="35" bestFit="1" customWidth="1"/>
    <col min="11274" max="11274" width="15.42578125" style="35" customWidth="1"/>
    <col min="11275" max="11275" width="18.140625" style="35" customWidth="1"/>
    <col min="11276" max="11276" width="16.28515625" style="35" customWidth="1"/>
    <col min="11277" max="11277" width="14.28515625" style="35" bestFit="1" customWidth="1"/>
    <col min="11278" max="11278" width="15.42578125" style="35" customWidth="1"/>
    <col min="11279" max="11279" width="18" style="35" customWidth="1"/>
    <col min="11280" max="11280" width="15.42578125" style="35" customWidth="1"/>
    <col min="11281" max="11281" width="18.7109375" style="35" customWidth="1"/>
    <col min="11282" max="11282" width="19.85546875" style="35" customWidth="1"/>
    <col min="11283" max="11284" width="15.42578125" style="35" customWidth="1"/>
    <col min="11285" max="11285" width="19.7109375" style="35" customWidth="1"/>
    <col min="11286" max="11289" width="15.42578125" style="35" customWidth="1"/>
    <col min="11290" max="11290" width="14.28515625" style="35" bestFit="1" customWidth="1"/>
    <col min="11291" max="11300" width="16.7109375" style="35" customWidth="1"/>
    <col min="11301" max="11302" width="20.5703125" style="35" customWidth="1"/>
    <col min="11303" max="11303" width="16.5703125" style="35" bestFit="1" customWidth="1"/>
    <col min="11304" max="11304" width="14.85546875" style="35" bestFit="1" customWidth="1"/>
    <col min="11305" max="11521" width="9.140625" style="35"/>
    <col min="11522" max="11522" width="82.85546875" style="35" customWidth="1"/>
    <col min="11523" max="11523" width="18.85546875" style="35" customWidth="1"/>
    <col min="11524" max="11524" width="17.28515625" style="35" customWidth="1"/>
    <col min="11525" max="11525" width="18.28515625" style="35" customWidth="1"/>
    <col min="11526" max="11528" width="18.85546875" style="35" customWidth="1"/>
    <col min="11529" max="11529" width="15" style="35" bestFit="1" customWidth="1"/>
    <col min="11530" max="11530" width="15.42578125" style="35" customWidth="1"/>
    <col min="11531" max="11531" width="18.140625" style="35" customWidth="1"/>
    <col min="11532" max="11532" width="16.28515625" style="35" customWidth="1"/>
    <col min="11533" max="11533" width="14.28515625" style="35" bestFit="1" customWidth="1"/>
    <col min="11534" max="11534" width="15.42578125" style="35" customWidth="1"/>
    <col min="11535" max="11535" width="18" style="35" customWidth="1"/>
    <col min="11536" max="11536" width="15.42578125" style="35" customWidth="1"/>
    <col min="11537" max="11537" width="18.7109375" style="35" customWidth="1"/>
    <col min="11538" max="11538" width="19.85546875" style="35" customWidth="1"/>
    <col min="11539" max="11540" width="15.42578125" style="35" customWidth="1"/>
    <col min="11541" max="11541" width="19.7109375" style="35" customWidth="1"/>
    <col min="11542" max="11545" width="15.42578125" style="35" customWidth="1"/>
    <col min="11546" max="11546" width="14.28515625" style="35" bestFit="1" customWidth="1"/>
    <col min="11547" max="11556" width="16.7109375" style="35" customWidth="1"/>
    <col min="11557" max="11558" width="20.5703125" style="35" customWidth="1"/>
    <col min="11559" max="11559" width="16.5703125" style="35" bestFit="1" customWidth="1"/>
    <col min="11560" max="11560" width="14.85546875" style="35" bestFit="1" customWidth="1"/>
    <col min="11561" max="11777" width="9.140625" style="35"/>
    <col min="11778" max="11778" width="82.85546875" style="35" customWidth="1"/>
    <col min="11779" max="11779" width="18.85546875" style="35" customWidth="1"/>
    <col min="11780" max="11780" width="17.28515625" style="35" customWidth="1"/>
    <col min="11781" max="11781" width="18.28515625" style="35" customWidth="1"/>
    <col min="11782" max="11784" width="18.85546875" style="35" customWidth="1"/>
    <col min="11785" max="11785" width="15" style="35" bestFit="1" customWidth="1"/>
    <col min="11786" max="11786" width="15.42578125" style="35" customWidth="1"/>
    <col min="11787" max="11787" width="18.140625" style="35" customWidth="1"/>
    <col min="11788" max="11788" width="16.28515625" style="35" customWidth="1"/>
    <col min="11789" max="11789" width="14.28515625" style="35" bestFit="1" customWidth="1"/>
    <col min="11790" max="11790" width="15.42578125" style="35" customWidth="1"/>
    <col min="11791" max="11791" width="18" style="35" customWidth="1"/>
    <col min="11792" max="11792" width="15.42578125" style="35" customWidth="1"/>
    <col min="11793" max="11793" width="18.7109375" style="35" customWidth="1"/>
    <col min="11794" max="11794" width="19.85546875" style="35" customWidth="1"/>
    <col min="11795" max="11796" width="15.42578125" style="35" customWidth="1"/>
    <col min="11797" max="11797" width="19.7109375" style="35" customWidth="1"/>
    <col min="11798" max="11801" width="15.42578125" style="35" customWidth="1"/>
    <col min="11802" max="11802" width="14.28515625" style="35" bestFit="1" customWidth="1"/>
    <col min="11803" max="11812" width="16.7109375" style="35" customWidth="1"/>
    <col min="11813" max="11814" width="20.5703125" style="35" customWidth="1"/>
    <col min="11815" max="11815" width="16.5703125" style="35" bestFit="1" customWidth="1"/>
    <col min="11816" max="11816" width="14.85546875" style="35" bestFit="1" customWidth="1"/>
    <col min="11817" max="12033" width="9.140625" style="35"/>
    <col min="12034" max="12034" width="82.85546875" style="35" customWidth="1"/>
    <col min="12035" max="12035" width="18.85546875" style="35" customWidth="1"/>
    <col min="12036" max="12036" width="17.28515625" style="35" customWidth="1"/>
    <col min="12037" max="12037" width="18.28515625" style="35" customWidth="1"/>
    <col min="12038" max="12040" width="18.85546875" style="35" customWidth="1"/>
    <col min="12041" max="12041" width="15" style="35" bestFit="1" customWidth="1"/>
    <col min="12042" max="12042" width="15.42578125" style="35" customWidth="1"/>
    <col min="12043" max="12043" width="18.140625" style="35" customWidth="1"/>
    <col min="12044" max="12044" width="16.28515625" style="35" customWidth="1"/>
    <col min="12045" max="12045" width="14.28515625" style="35" bestFit="1" customWidth="1"/>
    <col min="12046" max="12046" width="15.42578125" style="35" customWidth="1"/>
    <col min="12047" max="12047" width="18" style="35" customWidth="1"/>
    <col min="12048" max="12048" width="15.42578125" style="35" customWidth="1"/>
    <col min="12049" max="12049" width="18.7109375" style="35" customWidth="1"/>
    <col min="12050" max="12050" width="19.85546875" style="35" customWidth="1"/>
    <col min="12051" max="12052" width="15.42578125" style="35" customWidth="1"/>
    <col min="12053" max="12053" width="19.7109375" style="35" customWidth="1"/>
    <col min="12054" max="12057" width="15.42578125" style="35" customWidth="1"/>
    <col min="12058" max="12058" width="14.28515625" style="35" bestFit="1" customWidth="1"/>
    <col min="12059" max="12068" width="16.7109375" style="35" customWidth="1"/>
    <col min="12069" max="12070" width="20.5703125" style="35" customWidth="1"/>
    <col min="12071" max="12071" width="16.5703125" style="35" bestFit="1" customWidth="1"/>
    <col min="12072" max="12072" width="14.85546875" style="35" bestFit="1" customWidth="1"/>
    <col min="12073" max="12289" width="9.140625" style="35"/>
    <col min="12290" max="12290" width="82.85546875" style="35" customWidth="1"/>
    <col min="12291" max="12291" width="18.85546875" style="35" customWidth="1"/>
    <col min="12292" max="12292" width="17.28515625" style="35" customWidth="1"/>
    <col min="12293" max="12293" width="18.28515625" style="35" customWidth="1"/>
    <col min="12294" max="12296" width="18.85546875" style="35" customWidth="1"/>
    <col min="12297" max="12297" width="15" style="35" bestFit="1" customWidth="1"/>
    <col min="12298" max="12298" width="15.42578125" style="35" customWidth="1"/>
    <col min="12299" max="12299" width="18.140625" style="35" customWidth="1"/>
    <col min="12300" max="12300" width="16.28515625" style="35" customWidth="1"/>
    <col min="12301" max="12301" width="14.28515625" style="35" bestFit="1" customWidth="1"/>
    <col min="12302" max="12302" width="15.42578125" style="35" customWidth="1"/>
    <col min="12303" max="12303" width="18" style="35" customWidth="1"/>
    <col min="12304" max="12304" width="15.42578125" style="35" customWidth="1"/>
    <col min="12305" max="12305" width="18.7109375" style="35" customWidth="1"/>
    <col min="12306" max="12306" width="19.85546875" style="35" customWidth="1"/>
    <col min="12307" max="12308" width="15.42578125" style="35" customWidth="1"/>
    <col min="12309" max="12309" width="19.7109375" style="35" customWidth="1"/>
    <col min="12310" max="12313" width="15.42578125" style="35" customWidth="1"/>
    <col min="12314" max="12314" width="14.28515625" style="35" bestFit="1" customWidth="1"/>
    <col min="12315" max="12324" width="16.7109375" style="35" customWidth="1"/>
    <col min="12325" max="12326" width="20.5703125" style="35" customWidth="1"/>
    <col min="12327" max="12327" width="16.5703125" style="35" bestFit="1" customWidth="1"/>
    <col min="12328" max="12328" width="14.85546875" style="35" bestFit="1" customWidth="1"/>
    <col min="12329" max="12545" width="9.140625" style="35"/>
    <col min="12546" max="12546" width="82.85546875" style="35" customWidth="1"/>
    <col min="12547" max="12547" width="18.85546875" style="35" customWidth="1"/>
    <col min="12548" max="12548" width="17.28515625" style="35" customWidth="1"/>
    <col min="12549" max="12549" width="18.28515625" style="35" customWidth="1"/>
    <col min="12550" max="12552" width="18.85546875" style="35" customWidth="1"/>
    <col min="12553" max="12553" width="15" style="35" bestFit="1" customWidth="1"/>
    <col min="12554" max="12554" width="15.42578125" style="35" customWidth="1"/>
    <col min="12555" max="12555" width="18.140625" style="35" customWidth="1"/>
    <col min="12556" max="12556" width="16.28515625" style="35" customWidth="1"/>
    <col min="12557" max="12557" width="14.28515625" style="35" bestFit="1" customWidth="1"/>
    <col min="12558" max="12558" width="15.42578125" style="35" customWidth="1"/>
    <col min="12559" max="12559" width="18" style="35" customWidth="1"/>
    <col min="12560" max="12560" width="15.42578125" style="35" customWidth="1"/>
    <col min="12561" max="12561" width="18.7109375" style="35" customWidth="1"/>
    <col min="12562" max="12562" width="19.85546875" style="35" customWidth="1"/>
    <col min="12563" max="12564" width="15.42578125" style="35" customWidth="1"/>
    <col min="12565" max="12565" width="19.7109375" style="35" customWidth="1"/>
    <col min="12566" max="12569" width="15.42578125" style="35" customWidth="1"/>
    <col min="12570" max="12570" width="14.28515625" style="35" bestFit="1" customWidth="1"/>
    <col min="12571" max="12580" width="16.7109375" style="35" customWidth="1"/>
    <col min="12581" max="12582" width="20.5703125" style="35" customWidth="1"/>
    <col min="12583" max="12583" width="16.5703125" style="35" bestFit="1" customWidth="1"/>
    <col min="12584" max="12584" width="14.85546875" style="35" bestFit="1" customWidth="1"/>
    <col min="12585" max="12801" width="9.140625" style="35"/>
    <col min="12802" max="12802" width="82.85546875" style="35" customWidth="1"/>
    <col min="12803" max="12803" width="18.85546875" style="35" customWidth="1"/>
    <col min="12804" max="12804" width="17.28515625" style="35" customWidth="1"/>
    <col min="12805" max="12805" width="18.28515625" style="35" customWidth="1"/>
    <col min="12806" max="12808" width="18.85546875" style="35" customWidth="1"/>
    <col min="12809" max="12809" width="15" style="35" bestFit="1" customWidth="1"/>
    <col min="12810" max="12810" width="15.42578125" style="35" customWidth="1"/>
    <col min="12811" max="12811" width="18.140625" style="35" customWidth="1"/>
    <col min="12812" max="12812" width="16.28515625" style="35" customWidth="1"/>
    <col min="12813" max="12813" width="14.28515625" style="35" bestFit="1" customWidth="1"/>
    <col min="12814" max="12814" width="15.42578125" style="35" customWidth="1"/>
    <col min="12815" max="12815" width="18" style="35" customWidth="1"/>
    <col min="12816" max="12816" width="15.42578125" style="35" customWidth="1"/>
    <col min="12817" max="12817" width="18.7109375" style="35" customWidth="1"/>
    <col min="12818" max="12818" width="19.85546875" style="35" customWidth="1"/>
    <col min="12819" max="12820" width="15.42578125" style="35" customWidth="1"/>
    <col min="12821" max="12821" width="19.7109375" style="35" customWidth="1"/>
    <col min="12822" max="12825" width="15.42578125" style="35" customWidth="1"/>
    <col min="12826" max="12826" width="14.28515625" style="35" bestFit="1" customWidth="1"/>
    <col min="12827" max="12836" width="16.7109375" style="35" customWidth="1"/>
    <col min="12837" max="12838" width="20.5703125" style="35" customWidth="1"/>
    <col min="12839" max="12839" width="16.5703125" style="35" bestFit="1" customWidth="1"/>
    <col min="12840" max="12840" width="14.85546875" style="35" bestFit="1" customWidth="1"/>
    <col min="12841" max="13057" width="9.140625" style="35"/>
    <col min="13058" max="13058" width="82.85546875" style="35" customWidth="1"/>
    <col min="13059" max="13059" width="18.85546875" style="35" customWidth="1"/>
    <col min="13060" max="13060" width="17.28515625" style="35" customWidth="1"/>
    <col min="13061" max="13061" width="18.28515625" style="35" customWidth="1"/>
    <col min="13062" max="13064" width="18.85546875" style="35" customWidth="1"/>
    <col min="13065" max="13065" width="15" style="35" bestFit="1" customWidth="1"/>
    <col min="13066" max="13066" width="15.42578125" style="35" customWidth="1"/>
    <col min="13067" max="13067" width="18.140625" style="35" customWidth="1"/>
    <col min="13068" max="13068" width="16.28515625" style="35" customWidth="1"/>
    <col min="13069" max="13069" width="14.28515625" style="35" bestFit="1" customWidth="1"/>
    <col min="13070" max="13070" width="15.42578125" style="35" customWidth="1"/>
    <col min="13071" max="13071" width="18" style="35" customWidth="1"/>
    <col min="13072" max="13072" width="15.42578125" style="35" customWidth="1"/>
    <col min="13073" max="13073" width="18.7109375" style="35" customWidth="1"/>
    <col min="13074" max="13074" width="19.85546875" style="35" customWidth="1"/>
    <col min="13075" max="13076" width="15.42578125" style="35" customWidth="1"/>
    <col min="13077" max="13077" width="19.7109375" style="35" customWidth="1"/>
    <col min="13078" max="13081" width="15.42578125" style="35" customWidth="1"/>
    <col min="13082" max="13082" width="14.28515625" style="35" bestFit="1" customWidth="1"/>
    <col min="13083" max="13092" width="16.7109375" style="35" customWidth="1"/>
    <col min="13093" max="13094" width="20.5703125" style="35" customWidth="1"/>
    <col min="13095" max="13095" width="16.5703125" style="35" bestFit="1" customWidth="1"/>
    <col min="13096" max="13096" width="14.85546875" style="35" bestFit="1" customWidth="1"/>
    <col min="13097" max="13313" width="9.140625" style="35"/>
    <col min="13314" max="13314" width="82.85546875" style="35" customWidth="1"/>
    <col min="13315" max="13315" width="18.85546875" style="35" customWidth="1"/>
    <col min="13316" max="13316" width="17.28515625" style="35" customWidth="1"/>
    <col min="13317" max="13317" width="18.28515625" style="35" customWidth="1"/>
    <col min="13318" max="13320" width="18.85546875" style="35" customWidth="1"/>
    <col min="13321" max="13321" width="15" style="35" bestFit="1" customWidth="1"/>
    <col min="13322" max="13322" width="15.42578125" style="35" customWidth="1"/>
    <col min="13323" max="13323" width="18.140625" style="35" customWidth="1"/>
    <col min="13324" max="13324" width="16.28515625" style="35" customWidth="1"/>
    <col min="13325" max="13325" width="14.28515625" style="35" bestFit="1" customWidth="1"/>
    <col min="13326" max="13326" width="15.42578125" style="35" customWidth="1"/>
    <col min="13327" max="13327" width="18" style="35" customWidth="1"/>
    <col min="13328" max="13328" width="15.42578125" style="35" customWidth="1"/>
    <col min="13329" max="13329" width="18.7109375" style="35" customWidth="1"/>
    <col min="13330" max="13330" width="19.85546875" style="35" customWidth="1"/>
    <col min="13331" max="13332" width="15.42578125" style="35" customWidth="1"/>
    <col min="13333" max="13333" width="19.7109375" style="35" customWidth="1"/>
    <col min="13334" max="13337" width="15.42578125" style="35" customWidth="1"/>
    <col min="13338" max="13338" width="14.28515625" style="35" bestFit="1" customWidth="1"/>
    <col min="13339" max="13348" width="16.7109375" style="35" customWidth="1"/>
    <col min="13349" max="13350" width="20.5703125" style="35" customWidth="1"/>
    <col min="13351" max="13351" width="16.5703125" style="35" bestFit="1" customWidth="1"/>
    <col min="13352" max="13352" width="14.85546875" style="35" bestFit="1" customWidth="1"/>
    <col min="13353" max="13569" width="9.140625" style="35"/>
    <col min="13570" max="13570" width="82.85546875" style="35" customWidth="1"/>
    <col min="13571" max="13571" width="18.85546875" style="35" customWidth="1"/>
    <col min="13572" max="13572" width="17.28515625" style="35" customWidth="1"/>
    <col min="13573" max="13573" width="18.28515625" style="35" customWidth="1"/>
    <col min="13574" max="13576" width="18.85546875" style="35" customWidth="1"/>
    <col min="13577" max="13577" width="15" style="35" bestFit="1" customWidth="1"/>
    <col min="13578" max="13578" width="15.42578125" style="35" customWidth="1"/>
    <col min="13579" max="13579" width="18.140625" style="35" customWidth="1"/>
    <col min="13580" max="13580" width="16.28515625" style="35" customWidth="1"/>
    <col min="13581" max="13581" width="14.28515625" style="35" bestFit="1" customWidth="1"/>
    <col min="13582" max="13582" width="15.42578125" style="35" customWidth="1"/>
    <col min="13583" max="13583" width="18" style="35" customWidth="1"/>
    <col min="13584" max="13584" width="15.42578125" style="35" customWidth="1"/>
    <col min="13585" max="13585" width="18.7109375" style="35" customWidth="1"/>
    <col min="13586" max="13586" width="19.85546875" style="35" customWidth="1"/>
    <col min="13587" max="13588" width="15.42578125" style="35" customWidth="1"/>
    <col min="13589" max="13589" width="19.7109375" style="35" customWidth="1"/>
    <col min="13590" max="13593" width="15.42578125" style="35" customWidth="1"/>
    <col min="13594" max="13594" width="14.28515625" style="35" bestFit="1" customWidth="1"/>
    <col min="13595" max="13604" width="16.7109375" style="35" customWidth="1"/>
    <col min="13605" max="13606" width="20.5703125" style="35" customWidth="1"/>
    <col min="13607" max="13607" width="16.5703125" style="35" bestFit="1" customWidth="1"/>
    <col min="13608" max="13608" width="14.85546875" style="35" bestFit="1" customWidth="1"/>
    <col min="13609" max="13825" width="9.140625" style="35"/>
    <col min="13826" max="13826" width="82.85546875" style="35" customWidth="1"/>
    <col min="13827" max="13827" width="18.85546875" style="35" customWidth="1"/>
    <col min="13828" max="13828" width="17.28515625" style="35" customWidth="1"/>
    <col min="13829" max="13829" width="18.28515625" style="35" customWidth="1"/>
    <col min="13830" max="13832" width="18.85546875" style="35" customWidth="1"/>
    <col min="13833" max="13833" width="15" style="35" bestFit="1" customWidth="1"/>
    <col min="13834" max="13834" width="15.42578125" style="35" customWidth="1"/>
    <col min="13835" max="13835" width="18.140625" style="35" customWidth="1"/>
    <col min="13836" max="13836" width="16.28515625" style="35" customWidth="1"/>
    <col min="13837" max="13837" width="14.28515625" style="35" bestFit="1" customWidth="1"/>
    <col min="13838" max="13838" width="15.42578125" style="35" customWidth="1"/>
    <col min="13839" max="13839" width="18" style="35" customWidth="1"/>
    <col min="13840" max="13840" width="15.42578125" style="35" customWidth="1"/>
    <col min="13841" max="13841" width="18.7109375" style="35" customWidth="1"/>
    <col min="13842" max="13842" width="19.85546875" style="35" customWidth="1"/>
    <col min="13843" max="13844" width="15.42578125" style="35" customWidth="1"/>
    <col min="13845" max="13845" width="19.7109375" style="35" customWidth="1"/>
    <col min="13846" max="13849" width="15.42578125" style="35" customWidth="1"/>
    <col min="13850" max="13850" width="14.28515625" style="35" bestFit="1" customWidth="1"/>
    <col min="13851" max="13860" width="16.7109375" style="35" customWidth="1"/>
    <col min="13861" max="13862" width="20.5703125" style="35" customWidth="1"/>
    <col min="13863" max="13863" width="16.5703125" style="35" bestFit="1" customWidth="1"/>
    <col min="13864" max="13864" width="14.85546875" style="35" bestFit="1" customWidth="1"/>
    <col min="13865" max="14081" width="9.140625" style="35"/>
    <col min="14082" max="14082" width="82.85546875" style="35" customWidth="1"/>
    <col min="14083" max="14083" width="18.85546875" style="35" customWidth="1"/>
    <col min="14084" max="14084" width="17.28515625" style="35" customWidth="1"/>
    <col min="14085" max="14085" width="18.28515625" style="35" customWidth="1"/>
    <col min="14086" max="14088" width="18.85546875" style="35" customWidth="1"/>
    <col min="14089" max="14089" width="15" style="35" bestFit="1" customWidth="1"/>
    <col min="14090" max="14090" width="15.42578125" style="35" customWidth="1"/>
    <col min="14091" max="14091" width="18.140625" style="35" customWidth="1"/>
    <col min="14092" max="14092" width="16.28515625" style="35" customWidth="1"/>
    <col min="14093" max="14093" width="14.28515625" style="35" bestFit="1" customWidth="1"/>
    <col min="14094" max="14094" width="15.42578125" style="35" customWidth="1"/>
    <col min="14095" max="14095" width="18" style="35" customWidth="1"/>
    <col min="14096" max="14096" width="15.42578125" style="35" customWidth="1"/>
    <col min="14097" max="14097" width="18.7109375" style="35" customWidth="1"/>
    <col min="14098" max="14098" width="19.85546875" style="35" customWidth="1"/>
    <col min="14099" max="14100" width="15.42578125" style="35" customWidth="1"/>
    <col min="14101" max="14101" width="19.7109375" style="35" customWidth="1"/>
    <col min="14102" max="14105" width="15.42578125" style="35" customWidth="1"/>
    <col min="14106" max="14106" width="14.28515625" style="35" bestFit="1" customWidth="1"/>
    <col min="14107" max="14116" width="16.7109375" style="35" customWidth="1"/>
    <col min="14117" max="14118" width="20.5703125" style="35" customWidth="1"/>
    <col min="14119" max="14119" width="16.5703125" style="35" bestFit="1" customWidth="1"/>
    <col min="14120" max="14120" width="14.85546875" style="35" bestFit="1" customWidth="1"/>
    <col min="14121" max="14337" width="9.140625" style="35"/>
    <col min="14338" max="14338" width="82.85546875" style="35" customWidth="1"/>
    <col min="14339" max="14339" width="18.85546875" style="35" customWidth="1"/>
    <col min="14340" max="14340" width="17.28515625" style="35" customWidth="1"/>
    <col min="14341" max="14341" width="18.28515625" style="35" customWidth="1"/>
    <col min="14342" max="14344" width="18.85546875" style="35" customWidth="1"/>
    <col min="14345" max="14345" width="15" style="35" bestFit="1" customWidth="1"/>
    <col min="14346" max="14346" width="15.42578125" style="35" customWidth="1"/>
    <col min="14347" max="14347" width="18.140625" style="35" customWidth="1"/>
    <col min="14348" max="14348" width="16.28515625" style="35" customWidth="1"/>
    <col min="14349" max="14349" width="14.28515625" style="35" bestFit="1" customWidth="1"/>
    <col min="14350" max="14350" width="15.42578125" style="35" customWidth="1"/>
    <col min="14351" max="14351" width="18" style="35" customWidth="1"/>
    <col min="14352" max="14352" width="15.42578125" style="35" customWidth="1"/>
    <col min="14353" max="14353" width="18.7109375" style="35" customWidth="1"/>
    <col min="14354" max="14354" width="19.85546875" style="35" customWidth="1"/>
    <col min="14355" max="14356" width="15.42578125" style="35" customWidth="1"/>
    <col min="14357" max="14357" width="19.7109375" style="35" customWidth="1"/>
    <col min="14358" max="14361" width="15.42578125" style="35" customWidth="1"/>
    <col min="14362" max="14362" width="14.28515625" style="35" bestFit="1" customWidth="1"/>
    <col min="14363" max="14372" width="16.7109375" style="35" customWidth="1"/>
    <col min="14373" max="14374" width="20.5703125" style="35" customWidth="1"/>
    <col min="14375" max="14375" width="16.5703125" style="35" bestFit="1" customWidth="1"/>
    <col min="14376" max="14376" width="14.85546875" style="35" bestFit="1" customWidth="1"/>
    <col min="14377" max="14593" width="9.140625" style="35"/>
    <col min="14594" max="14594" width="82.85546875" style="35" customWidth="1"/>
    <col min="14595" max="14595" width="18.85546875" style="35" customWidth="1"/>
    <col min="14596" max="14596" width="17.28515625" style="35" customWidth="1"/>
    <col min="14597" max="14597" width="18.28515625" style="35" customWidth="1"/>
    <col min="14598" max="14600" width="18.85546875" style="35" customWidth="1"/>
    <col min="14601" max="14601" width="15" style="35" bestFit="1" customWidth="1"/>
    <col min="14602" max="14602" width="15.42578125" style="35" customWidth="1"/>
    <col min="14603" max="14603" width="18.140625" style="35" customWidth="1"/>
    <col min="14604" max="14604" width="16.28515625" style="35" customWidth="1"/>
    <col min="14605" max="14605" width="14.28515625" style="35" bestFit="1" customWidth="1"/>
    <col min="14606" max="14606" width="15.42578125" style="35" customWidth="1"/>
    <col min="14607" max="14607" width="18" style="35" customWidth="1"/>
    <col min="14608" max="14608" width="15.42578125" style="35" customWidth="1"/>
    <col min="14609" max="14609" width="18.7109375" style="35" customWidth="1"/>
    <col min="14610" max="14610" width="19.85546875" style="35" customWidth="1"/>
    <col min="14611" max="14612" width="15.42578125" style="35" customWidth="1"/>
    <col min="14613" max="14613" width="19.7109375" style="35" customWidth="1"/>
    <col min="14614" max="14617" width="15.42578125" style="35" customWidth="1"/>
    <col min="14618" max="14618" width="14.28515625" style="35" bestFit="1" customWidth="1"/>
    <col min="14619" max="14628" width="16.7109375" style="35" customWidth="1"/>
    <col min="14629" max="14630" width="20.5703125" style="35" customWidth="1"/>
    <col min="14631" max="14631" width="16.5703125" style="35" bestFit="1" customWidth="1"/>
    <col min="14632" max="14632" width="14.85546875" style="35" bestFit="1" customWidth="1"/>
    <col min="14633" max="14849" width="9.140625" style="35"/>
    <col min="14850" max="14850" width="82.85546875" style="35" customWidth="1"/>
    <col min="14851" max="14851" width="18.85546875" style="35" customWidth="1"/>
    <col min="14852" max="14852" width="17.28515625" style="35" customWidth="1"/>
    <col min="14853" max="14853" width="18.28515625" style="35" customWidth="1"/>
    <col min="14854" max="14856" width="18.85546875" style="35" customWidth="1"/>
    <col min="14857" max="14857" width="15" style="35" bestFit="1" customWidth="1"/>
    <col min="14858" max="14858" width="15.42578125" style="35" customWidth="1"/>
    <col min="14859" max="14859" width="18.140625" style="35" customWidth="1"/>
    <col min="14860" max="14860" width="16.28515625" style="35" customWidth="1"/>
    <col min="14861" max="14861" width="14.28515625" style="35" bestFit="1" customWidth="1"/>
    <col min="14862" max="14862" width="15.42578125" style="35" customWidth="1"/>
    <col min="14863" max="14863" width="18" style="35" customWidth="1"/>
    <col min="14864" max="14864" width="15.42578125" style="35" customWidth="1"/>
    <col min="14865" max="14865" width="18.7109375" style="35" customWidth="1"/>
    <col min="14866" max="14866" width="19.85546875" style="35" customWidth="1"/>
    <col min="14867" max="14868" width="15.42578125" style="35" customWidth="1"/>
    <col min="14869" max="14869" width="19.7109375" style="35" customWidth="1"/>
    <col min="14870" max="14873" width="15.42578125" style="35" customWidth="1"/>
    <col min="14874" max="14874" width="14.28515625" style="35" bestFit="1" customWidth="1"/>
    <col min="14875" max="14884" width="16.7109375" style="35" customWidth="1"/>
    <col min="14885" max="14886" width="20.5703125" style="35" customWidth="1"/>
    <col min="14887" max="14887" width="16.5703125" style="35" bestFit="1" customWidth="1"/>
    <col min="14888" max="14888" width="14.85546875" style="35" bestFit="1" customWidth="1"/>
    <col min="14889" max="15105" width="9.140625" style="35"/>
    <col min="15106" max="15106" width="82.85546875" style="35" customWidth="1"/>
    <col min="15107" max="15107" width="18.85546875" style="35" customWidth="1"/>
    <col min="15108" max="15108" width="17.28515625" style="35" customWidth="1"/>
    <col min="15109" max="15109" width="18.28515625" style="35" customWidth="1"/>
    <col min="15110" max="15112" width="18.85546875" style="35" customWidth="1"/>
    <col min="15113" max="15113" width="15" style="35" bestFit="1" customWidth="1"/>
    <col min="15114" max="15114" width="15.42578125" style="35" customWidth="1"/>
    <col min="15115" max="15115" width="18.140625" style="35" customWidth="1"/>
    <col min="15116" max="15116" width="16.28515625" style="35" customWidth="1"/>
    <col min="15117" max="15117" width="14.28515625" style="35" bestFit="1" customWidth="1"/>
    <col min="15118" max="15118" width="15.42578125" style="35" customWidth="1"/>
    <col min="15119" max="15119" width="18" style="35" customWidth="1"/>
    <col min="15120" max="15120" width="15.42578125" style="35" customWidth="1"/>
    <col min="15121" max="15121" width="18.7109375" style="35" customWidth="1"/>
    <col min="15122" max="15122" width="19.85546875" style="35" customWidth="1"/>
    <col min="15123" max="15124" width="15.42578125" style="35" customWidth="1"/>
    <col min="15125" max="15125" width="19.7109375" style="35" customWidth="1"/>
    <col min="15126" max="15129" width="15.42578125" style="35" customWidth="1"/>
    <col min="15130" max="15130" width="14.28515625" style="35" bestFit="1" customWidth="1"/>
    <col min="15131" max="15140" width="16.7109375" style="35" customWidth="1"/>
    <col min="15141" max="15142" width="20.5703125" style="35" customWidth="1"/>
    <col min="15143" max="15143" width="16.5703125" style="35" bestFit="1" customWidth="1"/>
    <col min="15144" max="15144" width="14.85546875" style="35" bestFit="1" customWidth="1"/>
    <col min="15145" max="15361" width="9.140625" style="35"/>
    <col min="15362" max="15362" width="82.85546875" style="35" customWidth="1"/>
    <col min="15363" max="15363" width="18.85546875" style="35" customWidth="1"/>
    <col min="15364" max="15364" width="17.28515625" style="35" customWidth="1"/>
    <col min="15365" max="15365" width="18.28515625" style="35" customWidth="1"/>
    <col min="15366" max="15368" width="18.85546875" style="35" customWidth="1"/>
    <col min="15369" max="15369" width="15" style="35" bestFit="1" customWidth="1"/>
    <col min="15370" max="15370" width="15.42578125" style="35" customWidth="1"/>
    <col min="15371" max="15371" width="18.140625" style="35" customWidth="1"/>
    <col min="15372" max="15372" width="16.28515625" style="35" customWidth="1"/>
    <col min="15373" max="15373" width="14.28515625" style="35" bestFit="1" customWidth="1"/>
    <col min="15374" max="15374" width="15.42578125" style="35" customWidth="1"/>
    <col min="15375" max="15375" width="18" style="35" customWidth="1"/>
    <col min="15376" max="15376" width="15.42578125" style="35" customWidth="1"/>
    <col min="15377" max="15377" width="18.7109375" style="35" customWidth="1"/>
    <col min="15378" max="15378" width="19.85546875" style="35" customWidth="1"/>
    <col min="15379" max="15380" width="15.42578125" style="35" customWidth="1"/>
    <col min="15381" max="15381" width="19.7109375" style="35" customWidth="1"/>
    <col min="15382" max="15385" width="15.42578125" style="35" customWidth="1"/>
    <col min="15386" max="15386" width="14.28515625" style="35" bestFit="1" customWidth="1"/>
    <col min="15387" max="15396" width="16.7109375" style="35" customWidth="1"/>
    <col min="15397" max="15398" width="20.5703125" style="35" customWidth="1"/>
    <col min="15399" max="15399" width="16.5703125" style="35" bestFit="1" customWidth="1"/>
    <col min="15400" max="15400" width="14.85546875" style="35" bestFit="1" customWidth="1"/>
    <col min="15401" max="15617" width="9.140625" style="35"/>
    <col min="15618" max="15618" width="82.85546875" style="35" customWidth="1"/>
    <col min="15619" max="15619" width="18.85546875" style="35" customWidth="1"/>
    <col min="15620" max="15620" width="17.28515625" style="35" customWidth="1"/>
    <col min="15621" max="15621" width="18.28515625" style="35" customWidth="1"/>
    <col min="15622" max="15624" width="18.85546875" style="35" customWidth="1"/>
    <col min="15625" max="15625" width="15" style="35" bestFit="1" customWidth="1"/>
    <col min="15626" max="15626" width="15.42578125" style="35" customWidth="1"/>
    <col min="15627" max="15627" width="18.140625" style="35" customWidth="1"/>
    <col min="15628" max="15628" width="16.28515625" style="35" customWidth="1"/>
    <col min="15629" max="15629" width="14.28515625" style="35" bestFit="1" customWidth="1"/>
    <col min="15630" max="15630" width="15.42578125" style="35" customWidth="1"/>
    <col min="15631" max="15631" width="18" style="35" customWidth="1"/>
    <col min="15632" max="15632" width="15.42578125" style="35" customWidth="1"/>
    <col min="15633" max="15633" width="18.7109375" style="35" customWidth="1"/>
    <col min="15634" max="15634" width="19.85546875" style="35" customWidth="1"/>
    <col min="15635" max="15636" width="15.42578125" style="35" customWidth="1"/>
    <col min="15637" max="15637" width="19.7109375" style="35" customWidth="1"/>
    <col min="15638" max="15641" width="15.42578125" style="35" customWidth="1"/>
    <col min="15642" max="15642" width="14.28515625" style="35" bestFit="1" customWidth="1"/>
    <col min="15643" max="15652" width="16.7109375" style="35" customWidth="1"/>
    <col min="15653" max="15654" width="20.5703125" style="35" customWidth="1"/>
    <col min="15655" max="15655" width="16.5703125" style="35" bestFit="1" customWidth="1"/>
    <col min="15656" max="15656" width="14.85546875" style="35" bestFit="1" customWidth="1"/>
    <col min="15657" max="15873" width="9.140625" style="35"/>
    <col min="15874" max="15874" width="82.85546875" style="35" customWidth="1"/>
    <col min="15875" max="15875" width="18.85546875" style="35" customWidth="1"/>
    <col min="15876" max="15876" width="17.28515625" style="35" customWidth="1"/>
    <col min="15877" max="15877" width="18.28515625" style="35" customWidth="1"/>
    <col min="15878" max="15880" width="18.85546875" style="35" customWidth="1"/>
    <col min="15881" max="15881" width="15" style="35" bestFit="1" customWidth="1"/>
    <col min="15882" max="15882" width="15.42578125" style="35" customWidth="1"/>
    <col min="15883" max="15883" width="18.140625" style="35" customWidth="1"/>
    <col min="15884" max="15884" width="16.28515625" style="35" customWidth="1"/>
    <col min="15885" max="15885" width="14.28515625" style="35" bestFit="1" customWidth="1"/>
    <col min="15886" max="15886" width="15.42578125" style="35" customWidth="1"/>
    <col min="15887" max="15887" width="18" style="35" customWidth="1"/>
    <col min="15888" max="15888" width="15.42578125" style="35" customWidth="1"/>
    <col min="15889" max="15889" width="18.7109375" style="35" customWidth="1"/>
    <col min="15890" max="15890" width="19.85546875" style="35" customWidth="1"/>
    <col min="15891" max="15892" width="15.42578125" style="35" customWidth="1"/>
    <col min="15893" max="15893" width="19.7109375" style="35" customWidth="1"/>
    <col min="15894" max="15897" width="15.42578125" style="35" customWidth="1"/>
    <col min="15898" max="15898" width="14.28515625" style="35" bestFit="1" customWidth="1"/>
    <col min="15899" max="15908" width="16.7109375" style="35" customWidth="1"/>
    <col min="15909" max="15910" width="20.5703125" style="35" customWidth="1"/>
    <col min="15911" max="15911" width="16.5703125" style="35" bestFit="1" customWidth="1"/>
    <col min="15912" max="15912" width="14.85546875" style="35" bestFit="1" customWidth="1"/>
    <col min="15913" max="16129" width="9.140625" style="35"/>
    <col min="16130" max="16130" width="82.85546875" style="35" customWidth="1"/>
    <col min="16131" max="16131" width="18.85546875" style="35" customWidth="1"/>
    <col min="16132" max="16132" width="17.28515625" style="35" customWidth="1"/>
    <col min="16133" max="16133" width="18.28515625" style="35" customWidth="1"/>
    <col min="16134" max="16136" width="18.85546875" style="35" customWidth="1"/>
    <col min="16137" max="16137" width="15" style="35" bestFit="1" customWidth="1"/>
    <col min="16138" max="16138" width="15.42578125" style="35" customWidth="1"/>
    <col min="16139" max="16139" width="18.140625" style="35" customWidth="1"/>
    <col min="16140" max="16140" width="16.28515625" style="35" customWidth="1"/>
    <col min="16141" max="16141" width="14.28515625" style="35" bestFit="1" customWidth="1"/>
    <col min="16142" max="16142" width="15.42578125" style="35" customWidth="1"/>
    <col min="16143" max="16143" width="18" style="35" customWidth="1"/>
    <col min="16144" max="16144" width="15.42578125" style="35" customWidth="1"/>
    <col min="16145" max="16145" width="18.7109375" style="35" customWidth="1"/>
    <col min="16146" max="16146" width="19.85546875" style="35" customWidth="1"/>
    <col min="16147" max="16148" width="15.42578125" style="35" customWidth="1"/>
    <col min="16149" max="16149" width="19.7109375" style="35" customWidth="1"/>
    <col min="16150" max="16153" width="15.42578125" style="35" customWidth="1"/>
    <col min="16154" max="16154" width="14.28515625" style="35" bestFit="1" customWidth="1"/>
    <col min="16155" max="16164" width="16.7109375" style="35" customWidth="1"/>
    <col min="16165" max="16166" width="20.5703125" style="35" customWidth="1"/>
    <col min="16167" max="16167" width="16.5703125" style="35" bestFit="1" customWidth="1"/>
    <col min="16168" max="16168" width="14.85546875" style="35" bestFit="1" customWidth="1"/>
    <col min="16169" max="16384" width="9.140625" style="35"/>
  </cols>
  <sheetData>
    <row r="1" spans="1:53" ht="20.25" x14ac:dyDescent="0.3">
      <c r="A1" s="127" t="s">
        <v>413</v>
      </c>
      <c r="C1" s="39"/>
      <c r="N1" s="35"/>
    </row>
    <row r="2" spans="1:53" ht="20.25" x14ac:dyDescent="0.3">
      <c r="A2" s="127" t="s">
        <v>422</v>
      </c>
      <c r="N2" s="35"/>
    </row>
    <row r="3" spans="1:53" x14ac:dyDescent="0.2">
      <c r="A3" s="35" t="s">
        <v>31</v>
      </c>
      <c r="N3" s="35"/>
    </row>
    <row r="4" spans="1:53" x14ac:dyDescent="0.2">
      <c r="N4" s="35"/>
    </row>
    <row r="5" spans="1:53" ht="198.75" customHeight="1" thickBot="1" x14ac:dyDescent="0.25">
      <c r="A5" s="362" t="s">
        <v>79</v>
      </c>
      <c r="B5" s="522"/>
      <c r="C5" s="314" t="s">
        <v>423</v>
      </c>
      <c r="D5" s="314" t="s">
        <v>424</v>
      </c>
      <c r="E5" s="315"/>
      <c r="F5" s="312"/>
      <c r="G5" s="313" t="s">
        <v>425</v>
      </c>
      <c r="H5" s="314" t="s">
        <v>426</v>
      </c>
      <c r="I5" s="314" t="s">
        <v>427</v>
      </c>
      <c r="J5" s="314" t="s">
        <v>428</v>
      </c>
      <c r="K5" s="314" t="s">
        <v>429</v>
      </c>
      <c r="L5" s="314" t="s">
        <v>430</v>
      </c>
      <c r="M5" s="314" t="s">
        <v>431</v>
      </c>
      <c r="N5" s="314" t="s">
        <v>432</v>
      </c>
      <c r="O5" s="314" t="s">
        <v>433</v>
      </c>
      <c r="P5" s="314" t="s">
        <v>434</v>
      </c>
      <c r="Q5" s="314" t="s">
        <v>435</v>
      </c>
      <c r="R5" s="523"/>
      <c r="S5" s="524"/>
      <c r="T5" s="314" t="s">
        <v>436</v>
      </c>
      <c r="U5" s="314" t="s">
        <v>437</v>
      </c>
      <c r="V5" s="314" t="s">
        <v>438</v>
      </c>
      <c r="W5" s="314" t="s">
        <v>439</v>
      </c>
      <c r="X5" s="314" t="s">
        <v>440</v>
      </c>
      <c r="Y5" s="314" t="s">
        <v>441</v>
      </c>
      <c r="Z5" s="314" t="s">
        <v>442</v>
      </c>
      <c r="AA5" s="314" t="s">
        <v>352</v>
      </c>
      <c r="AB5" s="314" t="s">
        <v>443</v>
      </c>
      <c r="AC5" s="314" t="s">
        <v>444</v>
      </c>
      <c r="AD5" s="314" t="s">
        <v>445</v>
      </c>
      <c r="AE5" s="314" t="s">
        <v>446</v>
      </c>
      <c r="AF5" s="314" t="s">
        <v>447</v>
      </c>
      <c r="AG5" s="314" t="s">
        <v>448</v>
      </c>
      <c r="AH5" s="314" t="s">
        <v>449</v>
      </c>
      <c r="AI5" s="314" t="s">
        <v>300</v>
      </c>
      <c r="AJ5" s="314" t="s">
        <v>450</v>
      </c>
      <c r="AK5" s="314" t="s">
        <v>451</v>
      </c>
      <c r="AL5" s="314" t="s">
        <v>452</v>
      </c>
      <c r="AM5" s="314" t="s">
        <v>453</v>
      </c>
      <c r="AN5" s="314" t="s">
        <v>454</v>
      </c>
      <c r="AO5" s="314" t="s">
        <v>455</v>
      </c>
      <c r="AP5" s="314" t="s">
        <v>456</v>
      </c>
      <c r="AQ5" s="314" t="s">
        <v>457</v>
      </c>
      <c r="AR5" s="314" t="s">
        <v>458</v>
      </c>
      <c r="AS5" s="314" t="s">
        <v>459</v>
      </c>
      <c r="AT5" s="314" t="s">
        <v>460</v>
      </c>
      <c r="AU5" s="314" t="s">
        <v>461</v>
      </c>
      <c r="AV5" s="314" t="s">
        <v>556</v>
      </c>
      <c r="AW5" s="314" t="s">
        <v>374</v>
      </c>
      <c r="AX5" s="314" t="s">
        <v>462</v>
      </c>
      <c r="AY5" s="314" t="s">
        <v>463</v>
      </c>
      <c r="AZ5" s="315"/>
      <c r="BA5" s="312"/>
    </row>
    <row r="6" spans="1:53" ht="15" x14ac:dyDescent="0.25">
      <c r="A6" s="316"/>
      <c r="B6" s="363" t="s">
        <v>103</v>
      </c>
      <c r="C6" s="319"/>
      <c r="D6" s="319"/>
      <c r="E6" s="320" t="s">
        <v>353</v>
      </c>
      <c r="F6" s="317" t="s">
        <v>104</v>
      </c>
      <c r="G6" s="318"/>
      <c r="H6" s="319"/>
      <c r="I6" s="319"/>
      <c r="J6" s="319"/>
      <c r="K6" s="319"/>
      <c r="L6" s="319"/>
      <c r="M6" s="319"/>
      <c r="N6" s="319"/>
      <c r="O6" s="319"/>
      <c r="P6" s="319"/>
      <c r="Q6" s="319"/>
      <c r="R6" s="320" t="s">
        <v>354</v>
      </c>
      <c r="S6" s="317" t="s">
        <v>355</v>
      </c>
      <c r="T6" s="319"/>
      <c r="U6" s="319"/>
      <c r="V6" s="319"/>
      <c r="W6" s="319"/>
      <c r="X6" s="319"/>
      <c r="Y6" s="319"/>
      <c r="Z6" s="319"/>
      <c r="AA6" s="319"/>
      <c r="AB6" s="319"/>
      <c r="AC6" s="319"/>
      <c r="AD6" s="319"/>
      <c r="AE6" s="319"/>
      <c r="AF6" s="319"/>
      <c r="AG6" s="319"/>
      <c r="AH6" s="319"/>
      <c r="AI6" s="319"/>
      <c r="AJ6" s="319"/>
      <c r="AK6" s="319"/>
      <c r="AL6" s="319"/>
      <c r="AM6" s="319"/>
      <c r="AN6" s="319"/>
      <c r="AO6" s="319"/>
      <c r="AP6" s="319"/>
      <c r="AQ6" s="319"/>
      <c r="AR6" s="319"/>
      <c r="AS6" s="319"/>
      <c r="AT6" s="319"/>
      <c r="AU6" s="319"/>
      <c r="AV6" s="319"/>
      <c r="AW6" s="319"/>
      <c r="AX6" s="319"/>
      <c r="AY6" s="319"/>
      <c r="AZ6" s="320" t="s">
        <v>356</v>
      </c>
      <c r="BA6" s="317" t="s">
        <v>400</v>
      </c>
    </row>
    <row r="7" spans="1:53" ht="15" x14ac:dyDescent="0.25">
      <c r="A7" s="316"/>
      <c r="B7" s="364" t="s">
        <v>464</v>
      </c>
      <c r="C7" s="322" t="s">
        <v>243</v>
      </c>
      <c r="D7" s="322" t="s">
        <v>244</v>
      </c>
      <c r="E7" s="323" t="s">
        <v>106</v>
      </c>
      <c r="F7" s="321" t="s">
        <v>105</v>
      </c>
      <c r="G7" s="63" t="s">
        <v>245</v>
      </c>
      <c r="H7" s="322" t="s">
        <v>257</v>
      </c>
      <c r="I7" s="322" t="s">
        <v>258</v>
      </c>
      <c r="J7" s="322" t="s">
        <v>259</v>
      </c>
      <c r="K7" s="322" t="s">
        <v>261</v>
      </c>
      <c r="L7" s="322" t="s">
        <v>262</v>
      </c>
      <c r="M7" s="322" t="s">
        <v>263</v>
      </c>
      <c r="N7" s="322" t="s">
        <v>264</v>
      </c>
      <c r="O7" s="322" t="s">
        <v>267</v>
      </c>
      <c r="P7" s="322" t="s">
        <v>268</v>
      </c>
      <c r="Q7" s="322" t="s">
        <v>269</v>
      </c>
      <c r="R7" s="323" t="s">
        <v>357</v>
      </c>
      <c r="S7" s="321">
        <v>2020</v>
      </c>
      <c r="T7" s="322" t="s">
        <v>465</v>
      </c>
      <c r="U7" s="322" t="s">
        <v>466</v>
      </c>
      <c r="V7" s="322" t="s">
        <v>270</v>
      </c>
      <c r="W7" s="322" t="s">
        <v>271</v>
      </c>
      <c r="X7" s="322" t="s">
        <v>272</v>
      </c>
      <c r="Y7" s="322" t="s">
        <v>273</v>
      </c>
      <c r="Z7" s="322" t="s">
        <v>274</v>
      </c>
      <c r="AA7" s="322" t="s">
        <v>266</v>
      </c>
      <c r="AB7" s="322" t="s">
        <v>275</v>
      </c>
      <c r="AC7" s="322" t="s">
        <v>276</v>
      </c>
      <c r="AD7" s="322" t="s">
        <v>277</v>
      </c>
      <c r="AE7" s="322" t="s">
        <v>260</v>
      </c>
      <c r="AF7" s="322" t="s">
        <v>278</v>
      </c>
      <c r="AG7" s="322" t="s">
        <v>279</v>
      </c>
      <c r="AH7" s="322" t="s">
        <v>280</v>
      </c>
      <c r="AI7" s="322" t="s">
        <v>281</v>
      </c>
      <c r="AJ7" s="322" t="s">
        <v>282</v>
      </c>
      <c r="AK7" s="322" t="s">
        <v>265</v>
      </c>
      <c r="AL7" s="322" t="s">
        <v>283</v>
      </c>
      <c r="AM7" s="322" t="s">
        <v>284</v>
      </c>
      <c r="AN7" s="322" t="s">
        <v>285</v>
      </c>
      <c r="AO7" s="322" t="s">
        <v>358</v>
      </c>
      <c r="AP7" s="322" t="s">
        <v>359</v>
      </c>
      <c r="AQ7" s="322" t="s">
        <v>360</v>
      </c>
      <c r="AR7" s="322" t="s">
        <v>361</v>
      </c>
      <c r="AS7" s="322" t="s">
        <v>362</v>
      </c>
      <c r="AT7" s="322" t="s">
        <v>363</v>
      </c>
      <c r="AU7" s="322" t="s">
        <v>364</v>
      </c>
      <c r="AV7" s="322" t="s">
        <v>365</v>
      </c>
      <c r="AW7" s="322" t="s">
        <v>366</v>
      </c>
      <c r="AX7" s="322" t="s">
        <v>367</v>
      </c>
      <c r="AY7" s="322" t="s">
        <v>368</v>
      </c>
      <c r="AZ7" s="323" t="s">
        <v>467</v>
      </c>
      <c r="BA7" s="321" t="s">
        <v>468</v>
      </c>
    </row>
    <row r="8" spans="1:53" ht="15.75" thickBot="1" x14ac:dyDescent="0.3">
      <c r="A8" s="316"/>
      <c r="B8" s="364"/>
      <c r="C8" s="322"/>
      <c r="D8" s="322"/>
      <c r="E8" s="323"/>
      <c r="F8" s="321"/>
      <c r="G8" s="63"/>
      <c r="H8" s="322"/>
      <c r="I8" s="322"/>
      <c r="J8" s="322"/>
      <c r="K8" s="322"/>
      <c r="L8" s="322"/>
      <c r="M8" s="322"/>
      <c r="N8" s="322"/>
      <c r="O8" s="322"/>
      <c r="P8" s="322"/>
      <c r="Q8" s="322"/>
      <c r="R8" s="323" t="s">
        <v>469</v>
      </c>
      <c r="S8" s="321" t="s">
        <v>470</v>
      </c>
      <c r="T8" s="322"/>
      <c r="U8" s="322"/>
      <c r="V8" s="322"/>
      <c r="W8" s="322"/>
      <c r="X8" s="322"/>
      <c r="Y8" s="322"/>
      <c r="Z8" s="322"/>
      <c r="AA8" s="322"/>
      <c r="AB8" s="322"/>
      <c r="AC8" s="322"/>
      <c r="AD8" s="322"/>
      <c r="AE8" s="322"/>
      <c r="AF8" s="322"/>
      <c r="AG8" s="322"/>
      <c r="AH8" s="322"/>
      <c r="AI8" s="322"/>
      <c r="AJ8" s="322"/>
      <c r="AK8" s="322"/>
      <c r="AL8" s="322"/>
      <c r="AM8" s="322"/>
      <c r="AN8" s="322"/>
      <c r="AO8" s="322"/>
      <c r="AP8" s="322"/>
      <c r="AQ8" s="322"/>
      <c r="AR8" s="322"/>
      <c r="AS8" s="322"/>
      <c r="AT8" s="322"/>
      <c r="AU8" s="322"/>
      <c r="AV8" s="322"/>
      <c r="AW8" s="322"/>
      <c r="AX8" s="322"/>
      <c r="AY8" s="322"/>
      <c r="AZ8" s="323"/>
      <c r="BA8" s="321"/>
    </row>
    <row r="9" spans="1:53" ht="15" x14ac:dyDescent="0.25">
      <c r="A9" s="324" t="s">
        <v>107</v>
      </c>
      <c r="B9" s="365"/>
      <c r="C9" s="325"/>
      <c r="D9" s="325"/>
      <c r="E9" s="525"/>
      <c r="F9" s="187"/>
      <c r="G9" s="526"/>
      <c r="H9" s="325"/>
      <c r="I9" s="325"/>
      <c r="J9" s="325"/>
      <c r="K9" s="325"/>
      <c r="L9" s="325"/>
      <c r="M9" s="325"/>
      <c r="N9" s="325"/>
      <c r="O9" s="325"/>
      <c r="P9" s="325"/>
      <c r="Q9" s="325"/>
      <c r="R9" s="525"/>
      <c r="S9" s="187"/>
      <c r="T9" s="325"/>
      <c r="U9" s="325"/>
      <c r="V9" s="325"/>
      <c r="W9" s="325"/>
      <c r="X9" s="325"/>
      <c r="Y9" s="325"/>
      <c r="Z9" s="325"/>
      <c r="AA9" s="325"/>
      <c r="AB9" s="325"/>
      <c r="AC9" s="325"/>
      <c r="AD9" s="325"/>
      <c r="AE9" s="325"/>
      <c r="AF9" s="325"/>
      <c r="AG9" s="325"/>
      <c r="AH9" s="325"/>
      <c r="AI9" s="325"/>
      <c r="AJ9" s="325"/>
      <c r="AK9" s="325"/>
      <c r="AL9" s="325"/>
      <c r="AM9" s="325"/>
      <c r="AN9" s="325"/>
      <c r="AO9" s="325"/>
      <c r="AP9" s="325"/>
      <c r="AQ9" s="325"/>
      <c r="AR9" s="325"/>
      <c r="AS9" s="325"/>
      <c r="AT9" s="325"/>
      <c r="AU9" s="325"/>
      <c r="AV9" s="325"/>
      <c r="AW9" s="325"/>
      <c r="AX9" s="325"/>
      <c r="AY9" s="325"/>
      <c r="AZ9" s="525"/>
      <c r="BA9" s="187"/>
    </row>
    <row r="10" spans="1:53" ht="15" x14ac:dyDescent="0.25">
      <c r="A10" s="326" t="s">
        <v>170</v>
      </c>
      <c r="B10" s="431">
        <v>10151242744</v>
      </c>
      <c r="C10" s="459"/>
      <c r="D10" s="459">
        <v>-10058486744</v>
      </c>
      <c r="E10" s="191">
        <v>-10058486744</v>
      </c>
      <c r="F10" s="192">
        <v>92756000</v>
      </c>
      <c r="G10" s="458"/>
      <c r="H10" s="459"/>
      <c r="I10" s="459"/>
      <c r="J10" s="459"/>
      <c r="K10" s="459"/>
      <c r="L10" s="459"/>
      <c r="M10" s="459"/>
      <c r="N10" s="459"/>
      <c r="O10" s="459"/>
      <c r="P10" s="459"/>
      <c r="Q10" s="459">
        <v>196000</v>
      </c>
      <c r="R10" s="191">
        <v>196000</v>
      </c>
      <c r="S10" s="192">
        <v>92952000</v>
      </c>
      <c r="T10" s="459">
        <v>12188326256</v>
      </c>
      <c r="U10" s="459"/>
      <c r="V10" s="459">
        <v>1446600</v>
      </c>
      <c r="W10" s="459"/>
      <c r="X10" s="459"/>
      <c r="Y10" s="459"/>
      <c r="Z10" s="459"/>
      <c r="AA10" s="459"/>
      <c r="AB10" s="459"/>
      <c r="AC10" s="459"/>
      <c r="AD10" s="459"/>
      <c r="AE10" s="459"/>
      <c r="AF10" s="459"/>
      <c r="AG10" s="459"/>
      <c r="AH10" s="459"/>
      <c r="AI10" s="459"/>
      <c r="AJ10" s="459"/>
      <c r="AK10" s="459"/>
      <c r="AL10" s="459"/>
      <c r="AM10" s="459"/>
      <c r="AN10" s="459"/>
      <c r="AO10" s="459"/>
      <c r="AP10" s="459"/>
      <c r="AQ10" s="459"/>
      <c r="AR10" s="459"/>
      <c r="AS10" s="459"/>
      <c r="AT10" s="459"/>
      <c r="AU10" s="459"/>
      <c r="AV10" s="459"/>
      <c r="AW10" s="459"/>
      <c r="AX10" s="459"/>
      <c r="AY10" s="459"/>
      <c r="AZ10" s="191">
        <v>12189772856</v>
      </c>
      <c r="BA10" s="192">
        <f>AZ10+S10</f>
        <v>12282724856</v>
      </c>
    </row>
    <row r="11" spans="1:53" ht="15" x14ac:dyDescent="0.25">
      <c r="A11" s="326" t="s">
        <v>108</v>
      </c>
      <c r="B11" s="431">
        <v>205759166364</v>
      </c>
      <c r="C11" s="459"/>
      <c r="D11" s="459">
        <v>-10058486744</v>
      </c>
      <c r="E11" s="191">
        <v>-10058486744</v>
      </c>
      <c r="F11" s="192">
        <v>195700679620</v>
      </c>
      <c r="G11" s="458"/>
      <c r="H11" s="459"/>
      <c r="I11" s="459">
        <v>800000000</v>
      </c>
      <c r="J11" s="459">
        <v>-51897378</v>
      </c>
      <c r="K11" s="459">
        <v>1009000000</v>
      </c>
      <c r="L11" s="459">
        <v>400000000</v>
      </c>
      <c r="M11" s="459">
        <v>781276957</v>
      </c>
      <c r="N11" s="459">
        <v>106128</v>
      </c>
      <c r="O11" s="459">
        <v>1399999999</v>
      </c>
      <c r="P11" s="459">
        <v>218500650</v>
      </c>
      <c r="Q11" s="459"/>
      <c r="R11" s="191">
        <v>4556986356</v>
      </c>
      <c r="S11" s="192">
        <v>200257665976</v>
      </c>
      <c r="T11" s="459">
        <v>12188326256</v>
      </c>
      <c r="U11" s="459">
        <v>-115000000</v>
      </c>
      <c r="V11" s="459"/>
      <c r="W11" s="459">
        <v>-155743</v>
      </c>
      <c r="X11" s="459">
        <v>21979865</v>
      </c>
      <c r="Y11" s="459">
        <v>-39394534</v>
      </c>
      <c r="Z11" s="459">
        <v>-13500000</v>
      </c>
      <c r="AA11" s="459">
        <v>-29935941</v>
      </c>
      <c r="AB11" s="459">
        <v>12768629384</v>
      </c>
      <c r="AC11" s="459">
        <v>25831905</v>
      </c>
      <c r="AD11" s="459">
        <v>738476671</v>
      </c>
      <c r="AE11" s="459">
        <v>-800000000</v>
      </c>
      <c r="AF11" s="459">
        <v>-400000000</v>
      </c>
      <c r="AG11" s="459">
        <v>-205235536</v>
      </c>
      <c r="AH11" s="459">
        <v>-500000000</v>
      </c>
      <c r="AI11" s="459"/>
      <c r="AJ11" s="459">
        <v>-8500000</v>
      </c>
      <c r="AK11" s="459"/>
      <c r="AL11" s="459">
        <v>1000000000</v>
      </c>
      <c r="AM11" s="459">
        <v>-27499289</v>
      </c>
      <c r="AN11" s="459"/>
      <c r="AO11" s="459"/>
      <c r="AP11" s="459">
        <v>30000000</v>
      </c>
      <c r="AQ11" s="459">
        <v>100000000</v>
      </c>
      <c r="AR11" s="459">
        <v>1984471</v>
      </c>
      <c r="AS11" s="459">
        <v>750000000</v>
      </c>
      <c r="AT11" s="459">
        <v>-15559743</v>
      </c>
      <c r="AU11" s="459">
        <v>134571</v>
      </c>
      <c r="AV11" s="459">
        <v>734278094</v>
      </c>
      <c r="AW11" s="459">
        <v>56196</v>
      </c>
      <c r="AX11" s="459">
        <v>4417607</v>
      </c>
      <c r="AY11" s="459"/>
      <c r="AZ11" s="191">
        <v>26209334234</v>
      </c>
      <c r="BA11" s="192">
        <v>226467000210</v>
      </c>
    </row>
    <row r="12" spans="1:53" s="64" customFormat="1" ht="15" x14ac:dyDescent="0.25">
      <c r="A12" s="327" t="s">
        <v>109</v>
      </c>
      <c r="B12" s="430"/>
      <c r="C12" s="330"/>
      <c r="D12" s="330"/>
      <c r="E12" s="189"/>
      <c r="F12" s="190"/>
      <c r="G12" s="188"/>
      <c r="H12" s="330"/>
      <c r="I12" s="330"/>
      <c r="J12" s="330"/>
      <c r="K12" s="330"/>
      <c r="L12" s="330"/>
      <c r="M12" s="330"/>
      <c r="N12" s="330"/>
      <c r="O12" s="330"/>
      <c r="P12" s="330"/>
      <c r="Q12" s="330"/>
      <c r="R12" s="189"/>
      <c r="S12" s="190"/>
      <c r="T12" s="330"/>
      <c r="U12" s="330"/>
      <c r="V12" s="330"/>
      <c r="W12" s="330"/>
      <c r="X12" s="330"/>
      <c r="Y12" s="330"/>
      <c r="Z12" s="330"/>
      <c r="AA12" s="330"/>
      <c r="AB12" s="330"/>
      <c r="AC12" s="330"/>
      <c r="AD12" s="330"/>
      <c r="AE12" s="330"/>
      <c r="AF12" s="330"/>
      <c r="AG12" s="330"/>
      <c r="AH12" s="330"/>
      <c r="AI12" s="330"/>
      <c r="AJ12" s="330"/>
      <c r="AK12" s="330"/>
      <c r="AL12" s="330"/>
      <c r="AM12" s="330"/>
      <c r="AN12" s="330"/>
      <c r="AO12" s="330"/>
      <c r="AP12" s="330"/>
      <c r="AQ12" s="330"/>
      <c r="AR12" s="330"/>
      <c r="AS12" s="330"/>
      <c r="AT12" s="330"/>
      <c r="AU12" s="330"/>
      <c r="AV12" s="330"/>
      <c r="AW12" s="330"/>
      <c r="AX12" s="330"/>
      <c r="AY12" s="330"/>
      <c r="AZ12" s="189"/>
      <c r="BA12" s="190"/>
    </row>
    <row r="13" spans="1:53" ht="15" x14ac:dyDescent="0.25">
      <c r="A13" s="328" t="s">
        <v>110</v>
      </c>
      <c r="B13" s="431">
        <v>46263016939</v>
      </c>
      <c r="C13" s="269"/>
      <c r="D13" s="269">
        <v>-5120465500</v>
      </c>
      <c r="E13" s="191">
        <v>-5120465500</v>
      </c>
      <c r="F13" s="192">
        <v>41142551439</v>
      </c>
      <c r="G13" s="65"/>
      <c r="H13" s="269">
        <v>83000000</v>
      </c>
      <c r="I13" s="269">
        <v>800000000</v>
      </c>
      <c r="J13" s="269">
        <v>-51897378</v>
      </c>
      <c r="K13" s="269"/>
      <c r="L13" s="269"/>
      <c r="M13" s="269"/>
      <c r="N13" s="269"/>
      <c r="O13" s="269"/>
      <c r="P13" s="269"/>
      <c r="Q13" s="269"/>
      <c r="R13" s="191">
        <v>831102622</v>
      </c>
      <c r="S13" s="192">
        <v>41973654061</v>
      </c>
      <c r="T13" s="269">
        <v>6511470863</v>
      </c>
      <c r="U13" s="269">
        <v>-115000000</v>
      </c>
      <c r="V13" s="269"/>
      <c r="W13" s="269"/>
      <c r="X13" s="269"/>
      <c r="Y13" s="269"/>
      <c r="Z13" s="269"/>
      <c r="AA13" s="269"/>
      <c r="AB13" s="269"/>
      <c r="AC13" s="269"/>
      <c r="AD13" s="269"/>
      <c r="AE13" s="269"/>
      <c r="AF13" s="269"/>
      <c r="AG13" s="269"/>
      <c r="AH13" s="269"/>
      <c r="AI13" s="269"/>
      <c r="AJ13" s="269"/>
      <c r="AK13" s="269"/>
      <c r="AL13" s="269"/>
      <c r="AM13" s="269"/>
      <c r="AN13" s="269"/>
      <c r="AO13" s="269"/>
      <c r="AP13" s="269"/>
      <c r="AQ13" s="269"/>
      <c r="AR13" s="269"/>
      <c r="AS13" s="269"/>
      <c r="AT13" s="269"/>
      <c r="AU13" s="269"/>
      <c r="AV13" s="269"/>
      <c r="AW13" s="269"/>
      <c r="AX13" s="269"/>
      <c r="AY13" s="269"/>
      <c r="AZ13" s="191">
        <v>6396470863</v>
      </c>
      <c r="BA13" s="192">
        <v>48370124924</v>
      </c>
    </row>
    <row r="14" spans="1:53" ht="15" x14ac:dyDescent="0.25">
      <c r="A14" s="328" t="s">
        <v>293</v>
      </c>
      <c r="B14" s="431">
        <v>26528676980</v>
      </c>
      <c r="C14" s="269"/>
      <c r="D14" s="269"/>
      <c r="E14" s="191">
        <v>0</v>
      </c>
      <c r="F14" s="192">
        <v>26528676980</v>
      </c>
      <c r="G14" s="65"/>
      <c r="H14" s="269">
        <v>83000000</v>
      </c>
      <c r="I14" s="269">
        <v>800000000</v>
      </c>
      <c r="J14" s="269"/>
      <c r="K14" s="269"/>
      <c r="L14" s="269"/>
      <c r="M14" s="269"/>
      <c r="N14" s="269"/>
      <c r="O14" s="269"/>
      <c r="P14" s="269"/>
      <c r="Q14" s="269"/>
      <c r="R14" s="191">
        <v>883000000</v>
      </c>
      <c r="S14" s="192">
        <v>27411676980</v>
      </c>
      <c r="T14" s="269"/>
      <c r="U14" s="269"/>
      <c r="V14" s="269"/>
      <c r="W14" s="269"/>
      <c r="X14" s="269"/>
      <c r="Y14" s="269"/>
      <c r="Z14" s="269"/>
      <c r="AA14" s="269"/>
      <c r="AB14" s="269"/>
      <c r="AC14" s="269"/>
      <c r="AD14" s="269"/>
      <c r="AE14" s="269"/>
      <c r="AF14" s="269"/>
      <c r="AG14" s="269"/>
      <c r="AH14" s="269"/>
      <c r="AI14" s="269"/>
      <c r="AJ14" s="269"/>
      <c r="AK14" s="269"/>
      <c r="AL14" s="269"/>
      <c r="AM14" s="269"/>
      <c r="AN14" s="269"/>
      <c r="AO14" s="269"/>
      <c r="AP14" s="269"/>
      <c r="AQ14" s="269"/>
      <c r="AR14" s="269"/>
      <c r="AS14" s="269"/>
      <c r="AT14" s="269"/>
      <c r="AU14" s="269"/>
      <c r="AV14" s="269"/>
      <c r="AW14" s="269"/>
      <c r="AX14" s="269"/>
      <c r="AY14" s="269"/>
      <c r="AZ14" s="191">
        <v>0</v>
      </c>
      <c r="BA14" s="192">
        <v>27411676980</v>
      </c>
    </row>
    <row r="15" spans="1:53" ht="15" x14ac:dyDescent="0.25">
      <c r="A15" s="328" t="s">
        <v>560</v>
      </c>
      <c r="B15" s="431">
        <v>2538217748</v>
      </c>
      <c r="C15" s="269"/>
      <c r="D15" s="269"/>
      <c r="E15" s="191">
        <v>0</v>
      </c>
      <c r="F15" s="192">
        <v>2538217748</v>
      </c>
      <c r="G15" s="65"/>
      <c r="H15" s="269"/>
      <c r="I15" s="269"/>
      <c r="J15" s="269"/>
      <c r="K15" s="269"/>
      <c r="L15" s="269"/>
      <c r="M15" s="269"/>
      <c r="N15" s="269"/>
      <c r="O15" s="269"/>
      <c r="P15" s="269"/>
      <c r="Q15" s="269"/>
      <c r="R15" s="191">
        <v>0</v>
      </c>
      <c r="S15" s="192">
        <v>2538217748</v>
      </c>
      <c r="T15" s="269"/>
      <c r="U15" s="269"/>
      <c r="V15" s="269"/>
      <c r="W15" s="269"/>
      <c r="X15" s="269"/>
      <c r="Y15" s="269"/>
      <c r="Z15" s="269"/>
      <c r="AA15" s="269"/>
      <c r="AB15" s="269"/>
      <c r="AC15" s="269"/>
      <c r="AD15" s="269"/>
      <c r="AE15" s="269"/>
      <c r="AF15" s="269"/>
      <c r="AG15" s="269"/>
      <c r="AH15" s="269"/>
      <c r="AI15" s="269"/>
      <c r="AJ15" s="269"/>
      <c r="AK15" s="269"/>
      <c r="AL15" s="269"/>
      <c r="AM15" s="269"/>
      <c r="AN15" s="269"/>
      <c r="AO15" s="269"/>
      <c r="AP15" s="269"/>
      <c r="AQ15" s="269"/>
      <c r="AR15" s="269"/>
      <c r="AS15" s="269"/>
      <c r="AT15" s="269"/>
      <c r="AU15" s="269"/>
      <c r="AV15" s="269"/>
      <c r="AW15" s="269"/>
      <c r="AX15" s="269"/>
      <c r="AY15" s="269">
        <v>15000000</v>
      </c>
      <c r="AZ15" s="191">
        <v>15000000</v>
      </c>
      <c r="BA15" s="192">
        <v>2553217748</v>
      </c>
    </row>
    <row r="16" spans="1:53" ht="15" x14ac:dyDescent="0.25">
      <c r="A16" s="328" t="s">
        <v>294</v>
      </c>
      <c r="B16" s="431">
        <v>23990459232</v>
      </c>
      <c r="C16" s="269"/>
      <c r="D16" s="269"/>
      <c r="E16" s="191">
        <v>0</v>
      </c>
      <c r="F16" s="192">
        <v>23990459232</v>
      </c>
      <c r="G16" s="65"/>
      <c r="H16" s="269">
        <v>83000000</v>
      </c>
      <c r="I16" s="269">
        <v>800000000</v>
      </c>
      <c r="J16" s="269"/>
      <c r="K16" s="269"/>
      <c r="L16" s="269"/>
      <c r="M16" s="269"/>
      <c r="N16" s="269"/>
      <c r="O16" s="269"/>
      <c r="P16" s="269"/>
      <c r="Q16" s="269"/>
      <c r="R16" s="191">
        <v>883000000</v>
      </c>
      <c r="S16" s="192">
        <v>24873459232</v>
      </c>
      <c r="T16" s="269"/>
      <c r="U16" s="269"/>
      <c r="V16" s="269"/>
      <c r="W16" s="269"/>
      <c r="X16" s="269"/>
      <c r="Y16" s="269"/>
      <c r="Z16" s="269"/>
      <c r="AA16" s="269"/>
      <c r="AB16" s="269"/>
      <c r="AC16" s="269"/>
      <c r="AD16" s="269"/>
      <c r="AE16" s="269"/>
      <c r="AF16" s="269"/>
      <c r="AG16" s="269"/>
      <c r="AH16" s="269"/>
      <c r="AI16" s="269"/>
      <c r="AJ16" s="269"/>
      <c r="AK16" s="269"/>
      <c r="AL16" s="269"/>
      <c r="AM16" s="269"/>
      <c r="AN16" s="269"/>
      <c r="AO16" s="269"/>
      <c r="AP16" s="269"/>
      <c r="AQ16" s="269"/>
      <c r="AR16" s="269"/>
      <c r="AS16" s="269"/>
      <c r="AT16" s="269"/>
      <c r="AU16" s="269"/>
      <c r="AV16" s="269"/>
      <c r="AW16" s="269"/>
      <c r="AX16" s="269"/>
      <c r="AY16" s="269">
        <v>-15000000</v>
      </c>
      <c r="AZ16" s="191">
        <v>-15000000</v>
      </c>
      <c r="BA16" s="192">
        <v>24858459232</v>
      </c>
    </row>
    <row r="17" spans="1:53" s="64" customFormat="1" ht="15" x14ac:dyDescent="0.25">
      <c r="A17" s="328" t="s">
        <v>111</v>
      </c>
      <c r="B17" s="431">
        <v>19734339959</v>
      </c>
      <c r="C17" s="269"/>
      <c r="D17" s="269">
        <v>-5120465500</v>
      </c>
      <c r="E17" s="191">
        <v>-5120465500</v>
      </c>
      <c r="F17" s="192">
        <v>14613874459</v>
      </c>
      <c r="G17" s="65"/>
      <c r="H17" s="269"/>
      <c r="I17" s="269"/>
      <c r="J17" s="269">
        <v>-51897378</v>
      </c>
      <c r="K17" s="269"/>
      <c r="L17" s="269"/>
      <c r="M17" s="269"/>
      <c r="N17" s="269"/>
      <c r="O17" s="269"/>
      <c r="P17" s="269"/>
      <c r="Q17" s="269"/>
      <c r="R17" s="191">
        <v>-51897378</v>
      </c>
      <c r="S17" s="192">
        <v>14561977081</v>
      </c>
      <c r="T17" s="269">
        <v>6511470863</v>
      </c>
      <c r="U17" s="269">
        <v>-115000000</v>
      </c>
      <c r="V17" s="269"/>
      <c r="W17" s="269"/>
      <c r="X17" s="269"/>
      <c r="Y17" s="269"/>
      <c r="Z17" s="269"/>
      <c r="AA17" s="269"/>
      <c r="AB17" s="269"/>
      <c r="AC17" s="269"/>
      <c r="AD17" s="269"/>
      <c r="AE17" s="269"/>
      <c r="AF17" s="269"/>
      <c r="AG17" s="269"/>
      <c r="AH17" s="269"/>
      <c r="AI17" s="269"/>
      <c r="AJ17" s="269"/>
      <c r="AK17" s="269"/>
      <c r="AL17" s="269"/>
      <c r="AM17" s="269"/>
      <c r="AN17" s="269"/>
      <c r="AO17" s="269"/>
      <c r="AP17" s="269"/>
      <c r="AQ17" s="269"/>
      <c r="AR17" s="269"/>
      <c r="AS17" s="269"/>
      <c r="AT17" s="269"/>
      <c r="AU17" s="269"/>
      <c r="AV17" s="269"/>
      <c r="AW17" s="269"/>
      <c r="AX17" s="269"/>
      <c r="AY17" s="269"/>
      <c r="AZ17" s="191">
        <v>6396470863</v>
      </c>
      <c r="BA17" s="192">
        <v>20958447944</v>
      </c>
    </row>
    <row r="18" spans="1:53" ht="15" x14ac:dyDescent="0.25">
      <c r="A18" s="328" t="s">
        <v>112</v>
      </c>
      <c r="B18" s="431">
        <v>143723127562</v>
      </c>
      <c r="C18" s="269">
        <v>680000</v>
      </c>
      <c r="D18" s="269"/>
      <c r="E18" s="191">
        <v>680000</v>
      </c>
      <c r="F18" s="192">
        <v>143723807562</v>
      </c>
      <c r="G18" s="65">
        <v>10000000</v>
      </c>
      <c r="H18" s="269"/>
      <c r="I18" s="269"/>
      <c r="J18" s="269"/>
      <c r="K18" s="269">
        <v>1009000000</v>
      </c>
      <c r="L18" s="269">
        <v>400000000</v>
      </c>
      <c r="M18" s="269">
        <v>781276957</v>
      </c>
      <c r="N18" s="269"/>
      <c r="O18" s="269">
        <v>1399999999</v>
      </c>
      <c r="P18" s="269">
        <v>218500650</v>
      </c>
      <c r="Q18" s="269"/>
      <c r="R18" s="191">
        <v>3818777606</v>
      </c>
      <c r="S18" s="192">
        <v>147542585168</v>
      </c>
      <c r="T18" s="269"/>
      <c r="U18" s="269"/>
      <c r="V18" s="269"/>
      <c r="W18" s="269"/>
      <c r="X18" s="269"/>
      <c r="Y18" s="269"/>
      <c r="Z18" s="269"/>
      <c r="AA18" s="269"/>
      <c r="AB18" s="269">
        <v>12743800945</v>
      </c>
      <c r="AC18" s="269">
        <v>25831905</v>
      </c>
      <c r="AD18" s="269">
        <v>738476671</v>
      </c>
      <c r="AE18" s="269">
        <v>-800000000</v>
      </c>
      <c r="AF18" s="269">
        <v>-400000000</v>
      </c>
      <c r="AG18" s="269">
        <v>-204485518</v>
      </c>
      <c r="AH18" s="269"/>
      <c r="AI18" s="269">
        <v>20400000</v>
      </c>
      <c r="AJ18" s="269"/>
      <c r="AK18" s="269"/>
      <c r="AL18" s="269">
        <v>1000000000</v>
      </c>
      <c r="AM18" s="269"/>
      <c r="AN18" s="269">
        <v>-3395000</v>
      </c>
      <c r="AO18" s="269"/>
      <c r="AP18" s="269">
        <v>30000000</v>
      </c>
      <c r="AQ18" s="269">
        <v>100000000</v>
      </c>
      <c r="AR18" s="269"/>
      <c r="AS18" s="269"/>
      <c r="AT18" s="269"/>
      <c r="AU18" s="269"/>
      <c r="AV18" s="269">
        <v>689212646</v>
      </c>
      <c r="AW18" s="269"/>
      <c r="AX18" s="269"/>
      <c r="AY18" s="269">
        <v>-343000</v>
      </c>
      <c r="AZ18" s="191">
        <v>13939498649</v>
      </c>
      <c r="BA18" s="192">
        <v>161482083817</v>
      </c>
    </row>
    <row r="19" spans="1:53" ht="15" x14ac:dyDescent="0.25">
      <c r="A19" s="328" t="s">
        <v>286</v>
      </c>
      <c r="B19" s="431">
        <v>140607789718</v>
      </c>
      <c r="C19" s="269">
        <v>680000</v>
      </c>
      <c r="D19" s="269"/>
      <c r="E19" s="191">
        <v>680000</v>
      </c>
      <c r="F19" s="192">
        <v>140608469718</v>
      </c>
      <c r="G19" s="65">
        <v>10000000</v>
      </c>
      <c r="H19" s="269"/>
      <c r="I19" s="269"/>
      <c r="J19" s="269"/>
      <c r="K19" s="269">
        <v>1009000000</v>
      </c>
      <c r="L19" s="269">
        <v>400000000</v>
      </c>
      <c r="M19" s="269">
        <v>781276957</v>
      </c>
      <c r="N19" s="269"/>
      <c r="O19" s="269">
        <v>1399999999</v>
      </c>
      <c r="P19" s="269">
        <v>218500650</v>
      </c>
      <c r="Q19" s="269"/>
      <c r="R19" s="191">
        <v>3818777606</v>
      </c>
      <c r="S19" s="192">
        <v>144427247324</v>
      </c>
      <c r="T19" s="269"/>
      <c r="U19" s="269"/>
      <c r="V19" s="269"/>
      <c r="W19" s="269"/>
      <c r="X19" s="269"/>
      <c r="Y19" s="269"/>
      <c r="Z19" s="269"/>
      <c r="AA19" s="269"/>
      <c r="AB19" s="269">
        <v>12489081806</v>
      </c>
      <c r="AC19" s="269">
        <v>25831905</v>
      </c>
      <c r="AD19" s="269">
        <v>738476671</v>
      </c>
      <c r="AE19" s="269">
        <v>-800000000</v>
      </c>
      <c r="AF19" s="269">
        <v>-400000000</v>
      </c>
      <c r="AG19" s="269">
        <v>-204485518</v>
      </c>
      <c r="AH19" s="269"/>
      <c r="AI19" s="269">
        <v>20400000</v>
      </c>
      <c r="AJ19" s="269"/>
      <c r="AK19" s="269">
        <v>-8553383</v>
      </c>
      <c r="AL19" s="269">
        <v>1000000000</v>
      </c>
      <c r="AM19" s="269"/>
      <c r="AN19" s="269">
        <v>-3395000</v>
      </c>
      <c r="AO19" s="269"/>
      <c r="AP19" s="269">
        <v>30000000</v>
      </c>
      <c r="AQ19" s="269">
        <v>100000000</v>
      </c>
      <c r="AR19" s="269"/>
      <c r="AS19" s="269"/>
      <c r="AT19" s="269"/>
      <c r="AU19" s="269"/>
      <c r="AV19" s="269">
        <v>672571408</v>
      </c>
      <c r="AW19" s="269"/>
      <c r="AX19" s="269"/>
      <c r="AY19" s="269">
        <v>-343000</v>
      </c>
      <c r="AZ19" s="191">
        <v>13659584889</v>
      </c>
      <c r="BA19" s="192">
        <v>158086832213</v>
      </c>
    </row>
    <row r="20" spans="1:53" ht="15" x14ac:dyDescent="0.25">
      <c r="A20" s="328" t="s">
        <v>295</v>
      </c>
      <c r="B20" s="431">
        <v>4074171595</v>
      </c>
      <c r="C20" s="269">
        <v>680000</v>
      </c>
      <c r="D20" s="269"/>
      <c r="E20" s="191">
        <v>680000</v>
      </c>
      <c r="F20" s="192">
        <v>4074851595</v>
      </c>
      <c r="G20" s="65"/>
      <c r="H20" s="269"/>
      <c r="I20" s="269"/>
      <c r="J20" s="269"/>
      <c r="K20" s="269"/>
      <c r="L20" s="269"/>
      <c r="M20" s="269"/>
      <c r="N20" s="269"/>
      <c r="O20" s="269"/>
      <c r="P20" s="269"/>
      <c r="Q20" s="269"/>
      <c r="R20" s="191">
        <v>0</v>
      </c>
      <c r="S20" s="192">
        <v>4074851595</v>
      </c>
      <c r="T20" s="269"/>
      <c r="U20" s="269"/>
      <c r="V20" s="269"/>
      <c r="W20" s="269"/>
      <c r="X20" s="269"/>
      <c r="Y20" s="269"/>
      <c r="Z20" s="269"/>
      <c r="AA20" s="269"/>
      <c r="AB20" s="269"/>
      <c r="AC20" s="269"/>
      <c r="AD20" s="269"/>
      <c r="AE20" s="269"/>
      <c r="AF20" s="269"/>
      <c r="AG20" s="269">
        <v>-15044837</v>
      </c>
      <c r="AH20" s="269"/>
      <c r="AI20" s="269"/>
      <c r="AJ20" s="269"/>
      <c r="AK20" s="269"/>
      <c r="AL20" s="269"/>
      <c r="AM20" s="269"/>
      <c r="AN20" s="269"/>
      <c r="AO20" s="269"/>
      <c r="AP20" s="269"/>
      <c r="AQ20" s="269"/>
      <c r="AR20" s="269"/>
      <c r="AS20" s="269"/>
      <c r="AT20" s="269"/>
      <c r="AU20" s="269"/>
      <c r="AV20" s="269"/>
      <c r="AW20" s="269"/>
      <c r="AX20" s="269"/>
      <c r="AY20" s="269">
        <v>-3787454258</v>
      </c>
      <c r="AZ20" s="191">
        <v>-3802499095</v>
      </c>
      <c r="BA20" s="192">
        <v>272352500</v>
      </c>
    </row>
    <row r="21" spans="1:53" ht="15" x14ac:dyDescent="0.25">
      <c r="A21" s="328" t="s">
        <v>296</v>
      </c>
      <c r="B21" s="431">
        <v>135895311423</v>
      </c>
      <c r="C21" s="269"/>
      <c r="D21" s="269"/>
      <c r="E21" s="191">
        <v>0</v>
      </c>
      <c r="F21" s="192">
        <v>135895311423</v>
      </c>
      <c r="G21" s="65">
        <v>140000000</v>
      </c>
      <c r="H21" s="269"/>
      <c r="I21" s="269"/>
      <c r="J21" s="269"/>
      <c r="K21" s="269">
        <v>1009000000</v>
      </c>
      <c r="L21" s="269">
        <v>400000000</v>
      </c>
      <c r="M21" s="269">
        <v>781276957</v>
      </c>
      <c r="N21" s="269"/>
      <c r="O21" s="269">
        <v>1399999999</v>
      </c>
      <c r="P21" s="269">
        <v>218500650</v>
      </c>
      <c r="Q21" s="269"/>
      <c r="R21" s="191">
        <v>3948777606</v>
      </c>
      <c r="S21" s="192">
        <v>139844089029</v>
      </c>
      <c r="T21" s="269"/>
      <c r="U21" s="269"/>
      <c r="V21" s="269"/>
      <c r="W21" s="269"/>
      <c r="X21" s="269"/>
      <c r="Y21" s="269"/>
      <c r="Z21" s="269"/>
      <c r="AA21" s="269"/>
      <c r="AB21" s="269">
        <v>12489081806</v>
      </c>
      <c r="AC21" s="269">
        <v>25831905</v>
      </c>
      <c r="AD21" s="269">
        <v>738476671</v>
      </c>
      <c r="AE21" s="269">
        <v>-800000000</v>
      </c>
      <c r="AF21" s="269">
        <v>-400000000</v>
      </c>
      <c r="AG21" s="269">
        <v>-189440681</v>
      </c>
      <c r="AH21" s="269"/>
      <c r="AI21" s="269"/>
      <c r="AJ21" s="269"/>
      <c r="AK21" s="269">
        <v>-8553383</v>
      </c>
      <c r="AL21" s="269">
        <v>1000000000</v>
      </c>
      <c r="AM21" s="269"/>
      <c r="AN21" s="269">
        <v>-3395000</v>
      </c>
      <c r="AO21" s="269"/>
      <c r="AP21" s="269"/>
      <c r="AQ21" s="269">
        <v>100000000</v>
      </c>
      <c r="AR21" s="269"/>
      <c r="AS21" s="269"/>
      <c r="AT21" s="269"/>
      <c r="AU21" s="269"/>
      <c r="AV21" s="269">
        <v>672571408</v>
      </c>
      <c r="AW21" s="269"/>
      <c r="AX21" s="269"/>
      <c r="AY21" s="269">
        <v>3787454258</v>
      </c>
      <c r="AZ21" s="191">
        <v>17412026984</v>
      </c>
      <c r="BA21" s="192">
        <v>157256116013</v>
      </c>
    </row>
    <row r="22" spans="1:53" ht="15" x14ac:dyDescent="0.25">
      <c r="A22" s="328" t="s">
        <v>564</v>
      </c>
      <c r="B22" s="431">
        <v>638306700</v>
      </c>
      <c r="C22" s="269"/>
      <c r="D22" s="269"/>
      <c r="E22" s="191">
        <v>0</v>
      </c>
      <c r="F22" s="192">
        <v>638306700</v>
      </c>
      <c r="G22" s="65">
        <v>-130000000</v>
      </c>
      <c r="H22" s="269"/>
      <c r="I22" s="269"/>
      <c r="J22" s="269"/>
      <c r="K22" s="269"/>
      <c r="L22" s="269"/>
      <c r="M22" s="269"/>
      <c r="N22" s="269"/>
      <c r="O22" s="269"/>
      <c r="P22" s="269"/>
      <c r="Q22" s="269"/>
      <c r="R22" s="191">
        <v>-130000000</v>
      </c>
      <c r="S22" s="192">
        <v>508306700</v>
      </c>
      <c r="T22" s="269"/>
      <c r="U22" s="269"/>
      <c r="V22" s="269"/>
      <c r="W22" s="269"/>
      <c r="X22" s="269"/>
      <c r="Y22" s="269"/>
      <c r="Z22" s="269"/>
      <c r="AA22" s="269"/>
      <c r="AB22" s="269"/>
      <c r="AC22" s="269"/>
      <c r="AD22" s="269"/>
      <c r="AE22" s="269"/>
      <c r="AF22" s="269"/>
      <c r="AG22" s="269"/>
      <c r="AH22" s="269"/>
      <c r="AI22" s="269">
        <v>20400000</v>
      </c>
      <c r="AJ22" s="269"/>
      <c r="AK22" s="269"/>
      <c r="AL22" s="269"/>
      <c r="AM22" s="269"/>
      <c r="AN22" s="269"/>
      <c r="AO22" s="269"/>
      <c r="AP22" s="269">
        <v>30000000</v>
      </c>
      <c r="AQ22" s="269"/>
      <c r="AR22" s="269"/>
      <c r="AS22" s="269"/>
      <c r="AT22" s="269"/>
      <c r="AU22" s="269"/>
      <c r="AV22" s="269"/>
      <c r="AW22" s="269"/>
      <c r="AX22" s="269"/>
      <c r="AY22" s="269">
        <v>-343000</v>
      </c>
      <c r="AZ22" s="191">
        <v>50057000</v>
      </c>
      <c r="BA22" s="192">
        <v>558363700</v>
      </c>
    </row>
    <row r="23" spans="1:53" ht="15" x14ac:dyDescent="0.25">
      <c r="A23" s="328" t="s">
        <v>565</v>
      </c>
      <c r="B23" s="431">
        <v>3115337844</v>
      </c>
      <c r="C23" s="269"/>
      <c r="D23" s="269"/>
      <c r="E23" s="191">
        <v>0</v>
      </c>
      <c r="F23" s="192">
        <v>3115337844</v>
      </c>
      <c r="G23" s="65"/>
      <c r="H23" s="269"/>
      <c r="I23" s="269"/>
      <c r="J23" s="269"/>
      <c r="K23" s="269"/>
      <c r="L23" s="269"/>
      <c r="M23" s="269"/>
      <c r="N23" s="269"/>
      <c r="O23" s="269"/>
      <c r="P23" s="269"/>
      <c r="Q23" s="269"/>
      <c r="R23" s="191">
        <v>0</v>
      </c>
      <c r="S23" s="192">
        <v>3115337844</v>
      </c>
      <c r="T23" s="269"/>
      <c r="U23" s="269"/>
      <c r="V23" s="269"/>
      <c r="W23" s="269"/>
      <c r="X23" s="269"/>
      <c r="Y23" s="269"/>
      <c r="Z23" s="269"/>
      <c r="AA23" s="269"/>
      <c r="AB23" s="269">
        <v>254719139</v>
      </c>
      <c r="AC23" s="269"/>
      <c r="AD23" s="269"/>
      <c r="AE23" s="269"/>
      <c r="AF23" s="269"/>
      <c r="AG23" s="269"/>
      <c r="AH23" s="269"/>
      <c r="AI23" s="269"/>
      <c r="AJ23" s="269"/>
      <c r="AK23" s="269">
        <v>8553383</v>
      </c>
      <c r="AL23" s="269"/>
      <c r="AM23" s="269"/>
      <c r="AN23" s="269"/>
      <c r="AO23" s="269"/>
      <c r="AP23" s="269"/>
      <c r="AQ23" s="269"/>
      <c r="AR23" s="269"/>
      <c r="AS23" s="269"/>
      <c r="AT23" s="269"/>
      <c r="AU23" s="269"/>
      <c r="AV23" s="269">
        <v>16641238</v>
      </c>
      <c r="AW23" s="269"/>
      <c r="AX23" s="269"/>
      <c r="AY23" s="269"/>
      <c r="AZ23" s="191">
        <v>279913760</v>
      </c>
      <c r="BA23" s="192">
        <v>3395251604</v>
      </c>
    </row>
    <row r="24" spans="1:53" ht="15" x14ac:dyDescent="0.25">
      <c r="A24" s="328" t="s">
        <v>566</v>
      </c>
      <c r="B24" s="431"/>
      <c r="C24" s="269"/>
      <c r="D24" s="269"/>
      <c r="E24" s="191">
        <v>0</v>
      </c>
      <c r="F24" s="192">
        <v>0</v>
      </c>
      <c r="G24" s="65"/>
      <c r="H24" s="269"/>
      <c r="I24" s="269"/>
      <c r="J24" s="269"/>
      <c r="K24" s="269"/>
      <c r="L24" s="269"/>
      <c r="M24" s="269"/>
      <c r="N24" s="269"/>
      <c r="O24" s="269"/>
      <c r="P24" s="269"/>
      <c r="Q24" s="269"/>
      <c r="R24" s="191">
        <v>0</v>
      </c>
      <c r="S24" s="192">
        <v>0</v>
      </c>
      <c r="T24" s="269"/>
      <c r="U24" s="269"/>
      <c r="V24" s="269"/>
      <c r="W24" s="269"/>
      <c r="X24" s="269"/>
      <c r="Y24" s="269"/>
      <c r="Z24" s="269"/>
      <c r="AA24" s="269"/>
      <c r="AB24" s="269"/>
      <c r="AC24" s="269"/>
      <c r="AD24" s="269"/>
      <c r="AE24" s="269"/>
      <c r="AF24" s="269"/>
      <c r="AG24" s="269"/>
      <c r="AH24" s="269"/>
      <c r="AI24" s="269"/>
      <c r="AJ24" s="269"/>
      <c r="AK24" s="269"/>
      <c r="AL24" s="269"/>
      <c r="AM24" s="269"/>
      <c r="AN24" s="269"/>
      <c r="AO24" s="269"/>
      <c r="AP24" s="269"/>
      <c r="AQ24" s="269"/>
      <c r="AR24" s="269"/>
      <c r="AS24" s="269"/>
      <c r="AT24" s="269"/>
      <c r="AU24" s="269"/>
      <c r="AV24" s="269"/>
      <c r="AW24" s="269"/>
      <c r="AX24" s="269"/>
      <c r="AY24" s="269"/>
      <c r="AZ24" s="191">
        <v>0</v>
      </c>
      <c r="BA24" s="192">
        <v>0</v>
      </c>
    </row>
    <row r="25" spans="1:53" ht="15" x14ac:dyDescent="0.25">
      <c r="A25" s="328" t="s">
        <v>567</v>
      </c>
      <c r="B25" s="431">
        <v>3050337844</v>
      </c>
      <c r="C25" s="269"/>
      <c r="D25" s="269"/>
      <c r="E25" s="191">
        <v>0</v>
      </c>
      <c r="F25" s="192">
        <v>3050337844</v>
      </c>
      <c r="G25" s="65"/>
      <c r="H25" s="269"/>
      <c r="I25" s="269"/>
      <c r="J25" s="269"/>
      <c r="K25" s="269"/>
      <c r="L25" s="269"/>
      <c r="M25" s="269"/>
      <c r="N25" s="269"/>
      <c r="O25" s="269"/>
      <c r="P25" s="269"/>
      <c r="Q25" s="269"/>
      <c r="R25" s="191">
        <v>0</v>
      </c>
      <c r="S25" s="192">
        <v>3050337844</v>
      </c>
      <c r="T25" s="269"/>
      <c r="U25" s="269"/>
      <c r="V25" s="269"/>
      <c r="W25" s="269"/>
      <c r="X25" s="269"/>
      <c r="Y25" s="269"/>
      <c r="Z25" s="269"/>
      <c r="AA25" s="269"/>
      <c r="AB25" s="269">
        <v>254719139</v>
      </c>
      <c r="AC25" s="269"/>
      <c r="AD25" s="269"/>
      <c r="AE25" s="269"/>
      <c r="AF25" s="269"/>
      <c r="AG25" s="269"/>
      <c r="AH25" s="269"/>
      <c r="AI25" s="269"/>
      <c r="AJ25" s="269"/>
      <c r="AK25" s="269">
        <v>8553383</v>
      </c>
      <c r="AL25" s="269"/>
      <c r="AM25" s="269"/>
      <c r="AN25" s="269"/>
      <c r="AO25" s="269"/>
      <c r="AP25" s="269"/>
      <c r="AQ25" s="269"/>
      <c r="AR25" s="269"/>
      <c r="AS25" s="269"/>
      <c r="AT25" s="269"/>
      <c r="AU25" s="269"/>
      <c r="AV25" s="269">
        <v>16641238</v>
      </c>
      <c r="AW25" s="269"/>
      <c r="AX25" s="269"/>
      <c r="AY25" s="269"/>
      <c r="AZ25" s="191">
        <v>279913760</v>
      </c>
      <c r="BA25" s="192">
        <v>3330251604</v>
      </c>
    </row>
    <row r="26" spans="1:53" s="64" customFormat="1" ht="15" x14ac:dyDescent="0.25">
      <c r="A26" s="328" t="s">
        <v>568</v>
      </c>
      <c r="B26" s="431">
        <v>65000000</v>
      </c>
      <c r="C26" s="269"/>
      <c r="D26" s="269"/>
      <c r="E26" s="191">
        <v>0</v>
      </c>
      <c r="F26" s="192">
        <v>65000000</v>
      </c>
      <c r="G26" s="65"/>
      <c r="H26" s="269"/>
      <c r="I26" s="269"/>
      <c r="J26" s="269"/>
      <c r="K26" s="269"/>
      <c r="L26" s="269"/>
      <c r="M26" s="269"/>
      <c r="N26" s="269"/>
      <c r="O26" s="269"/>
      <c r="P26" s="269"/>
      <c r="Q26" s="269"/>
      <c r="R26" s="191">
        <v>0</v>
      </c>
      <c r="S26" s="192">
        <v>65000000</v>
      </c>
      <c r="T26" s="269"/>
      <c r="U26" s="269"/>
      <c r="V26" s="269"/>
      <c r="W26" s="269"/>
      <c r="X26" s="269"/>
      <c r="Y26" s="269"/>
      <c r="Z26" s="269"/>
      <c r="AA26" s="269"/>
      <c r="AB26" s="269"/>
      <c r="AC26" s="269"/>
      <c r="AD26" s="269"/>
      <c r="AE26" s="269"/>
      <c r="AF26" s="269"/>
      <c r="AG26" s="269"/>
      <c r="AH26" s="269"/>
      <c r="AI26" s="269"/>
      <c r="AJ26" s="269"/>
      <c r="AK26" s="269"/>
      <c r="AL26" s="269"/>
      <c r="AM26" s="269"/>
      <c r="AN26" s="269"/>
      <c r="AO26" s="269"/>
      <c r="AP26" s="269"/>
      <c r="AQ26" s="269"/>
      <c r="AR26" s="269"/>
      <c r="AS26" s="269"/>
      <c r="AT26" s="269"/>
      <c r="AU26" s="269"/>
      <c r="AV26" s="269"/>
      <c r="AW26" s="269"/>
      <c r="AX26" s="269"/>
      <c r="AY26" s="269"/>
      <c r="AZ26" s="191">
        <v>0</v>
      </c>
      <c r="BA26" s="192">
        <v>65000000</v>
      </c>
    </row>
    <row r="27" spans="1:53" ht="15" x14ac:dyDescent="0.25">
      <c r="A27" s="328" t="s">
        <v>113</v>
      </c>
      <c r="B27" s="431">
        <v>276266938</v>
      </c>
      <c r="C27" s="269"/>
      <c r="D27" s="269"/>
      <c r="E27" s="191">
        <v>0</v>
      </c>
      <c r="F27" s="192">
        <v>276266938</v>
      </c>
      <c r="G27" s="65"/>
      <c r="H27" s="269"/>
      <c r="I27" s="269"/>
      <c r="J27" s="269"/>
      <c r="K27" s="269"/>
      <c r="L27" s="269"/>
      <c r="M27" s="269"/>
      <c r="N27" s="269"/>
      <c r="O27" s="269"/>
      <c r="P27" s="269"/>
      <c r="Q27" s="269"/>
      <c r="R27" s="191">
        <v>0</v>
      </c>
      <c r="S27" s="192">
        <v>276266938</v>
      </c>
      <c r="T27" s="269"/>
      <c r="U27" s="269"/>
      <c r="V27" s="269"/>
      <c r="W27" s="269"/>
      <c r="X27" s="269"/>
      <c r="Y27" s="269"/>
      <c r="Z27" s="269"/>
      <c r="AA27" s="269"/>
      <c r="AB27" s="269"/>
      <c r="AC27" s="269"/>
      <c r="AD27" s="269"/>
      <c r="AE27" s="269"/>
      <c r="AF27" s="269"/>
      <c r="AG27" s="269"/>
      <c r="AH27" s="269"/>
      <c r="AI27" s="269"/>
      <c r="AJ27" s="269"/>
      <c r="AK27" s="269"/>
      <c r="AL27" s="269"/>
      <c r="AM27" s="269"/>
      <c r="AN27" s="269"/>
      <c r="AO27" s="269"/>
      <c r="AP27" s="269"/>
      <c r="AQ27" s="269"/>
      <c r="AR27" s="269"/>
      <c r="AS27" s="269"/>
      <c r="AT27" s="269"/>
      <c r="AU27" s="269"/>
      <c r="AV27" s="269"/>
      <c r="AW27" s="269"/>
      <c r="AX27" s="269"/>
      <c r="AY27" s="269"/>
      <c r="AZ27" s="191">
        <v>0</v>
      </c>
      <c r="BA27" s="192">
        <v>276266938</v>
      </c>
    </row>
    <row r="28" spans="1:53" ht="15" x14ac:dyDescent="0.25">
      <c r="A28" s="328" t="s">
        <v>569</v>
      </c>
      <c r="B28" s="431">
        <v>276266938</v>
      </c>
      <c r="C28" s="269"/>
      <c r="D28" s="269"/>
      <c r="E28" s="191">
        <v>0</v>
      </c>
      <c r="F28" s="192">
        <v>276266938</v>
      </c>
      <c r="G28" s="65"/>
      <c r="H28" s="269"/>
      <c r="I28" s="269"/>
      <c r="J28" s="269"/>
      <c r="K28" s="269"/>
      <c r="L28" s="269"/>
      <c r="M28" s="269"/>
      <c r="N28" s="269"/>
      <c r="O28" s="269"/>
      <c r="P28" s="269"/>
      <c r="Q28" s="269"/>
      <c r="R28" s="191">
        <v>0</v>
      </c>
      <c r="S28" s="192">
        <v>276266938</v>
      </c>
      <c r="T28" s="269"/>
      <c r="U28" s="269"/>
      <c r="V28" s="269"/>
      <c r="W28" s="269"/>
      <c r="X28" s="269"/>
      <c r="Y28" s="269"/>
      <c r="Z28" s="269"/>
      <c r="AA28" s="269"/>
      <c r="AB28" s="269"/>
      <c r="AC28" s="269"/>
      <c r="AD28" s="269"/>
      <c r="AE28" s="269"/>
      <c r="AF28" s="269"/>
      <c r="AG28" s="269"/>
      <c r="AH28" s="269"/>
      <c r="AI28" s="269"/>
      <c r="AJ28" s="269"/>
      <c r="AK28" s="269"/>
      <c r="AL28" s="269"/>
      <c r="AM28" s="269"/>
      <c r="AN28" s="269"/>
      <c r="AO28" s="269"/>
      <c r="AP28" s="269"/>
      <c r="AQ28" s="269"/>
      <c r="AR28" s="269"/>
      <c r="AS28" s="269"/>
      <c r="AT28" s="269"/>
      <c r="AU28" s="269"/>
      <c r="AV28" s="269"/>
      <c r="AW28" s="269"/>
      <c r="AX28" s="269"/>
      <c r="AY28" s="269"/>
      <c r="AZ28" s="191">
        <v>0</v>
      </c>
      <c r="BA28" s="192">
        <v>276266938</v>
      </c>
    </row>
    <row r="29" spans="1:53" ht="15" x14ac:dyDescent="0.25">
      <c r="A29" s="328" t="s">
        <v>114</v>
      </c>
      <c r="B29" s="431">
        <v>7000000000</v>
      </c>
      <c r="C29" s="269"/>
      <c r="D29" s="269"/>
      <c r="E29" s="191">
        <v>0</v>
      </c>
      <c r="F29" s="192">
        <v>7000000000</v>
      </c>
      <c r="G29" s="65"/>
      <c r="H29" s="269"/>
      <c r="I29" s="269"/>
      <c r="J29" s="269"/>
      <c r="K29" s="269"/>
      <c r="L29" s="269"/>
      <c r="M29" s="269"/>
      <c r="N29" s="269"/>
      <c r="O29" s="269"/>
      <c r="P29" s="269"/>
      <c r="Q29" s="269"/>
      <c r="R29" s="191">
        <v>0</v>
      </c>
      <c r="S29" s="192">
        <v>7000000000</v>
      </c>
      <c r="T29" s="269"/>
      <c r="U29" s="269"/>
      <c r="V29" s="269"/>
      <c r="W29" s="269"/>
      <c r="X29" s="269"/>
      <c r="Y29" s="269"/>
      <c r="Z29" s="269"/>
      <c r="AA29" s="269">
        <v>-9781771</v>
      </c>
      <c r="AB29" s="269">
        <v>1603188</v>
      </c>
      <c r="AC29" s="269"/>
      <c r="AD29" s="269"/>
      <c r="AE29" s="269"/>
      <c r="AF29" s="269"/>
      <c r="AG29" s="269"/>
      <c r="AH29" s="269">
        <v>-500000000</v>
      </c>
      <c r="AI29" s="269">
        <v>-20400000</v>
      </c>
      <c r="AJ29" s="269"/>
      <c r="AK29" s="269"/>
      <c r="AL29" s="269"/>
      <c r="AM29" s="269">
        <v>-20636202</v>
      </c>
      <c r="AN29" s="269"/>
      <c r="AO29" s="269"/>
      <c r="AP29" s="269"/>
      <c r="AQ29" s="269"/>
      <c r="AR29" s="269"/>
      <c r="AS29" s="269">
        <v>750000000</v>
      </c>
      <c r="AT29" s="269"/>
      <c r="AU29" s="269"/>
      <c r="AV29" s="269">
        <v>3104388</v>
      </c>
      <c r="AW29" s="269"/>
      <c r="AX29" s="269">
        <v>838179</v>
      </c>
      <c r="AY29" s="269"/>
      <c r="AZ29" s="191">
        <v>204727784</v>
      </c>
      <c r="BA29" s="192">
        <v>7204727784</v>
      </c>
    </row>
    <row r="30" spans="1:53" ht="15" x14ac:dyDescent="0.25">
      <c r="A30" s="328" t="s">
        <v>297</v>
      </c>
      <c r="B30" s="431">
        <v>2401101600</v>
      </c>
      <c r="C30" s="269"/>
      <c r="D30" s="269"/>
      <c r="E30" s="191">
        <v>0</v>
      </c>
      <c r="F30" s="192">
        <v>2401101600</v>
      </c>
      <c r="G30" s="65"/>
      <c r="H30" s="269"/>
      <c r="I30" s="269"/>
      <c r="J30" s="269"/>
      <c r="K30" s="269"/>
      <c r="L30" s="269"/>
      <c r="M30" s="269"/>
      <c r="N30" s="269"/>
      <c r="O30" s="269"/>
      <c r="P30" s="269"/>
      <c r="Q30" s="269"/>
      <c r="R30" s="191">
        <v>0</v>
      </c>
      <c r="S30" s="192">
        <v>2401101600</v>
      </c>
      <c r="T30" s="269"/>
      <c r="U30" s="269"/>
      <c r="V30" s="269"/>
      <c r="W30" s="269"/>
      <c r="X30" s="269"/>
      <c r="Y30" s="269"/>
      <c r="Z30" s="269"/>
      <c r="AA30" s="269">
        <v>-9781771</v>
      </c>
      <c r="AB30" s="269">
        <v>1603188</v>
      </c>
      <c r="AC30" s="269"/>
      <c r="AD30" s="269"/>
      <c r="AE30" s="269"/>
      <c r="AF30" s="269"/>
      <c r="AG30" s="269"/>
      <c r="AH30" s="269">
        <v>-450000000</v>
      </c>
      <c r="AI30" s="269">
        <v>20000000</v>
      </c>
      <c r="AJ30" s="269"/>
      <c r="AK30" s="269"/>
      <c r="AL30" s="269"/>
      <c r="AM30" s="269">
        <v>-18794383</v>
      </c>
      <c r="AN30" s="269"/>
      <c r="AO30" s="269"/>
      <c r="AP30" s="269"/>
      <c r="AQ30" s="269"/>
      <c r="AR30" s="269"/>
      <c r="AS30" s="269"/>
      <c r="AT30" s="269"/>
      <c r="AU30" s="269"/>
      <c r="AV30" s="269">
        <v>3104388</v>
      </c>
      <c r="AW30" s="269"/>
      <c r="AX30" s="269">
        <v>838179</v>
      </c>
      <c r="AY30" s="269"/>
      <c r="AZ30" s="191">
        <v>-453030397</v>
      </c>
      <c r="BA30" s="192">
        <v>1948071203</v>
      </c>
    </row>
    <row r="31" spans="1:53" ht="15" x14ac:dyDescent="0.25">
      <c r="A31" s="328" t="s">
        <v>557</v>
      </c>
      <c r="B31" s="431">
        <v>2191270897</v>
      </c>
      <c r="C31" s="269"/>
      <c r="D31" s="269"/>
      <c r="E31" s="191">
        <v>0</v>
      </c>
      <c r="F31" s="192">
        <v>2191270897</v>
      </c>
      <c r="G31" s="65"/>
      <c r="H31" s="269"/>
      <c r="I31" s="269"/>
      <c r="J31" s="269"/>
      <c r="K31" s="269"/>
      <c r="L31" s="269"/>
      <c r="M31" s="269"/>
      <c r="N31" s="269"/>
      <c r="O31" s="269"/>
      <c r="P31" s="269"/>
      <c r="Q31" s="269"/>
      <c r="R31" s="191">
        <v>0</v>
      </c>
      <c r="S31" s="192">
        <v>2191270897</v>
      </c>
      <c r="T31" s="269"/>
      <c r="U31" s="269"/>
      <c r="V31" s="269"/>
      <c r="W31" s="269"/>
      <c r="X31" s="269"/>
      <c r="Y31" s="269"/>
      <c r="Z31" s="269"/>
      <c r="AA31" s="269"/>
      <c r="AB31" s="269"/>
      <c r="AC31" s="269"/>
      <c r="AD31" s="269"/>
      <c r="AE31" s="269"/>
      <c r="AF31" s="269"/>
      <c r="AG31" s="269"/>
      <c r="AH31" s="269"/>
      <c r="AI31" s="269"/>
      <c r="AJ31" s="269"/>
      <c r="AK31" s="269"/>
      <c r="AL31" s="269"/>
      <c r="AM31" s="269"/>
      <c r="AN31" s="269"/>
      <c r="AO31" s="269"/>
      <c r="AP31" s="269"/>
      <c r="AQ31" s="269"/>
      <c r="AR31" s="269"/>
      <c r="AS31" s="269"/>
      <c r="AT31" s="269"/>
      <c r="AU31" s="269"/>
      <c r="AV31" s="269"/>
      <c r="AW31" s="269"/>
      <c r="AX31" s="269"/>
      <c r="AY31" s="269"/>
      <c r="AZ31" s="191">
        <v>0</v>
      </c>
      <c r="BA31" s="192">
        <v>2191270897</v>
      </c>
    </row>
    <row r="32" spans="1:53" ht="15" x14ac:dyDescent="0.25">
      <c r="A32" s="328" t="s">
        <v>558</v>
      </c>
      <c r="B32" s="431">
        <v>209830703</v>
      </c>
      <c r="C32" s="269"/>
      <c r="D32" s="269"/>
      <c r="E32" s="191">
        <v>0</v>
      </c>
      <c r="F32" s="192">
        <v>209830703</v>
      </c>
      <c r="G32" s="65"/>
      <c r="H32" s="269"/>
      <c r="I32" s="269"/>
      <c r="J32" s="269"/>
      <c r="K32" s="269"/>
      <c r="L32" s="269"/>
      <c r="M32" s="269"/>
      <c r="N32" s="269"/>
      <c r="O32" s="269"/>
      <c r="P32" s="269"/>
      <c r="Q32" s="269"/>
      <c r="R32" s="191">
        <v>0</v>
      </c>
      <c r="S32" s="192">
        <v>209830703</v>
      </c>
      <c r="T32" s="269"/>
      <c r="U32" s="269"/>
      <c r="V32" s="269"/>
      <c r="W32" s="269"/>
      <c r="X32" s="269"/>
      <c r="Y32" s="269"/>
      <c r="Z32" s="269"/>
      <c r="AA32" s="269">
        <v>-9781771</v>
      </c>
      <c r="AB32" s="269">
        <v>1603188</v>
      </c>
      <c r="AC32" s="269"/>
      <c r="AD32" s="269"/>
      <c r="AE32" s="269"/>
      <c r="AF32" s="269"/>
      <c r="AG32" s="269"/>
      <c r="AH32" s="269"/>
      <c r="AI32" s="269">
        <v>20000000</v>
      </c>
      <c r="AJ32" s="269"/>
      <c r="AK32" s="269"/>
      <c r="AL32" s="269"/>
      <c r="AM32" s="269">
        <v>-18794383</v>
      </c>
      <c r="AN32" s="269"/>
      <c r="AO32" s="269"/>
      <c r="AP32" s="269"/>
      <c r="AQ32" s="269"/>
      <c r="AR32" s="269"/>
      <c r="AS32" s="269"/>
      <c r="AT32" s="269"/>
      <c r="AU32" s="269"/>
      <c r="AV32" s="269">
        <v>3104388</v>
      </c>
      <c r="AW32" s="269"/>
      <c r="AX32" s="269">
        <v>838179</v>
      </c>
      <c r="AY32" s="269"/>
      <c r="AZ32" s="191">
        <v>-3030397</v>
      </c>
      <c r="BA32" s="192">
        <v>206800306</v>
      </c>
    </row>
    <row r="33" spans="1:53" ht="15" x14ac:dyDescent="0.25">
      <c r="A33" s="328" t="s">
        <v>298</v>
      </c>
      <c r="B33" s="431">
        <v>4598898400</v>
      </c>
      <c r="C33" s="269"/>
      <c r="D33" s="269"/>
      <c r="E33" s="191">
        <v>0</v>
      </c>
      <c r="F33" s="192">
        <v>4598898400</v>
      </c>
      <c r="G33" s="65"/>
      <c r="H33" s="269"/>
      <c r="I33" s="269"/>
      <c r="J33" s="269"/>
      <c r="K33" s="269"/>
      <c r="L33" s="269"/>
      <c r="M33" s="269"/>
      <c r="N33" s="269"/>
      <c r="O33" s="269"/>
      <c r="P33" s="269"/>
      <c r="Q33" s="269"/>
      <c r="R33" s="191">
        <v>0</v>
      </c>
      <c r="S33" s="192">
        <v>4598898400</v>
      </c>
      <c r="T33" s="269"/>
      <c r="U33" s="269"/>
      <c r="V33" s="269"/>
      <c r="W33" s="269"/>
      <c r="X33" s="269"/>
      <c r="Y33" s="269"/>
      <c r="Z33" s="269"/>
      <c r="AA33" s="269"/>
      <c r="AB33" s="269"/>
      <c r="AC33" s="269"/>
      <c r="AD33" s="269"/>
      <c r="AE33" s="269"/>
      <c r="AF33" s="269"/>
      <c r="AG33" s="269"/>
      <c r="AH33" s="269">
        <v>-50000000</v>
      </c>
      <c r="AI33" s="269">
        <v>-40400000</v>
      </c>
      <c r="AJ33" s="269"/>
      <c r="AK33" s="269"/>
      <c r="AL33" s="269"/>
      <c r="AM33" s="269">
        <v>-1841819</v>
      </c>
      <c r="AN33" s="269"/>
      <c r="AO33" s="269"/>
      <c r="AP33" s="269"/>
      <c r="AQ33" s="269"/>
      <c r="AR33" s="269"/>
      <c r="AS33" s="269">
        <v>750000000</v>
      </c>
      <c r="AT33" s="269"/>
      <c r="AU33" s="269"/>
      <c r="AV33" s="269"/>
      <c r="AW33" s="269"/>
      <c r="AX33" s="269"/>
      <c r="AY33" s="269"/>
      <c r="AZ33" s="191">
        <v>657758181</v>
      </c>
      <c r="BA33" s="192">
        <v>5256656581</v>
      </c>
    </row>
    <row r="34" spans="1:53" s="64" customFormat="1" ht="15" x14ac:dyDescent="0.25">
      <c r="A34" s="328" t="s">
        <v>559</v>
      </c>
      <c r="B34" s="431">
        <v>4453898400</v>
      </c>
      <c r="C34" s="269"/>
      <c r="D34" s="269"/>
      <c r="E34" s="191">
        <v>0</v>
      </c>
      <c r="F34" s="192">
        <v>4453898400</v>
      </c>
      <c r="G34" s="65"/>
      <c r="H34" s="269"/>
      <c r="I34" s="269"/>
      <c r="J34" s="269"/>
      <c r="K34" s="269"/>
      <c r="L34" s="269"/>
      <c r="M34" s="269"/>
      <c r="N34" s="269"/>
      <c r="O34" s="269"/>
      <c r="P34" s="269"/>
      <c r="Q34" s="269"/>
      <c r="R34" s="191">
        <v>0</v>
      </c>
      <c r="S34" s="192">
        <v>4453898400</v>
      </c>
      <c r="T34" s="269"/>
      <c r="U34" s="269"/>
      <c r="V34" s="269"/>
      <c r="W34" s="269"/>
      <c r="X34" s="269"/>
      <c r="Y34" s="269"/>
      <c r="Z34" s="269"/>
      <c r="AA34" s="269"/>
      <c r="AB34" s="269"/>
      <c r="AC34" s="269"/>
      <c r="AD34" s="269"/>
      <c r="AE34" s="269"/>
      <c r="AF34" s="269"/>
      <c r="AG34" s="269"/>
      <c r="AH34" s="269">
        <v>-50000000</v>
      </c>
      <c r="AI34" s="269">
        <v>-40400000</v>
      </c>
      <c r="AJ34" s="269"/>
      <c r="AK34" s="269"/>
      <c r="AL34" s="269"/>
      <c r="AM34" s="269">
        <v>-1841819</v>
      </c>
      <c r="AN34" s="269"/>
      <c r="AO34" s="269"/>
      <c r="AP34" s="269"/>
      <c r="AQ34" s="269"/>
      <c r="AR34" s="269"/>
      <c r="AS34" s="269">
        <v>750000000</v>
      </c>
      <c r="AT34" s="269"/>
      <c r="AU34" s="269"/>
      <c r="AV34" s="269"/>
      <c r="AW34" s="269"/>
      <c r="AX34" s="269"/>
      <c r="AY34" s="269"/>
      <c r="AZ34" s="191">
        <v>657758181</v>
      </c>
      <c r="BA34" s="192">
        <v>5111656581</v>
      </c>
    </row>
    <row r="35" spans="1:53" s="64" customFormat="1" ht="15" x14ac:dyDescent="0.25">
      <c r="A35" s="328" t="s">
        <v>369</v>
      </c>
      <c r="B35" s="431">
        <v>145000000</v>
      </c>
      <c r="C35" s="269"/>
      <c r="D35" s="269"/>
      <c r="E35" s="191">
        <v>0</v>
      </c>
      <c r="F35" s="192">
        <v>145000000</v>
      </c>
      <c r="G35" s="65"/>
      <c r="H35" s="269"/>
      <c r="I35" s="269"/>
      <c r="J35" s="269"/>
      <c r="K35" s="269"/>
      <c r="L35" s="269"/>
      <c r="M35" s="269"/>
      <c r="N35" s="269"/>
      <c r="O35" s="269"/>
      <c r="P35" s="269"/>
      <c r="Q35" s="269"/>
      <c r="R35" s="191">
        <v>0</v>
      </c>
      <c r="S35" s="192">
        <v>145000000</v>
      </c>
      <c r="T35" s="269"/>
      <c r="U35" s="269"/>
      <c r="V35" s="269"/>
      <c r="W35" s="269"/>
      <c r="X35" s="269"/>
      <c r="Y35" s="269"/>
      <c r="Z35" s="269"/>
      <c r="AA35" s="269"/>
      <c r="AB35" s="269"/>
      <c r="AC35" s="269"/>
      <c r="AD35" s="269"/>
      <c r="AE35" s="269"/>
      <c r="AF35" s="269"/>
      <c r="AG35" s="269"/>
      <c r="AH35" s="269"/>
      <c r="AI35" s="269"/>
      <c r="AJ35" s="269"/>
      <c r="AK35" s="269"/>
      <c r="AL35" s="269"/>
      <c r="AM35" s="269"/>
      <c r="AN35" s="269"/>
      <c r="AO35" s="269"/>
      <c r="AP35" s="269"/>
      <c r="AQ35" s="269"/>
      <c r="AR35" s="269"/>
      <c r="AS35" s="269"/>
      <c r="AT35" s="269"/>
      <c r="AU35" s="269"/>
      <c r="AV35" s="269"/>
      <c r="AW35" s="269"/>
      <c r="AX35" s="269"/>
      <c r="AY35" s="269"/>
      <c r="AZ35" s="191">
        <v>0</v>
      </c>
      <c r="BA35" s="192">
        <v>145000000</v>
      </c>
    </row>
    <row r="36" spans="1:53" ht="30" x14ac:dyDescent="0.25">
      <c r="A36" s="712" t="s">
        <v>570</v>
      </c>
      <c r="B36" s="431">
        <v>6257601977</v>
      </c>
      <c r="C36" s="269"/>
      <c r="D36" s="269">
        <v>-4938021244</v>
      </c>
      <c r="E36" s="191">
        <v>-4938021244</v>
      </c>
      <c r="F36" s="192">
        <v>1319580733</v>
      </c>
      <c r="G36" s="65">
        <v>-29155918</v>
      </c>
      <c r="H36" s="269">
        <v>-83000000</v>
      </c>
      <c r="I36" s="269"/>
      <c r="J36" s="269"/>
      <c r="K36" s="269"/>
      <c r="L36" s="269"/>
      <c r="M36" s="269"/>
      <c r="N36" s="269"/>
      <c r="O36" s="269"/>
      <c r="P36" s="269"/>
      <c r="Q36" s="269"/>
      <c r="R36" s="191">
        <v>-112155918</v>
      </c>
      <c r="S36" s="192">
        <v>1207424815</v>
      </c>
      <c r="T36" s="269">
        <v>5676855393</v>
      </c>
      <c r="U36" s="269"/>
      <c r="V36" s="269"/>
      <c r="W36" s="269"/>
      <c r="X36" s="269"/>
      <c r="Y36" s="269"/>
      <c r="Z36" s="269"/>
      <c r="AA36" s="269"/>
      <c r="AB36" s="269"/>
      <c r="AC36" s="269"/>
      <c r="AD36" s="269"/>
      <c r="AE36" s="269"/>
      <c r="AF36" s="269"/>
      <c r="AG36" s="269"/>
      <c r="AH36" s="269"/>
      <c r="AI36" s="269"/>
      <c r="AJ36" s="269"/>
      <c r="AK36" s="269"/>
      <c r="AL36" s="269"/>
      <c r="AM36" s="269"/>
      <c r="AN36" s="269"/>
      <c r="AO36" s="269"/>
      <c r="AP36" s="269"/>
      <c r="AQ36" s="269"/>
      <c r="AR36" s="269"/>
      <c r="AS36" s="269"/>
      <c r="AT36" s="269"/>
      <c r="AU36" s="269"/>
      <c r="AV36" s="269"/>
      <c r="AW36" s="269"/>
      <c r="AX36" s="269"/>
      <c r="AY36" s="269"/>
      <c r="AZ36" s="191">
        <v>5676855393</v>
      </c>
      <c r="BA36" s="192">
        <v>6884280208</v>
      </c>
    </row>
    <row r="37" spans="1:53" ht="15" x14ac:dyDescent="0.25">
      <c r="A37" s="328" t="s">
        <v>299</v>
      </c>
      <c r="B37" s="431">
        <v>2239152948</v>
      </c>
      <c r="C37" s="269">
        <v>-680000</v>
      </c>
      <c r="D37" s="269"/>
      <c r="E37" s="191">
        <v>-680000</v>
      </c>
      <c r="F37" s="192">
        <v>2238472948</v>
      </c>
      <c r="G37" s="65">
        <v>19155918</v>
      </c>
      <c r="H37" s="269"/>
      <c r="I37" s="269"/>
      <c r="J37" s="269"/>
      <c r="K37" s="269"/>
      <c r="L37" s="269"/>
      <c r="M37" s="269"/>
      <c r="N37" s="269">
        <v>106128</v>
      </c>
      <c r="O37" s="269"/>
      <c r="P37" s="269"/>
      <c r="Q37" s="269"/>
      <c r="R37" s="191">
        <v>19262046</v>
      </c>
      <c r="S37" s="192">
        <v>2257734994</v>
      </c>
      <c r="T37" s="269"/>
      <c r="U37" s="269"/>
      <c r="V37" s="269"/>
      <c r="W37" s="269">
        <v>-155743</v>
      </c>
      <c r="X37" s="269">
        <v>21979865</v>
      </c>
      <c r="Y37" s="269">
        <v>-39394536</v>
      </c>
      <c r="Z37" s="269">
        <v>-13500000</v>
      </c>
      <c r="AA37" s="269">
        <v>-20154170</v>
      </c>
      <c r="AB37" s="269">
        <v>23225251</v>
      </c>
      <c r="AC37" s="269"/>
      <c r="AD37" s="269"/>
      <c r="AE37" s="269"/>
      <c r="AF37" s="269"/>
      <c r="AG37" s="269">
        <v>-750018</v>
      </c>
      <c r="AH37" s="269"/>
      <c r="AI37" s="269"/>
      <c r="AJ37" s="269">
        <v>-8500000</v>
      </c>
      <c r="AK37" s="269"/>
      <c r="AL37" s="269"/>
      <c r="AM37" s="269">
        <v>-6863087</v>
      </c>
      <c r="AN37" s="269">
        <v>3395000</v>
      </c>
      <c r="AO37" s="269"/>
      <c r="AP37" s="269"/>
      <c r="AQ37" s="269"/>
      <c r="AR37" s="269">
        <v>1984471</v>
      </c>
      <c r="AS37" s="269"/>
      <c r="AT37" s="269">
        <v>-15559743</v>
      </c>
      <c r="AU37" s="269">
        <v>134571</v>
      </c>
      <c r="AV37" s="269">
        <v>41961060</v>
      </c>
      <c r="AW37" s="269">
        <v>56196</v>
      </c>
      <c r="AX37" s="269">
        <v>3579428</v>
      </c>
      <c r="AY37" s="269">
        <v>343000</v>
      </c>
      <c r="AZ37" s="191">
        <v>-8218455</v>
      </c>
      <c r="BA37" s="192">
        <v>2249516539</v>
      </c>
    </row>
    <row r="38" spans="1:53" ht="15" x14ac:dyDescent="0.25">
      <c r="A38" s="329" t="s">
        <v>115</v>
      </c>
      <c r="B38" s="431">
        <v>5866703995</v>
      </c>
      <c r="C38" s="527"/>
      <c r="D38" s="527"/>
      <c r="E38" s="528"/>
      <c r="F38" s="528"/>
      <c r="G38" s="529"/>
      <c r="H38" s="527"/>
      <c r="I38" s="527"/>
      <c r="J38" s="527"/>
      <c r="K38" s="527"/>
      <c r="L38" s="527"/>
      <c r="M38" s="527"/>
      <c r="N38" s="527"/>
      <c r="O38" s="527"/>
      <c r="P38" s="527"/>
      <c r="Q38" s="527"/>
      <c r="R38" s="528"/>
      <c r="S38" s="528"/>
      <c r="T38" s="269"/>
      <c r="U38" s="269"/>
      <c r="V38" s="269"/>
      <c r="W38" s="269"/>
      <c r="X38" s="269"/>
      <c r="Y38" s="269"/>
      <c r="Z38" s="269"/>
      <c r="AA38" s="269"/>
      <c r="AB38" s="269"/>
      <c r="AC38" s="269"/>
      <c r="AD38" s="269"/>
      <c r="AE38" s="269"/>
      <c r="AF38" s="269"/>
      <c r="AG38" s="269"/>
      <c r="AH38" s="269"/>
      <c r="AI38" s="269"/>
      <c r="AJ38" s="269"/>
      <c r="AK38" s="269"/>
      <c r="AL38" s="269"/>
      <c r="AM38" s="269"/>
      <c r="AN38" s="269"/>
      <c r="AO38" s="269"/>
      <c r="AP38" s="269"/>
      <c r="AQ38" s="269"/>
      <c r="AR38" s="269"/>
      <c r="AS38" s="269"/>
      <c r="AT38" s="269"/>
      <c r="AU38" s="269"/>
      <c r="AV38" s="269"/>
      <c r="AW38" s="269"/>
      <c r="AX38" s="269"/>
      <c r="AY38" s="269"/>
      <c r="AZ38" s="191"/>
      <c r="BA38" s="192"/>
    </row>
    <row r="39" spans="1:53" ht="30" x14ac:dyDescent="0.25">
      <c r="A39" s="712" t="s">
        <v>66</v>
      </c>
      <c r="B39" s="431">
        <v>4635757761</v>
      </c>
      <c r="C39" s="65"/>
      <c r="D39" s="269">
        <v>-683694662</v>
      </c>
      <c r="E39" s="191">
        <v>-683694662</v>
      </c>
      <c r="F39" s="192">
        <v>5183009333</v>
      </c>
      <c r="G39" s="65">
        <v>-200538032</v>
      </c>
      <c r="H39" s="269"/>
      <c r="I39" s="269"/>
      <c r="J39" s="269"/>
      <c r="K39" s="269"/>
      <c r="L39" s="269"/>
      <c r="M39" s="269"/>
      <c r="N39" s="269"/>
      <c r="O39" s="269"/>
      <c r="P39" s="269"/>
      <c r="Q39" s="269"/>
      <c r="R39" s="191">
        <v>-200538032</v>
      </c>
      <c r="S39" s="192">
        <v>4982471301</v>
      </c>
      <c r="T39" s="269">
        <v>969022207</v>
      </c>
      <c r="U39" s="269"/>
      <c r="V39" s="269"/>
      <c r="W39" s="269"/>
      <c r="X39" s="269"/>
      <c r="Y39" s="269"/>
      <c r="Z39" s="269"/>
      <c r="AA39" s="269"/>
      <c r="AB39" s="269"/>
      <c r="AC39" s="269"/>
      <c r="AD39" s="269"/>
      <c r="AE39" s="269"/>
      <c r="AF39" s="269"/>
      <c r="AG39" s="269"/>
      <c r="AH39" s="269">
        <v>-500000000</v>
      </c>
      <c r="AI39" s="269"/>
      <c r="AJ39" s="269"/>
      <c r="AK39" s="269"/>
      <c r="AL39" s="269"/>
      <c r="AM39" s="269"/>
      <c r="AN39" s="269"/>
      <c r="AO39" s="269">
        <v>4642760</v>
      </c>
      <c r="AP39" s="269"/>
      <c r="AQ39" s="269"/>
      <c r="AR39" s="269"/>
      <c r="AS39" s="269">
        <v>750000000</v>
      </c>
      <c r="AT39" s="269"/>
      <c r="AU39" s="269"/>
      <c r="AV39" s="269"/>
      <c r="AW39" s="269"/>
      <c r="AX39" s="269"/>
      <c r="AY39" s="269"/>
      <c r="AZ39" s="191">
        <v>1223664967</v>
      </c>
      <c r="BA39" s="192">
        <v>6206136268</v>
      </c>
    </row>
  </sheetData>
  <printOptions horizontalCentered="1"/>
  <pageMargins left="0.54" right="0.56999999999999995" top="0.78740157480314965" bottom="0.78740157480314965" header="0.51181102362204722" footer="0.31496062992125984"/>
  <pageSetup paperSize="9" scale="48" fitToWidth="0" orientation="landscape" r:id="rId1"/>
  <headerFooter alignWithMargins="0">
    <oddHeader>&amp;RKapitola A
&amp;"-,Tučné"Tabulka č. 3b/str&amp;P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63"/>
  <sheetViews>
    <sheetView topLeftCell="A46" zoomScaleNormal="100" workbookViewId="0">
      <selection activeCell="J12" sqref="J12"/>
    </sheetView>
  </sheetViews>
  <sheetFormatPr defaultRowHeight="15" x14ac:dyDescent="0.25"/>
  <cols>
    <col min="1" max="1" width="53.5703125" style="298" customWidth="1"/>
    <col min="2" max="2" width="16" bestFit="1" customWidth="1"/>
    <col min="3" max="3" width="17" bestFit="1" customWidth="1"/>
    <col min="4" max="5" width="16" bestFit="1" customWidth="1"/>
    <col min="6" max="6" width="17" bestFit="1" customWidth="1"/>
    <col min="7" max="7" width="15" bestFit="1" customWidth="1"/>
    <col min="8" max="8" width="16.140625" customWidth="1"/>
    <col min="9" max="9" width="16.5703125" customWidth="1"/>
    <col min="10" max="10" width="16.85546875" bestFit="1" customWidth="1"/>
    <col min="11" max="11" width="16.5703125" bestFit="1" customWidth="1"/>
    <col min="12" max="12" width="15" style="72" bestFit="1" customWidth="1"/>
    <col min="256" max="256" width="8.7109375" bestFit="1" customWidth="1"/>
    <col min="257" max="257" width="47.85546875" bestFit="1" customWidth="1"/>
    <col min="258" max="258" width="16" bestFit="1" customWidth="1"/>
    <col min="259" max="259" width="17" bestFit="1" customWidth="1"/>
    <col min="260" max="261" width="16" bestFit="1" customWidth="1"/>
    <col min="262" max="262" width="17" bestFit="1" customWidth="1"/>
    <col min="263" max="263" width="15" bestFit="1" customWidth="1"/>
    <col min="264" max="264" width="16.140625" customWidth="1"/>
    <col min="265" max="265" width="16.5703125" customWidth="1"/>
    <col min="266" max="266" width="16.85546875" bestFit="1" customWidth="1"/>
    <col min="267" max="267" width="16.5703125" bestFit="1" customWidth="1"/>
    <col min="268" max="268" width="15" bestFit="1" customWidth="1"/>
    <col min="512" max="512" width="8.7109375" bestFit="1" customWidth="1"/>
    <col min="513" max="513" width="47.85546875" bestFit="1" customWidth="1"/>
    <col min="514" max="514" width="16" bestFit="1" customWidth="1"/>
    <col min="515" max="515" width="17" bestFit="1" customWidth="1"/>
    <col min="516" max="517" width="16" bestFit="1" customWidth="1"/>
    <col min="518" max="518" width="17" bestFit="1" customWidth="1"/>
    <col min="519" max="519" width="15" bestFit="1" customWidth="1"/>
    <col min="520" max="520" width="16.140625" customWidth="1"/>
    <col min="521" max="521" width="16.5703125" customWidth="1"/>
    <col min="522" max="522" width="16.85546875" bestFit="1" customWidth="1"/>
    <col min="523" max="523" width="16.5703125" bestFit="1" customWidth="1"/>
    <col min="524" max="524" width="15" bestFit="1" customWidth="1"/>
    <col min="768" max="768" width="8.7109375" bestFit="1" customWidth="1"/>
    <col min="769" max="769" width="47.85546875" bestFit="1" customWidth="1"/>
    <col min="770" max="770" width="16" bestFit="1" customWidth="1"/>
    <col min="771" max="771" width="17" bestFit="1" customWidth="1"/>
    <col min="772" max="773" width="16" bestFit="1" customWidth="1"/>
    <col min="774" max="774" width="17" bestFit="1" customWidth="1"/>
    <col min="775" max="775" width="15" bestFit="1" customWidth="1"/>
    <col min="776" max="776" width="16.140625" customWidth="1"/>
    <col min="777" max="777" width="16.5703125" customWidth="1"/>
    <col min="778" max="778" width="16.85546875" bestFit="1" customWidth="1"/>
    <col min="779" max="779" width="16.5703125" bestFit="1" customWidth="1"/>
    <col min="780" max="780" width="15" bestFit="1" customWidth="1"/>
    <col min="1024" max="1024" width="8.7109375" bestFit="1" customWidth="1"/>
    <col min="1025" max="1025" width="47.85546875" bestFit="1" customWidth="1"/>
    <col min="1026" max="1026" width="16" bestFit="1" customWidth="1"/>
    <col min="1027" max="1027" width="17" bestFit="1" customWidth="1"/>
    <col min="1028" max="1029" width="16" bestFit="1" customWidth="1"/>
    <col min="1030" max="1030" width="17" bestFit="1" customWidth="1"/>
    <col min="1031" max="1031" width="15" bestFit="1" customWidth="1"/>
    <col min="1032" max="1032" width="16.140625" customWidth="1"/>
    <col min="1033" max="1033" width="16.5703125" customWidth="1"/>
    <col min="1034" max="1034" width="16.85546875" bestFit="1" customWidth="1"/>
    <col min="1035" max="1035" width="16.5703125" bestFit="1" customWidth="1"/>
    <col min="1036" max="1036" width="15" bestFit="1" customWidth="1"/>
    <col min="1280" max="1280" width="8.7109375" bestFit="1" customWidth="1"/>
    <col min="1281" max="1281" width="47.85546875" bestFit="1" customWidth="1"/>
    <col min="1282" max="1282" width="16" bestFit="1" customWidth="1"/>
    <col min="1283" max="1283" width="17" bestFit="1" customWidth="1"/>
    <col min="1284" max="1285" width="16" bestFit="1" customWidth="1"/>
    <col min="1286" max="1286" width="17" bestFit="1" customWidth="1"/>
    <col min="1287" max="1287" width="15" bestFit="1" customWidth="1"/>
    <col min="1288" max="1288" width="16.140625" customWidth="1"/>
    <col min="1289" max="1289" width="16.5703125" customWidth="1"/>
    <col min="1290" max="1290" width="16.85546875" bestFit="1" customWidth="1"/>
    <col min="1291" max="1291" width="16.5703125" bestFit="1" customWidth="1"/>
    <col min="1292" max="1292" width="15" bestFit="1" customWidth="1"/>
    <col min="1536" max="1536" width="8.7109375" bestFit="1" customWidth="1"/>
    <col min="1537" max="1537" width="47.85546875" bestFit="1" customWidth="1"/>
    <col min="1538" max="1538" width="16" bestFit="1" customWidth="1"/>
    <col min="1539" max="1539" width="17" bestFit="1" customWidth="1"/>
    <col min="1540" max="1541" width="16" bestFit="1" customWidth="1"/>
    <col min="1542" max="1542" width="17" bestFit="1" customWidth="1"/>
    <col min="1543" max="1543" width="15" bestFit="1" customWidth="1"/>
    <col min="1544" max="1544" width="16.140625" customWidth="1"/>
    <col min="1545" max="1545" width="16.5703125" customWidth="1"/>
    <col min="1546" max="1546" width="16.85546875" bestFit="1" customWidth="1"/>
    <col min="1547" max="1547" width="16.5703125" bestFit="1" customWidth="1"/>
    <col min="1548" max="1548" width="15" bestFit="1" customWidth="1"/>
    <col min="1792" max="1792" width="8.7109375" bestFit="1" customWidth="1"/>
    <col min="1793" max="1793" width="47.85546875" bestFit="1" customWidth="1"/>
    <col min="1794" max="1794" width="16" bestFit="1" customWidth="1"/>
    <col min="1795" max="1795" width="17" bestFit="1" customWidth="1"/>
    <col min="1796" max="1797" width="16" bestFit="1" customWidth="1"/>
    <col min="1798" max="1798" width="17" bestFit="1" customWidth="1"/>
    <col min="1799" max="1799" width="15" bestFit="1" customWidth="1"/>
    <col min="1800" max="1800" width="16.140625" customWidth="1"/>
    <col min="1801" max="1801" width="16.5703125" customWidth="1"/>
    <col min="1802" max="1802" width="16.85546875" bestFit="1" customWidth="1"/>
    <col min="1803" max="1803" width="16.5703125" bestFit="1" customWidth="1"/>
    <col min="1804" max="1804" width="15" bestFit="1" customWidth="1"/>
    <col min="2048" max="2048" width="8.7109375" bestFit="1" customWidth="1"/>
    <col min="2049" max="2049" width="47.85546875" bestFit="1" customWidth="1"/>
    <col min="2050" max="2050" width="16" bestFit="1" customWidth="1"/>
    <col min="2051" max="2051" width="17" bestFit="1" customWidth="1"/>
    <col min="2052" max="2053" width="16" bestFit="1" customWidth="1"/>
    <col min="2054" max="2054" width="17" bestFit="1" customWidth="1"/>
    <col min="2055" max="2055" width="15" bestFit="1" customWidth="1"/>
    <col min="2056" max="2056" width="16.140625" customWidth="1"/>
    <col min="2057" max="2057" width="16.5703125" customWidth="1"/>
    <col min="2058" max="2058" width="16.85546875" bestFit="1" customWidth="1"/>
    <col min="2059" max="2059" width="16.5703125" bestFit="1" customWidth="1"/>
    <col min="2060" max="2060" width="15" bestFit="1" customWidth="1"/>
    <col min="2304" max="2304" width="8.7109375" bestFit="1" customWidth="1"/>
    <col min="2305" max="2305" width="47.85546875" bestFit="1" customWidth="1"/>
    <col min="2306" max="2306" width="16" bestFit="1" customWidth="1"/>
    <col min="2307" max="2307" width="17" bestFit="1" customWidth="1"/>
    <col min="2308" max="2309" width="16" bestFit="1" customWidth="1"/>
    <col min="2310" max="2310" width="17" bestFit="1" customWidth="1"/>
    <col min="2311" max="2311" width="15" bestFit="1" customWidth="1"/>
    <col min="2312" max="2312" width="16.140625" customWidth="1"/>
    <col min="2313" max="2313" width="16.5703125" customWidth="1"/>
    <col min="2314" max="2314" width="16.85546875" bestFit="1" customWidth="1"/>
    <col min="2315" max="2315" width="16.5703125" bestFit="1" customWidth="1"/>
    <col min="2316" max="2316" width="15" bestFit="1" customWidth="1"/>
    <col min="2560" max="2560" width="8.7109375" bestFit="1" customWidth="1"/>
    <col min="2561" max="2561" width="47.85546875" bestFit="1" customWidth="1"/>
    <col min="2562" max="2562" width="16" bestFit="1" customWidth="1"/>
    <col min="2563" max="2563" width="17" bestFit="1" customWidth="1"/>
    <col min="2564" max="2565" width="16" bestFit="1" customWidth="1"/>
    <col min="2566" max="2566" width="17" bestFit="1" customWidth="1"/>
    <col min="2567" max="2567" width="15" bestFit="1" customWidth="1"/>
    <col min="2568" max="2568" width="16.140625" customWidth="1"/>
    <col min="2569" max="2569" width="16.5703125" customWidth="1"/>
    <col min="2570" max="2570" width="16.85546875" bestFit="1" customWidth="1"/>
    <col min="2571" max="2571" width="16.5703125" bestFit="1" customWidth="1"/>
    <col min="2572" max="2572" width="15" bestFit="1" customWidth="1"/>
    <col min="2816" max="2816" width="8.7109375" bestFit="1" customWidth="1"/>
    <col min="2817" max="2817" width="47.85546875" bestFit="1" customWidth="1"/>
    <col min="2818" max="2818" width="16" bestFit="1" customWidth="1"/>
    <col min="2819" max="2819" width="17" bestFit="1" customWidth="1"/>
    <col min="2820" max="2821" width="16" bestFit="1" customWidth="1"/>
    <col min="2822" max="2822" width="17" bestFit="1" customWidth="1"/>
    <col min="2823" max="2823" width="15" bestFit="1" customWidth="1"/>
    <col min="2824" max="2824" width="16.140625" customWidth="1"/>
    <col min="2825" max="2825" width="16.5703125" customWidth="1"/>
    <col min="2826" max="2826" width="16.85546875" bestFit="1" customWidth="1"/>
    <col min="2827" max="2827" width="16.5703125" bestFit="1" customWidth="1"/>
    <col min="2828" max="2828" width="15" bestFit="1" customWidth="1"/>
    <col min="3072" max="3072" width="8.7109375" bestFit="1" customWidth="1"/>
    <col min="3073" max="3073" width="47.85546875" bestFit="1" customWidth="1"/>
    <col min="3074" max="3074" width="16" bestFit="1" customWidth="1"/>
    <col min="3075" max="3075" width="17" bestFit="1" customWidth="1"/>
    <col min="3076" max="3077" width="16" bestFit="1" customWidth="1"/>
    <col min="3078" max="3078" width="17" bestFit="1" customWidth="1"/>
    <col min="3079" max="3079" width="15" bestFit="1" customWidth="1"/>
    <col min="3080" max="3080" width="16.140625" customWidth="1"/>
    <col min="3081" max="3081" width="16.5703125" customWidth="1"/>
    <col min="3082" max="3082" width="16.85546875" bestFit="1" customWidth="1"/>
    <col min="3083" max="3083" width="16.5703125" bestFit="1" customWidth="1"/>
    <col min="3084" max="3084" width="15" bestFit="1" customWidth="1"/>
    <col min="3328" max="3328" width="8.7109375" bestFit="1" customWidth="1"/>
    <col min="3329" max="3329" width="47.85546875" bestFit="1" customWidth="1"/>
    <col min="3330" max="3330" width="16" bestFit="1" customWidth="1"/>
    <col min="3331" max="3331" width="17" bestFit="1" customWidth="1"/>
    <col min="3332" max="3333" width="16" bestFit="1" customWidth="1"/>
    <col min="3334" max="3334" width="17" bestFit="1" customWidth="1"/>
    <col min="3335" max="3335" width="15" bestFit="1" customWidth="1"/>
    <col min="3336" max="3336" width="16.140625" customWidth="1"/>
    <col min="3337" max="3337" width="16.5703125" customWidth="1"/>
    <col min="3338" max="3338" width="16.85546875" bestFit="1" customWidth="1"/>
    <col min="3339" max="3339" width="16.5703125" bestFit="1" customWidth="1"/>
    <col min="3340" max="3340" width="15" bestFit="1" customWidth="1"/>
    <col min="3584" max="3584" width="8.7109375" bestFit="1" customWidth="1"/>
    <col min="3585" max="3585" width="47.85546875" bestFit="1" customWidth="1"/>
    <col min="3586" max="3586" width="16" bestFit="1" customWidth="1"/>
    <col min="3587" max="3587" width="17" bestFit="1" customWidth="1"/>
    <col min="3588" max="3589" width="16" bestFit="1" customWidth="1"/>
    <col min="3590" max="3590" width="17" bestFit="1" customWidth="1"/>
    <col min="3591" max="3591" width="15" bestFit="1" customWidth="1"/>
    <col min="3592" max="3592" width="16.140625" customWidth="1"/>
    <col min="3593" max="3593" width="16.5703125" customWidth="1"/>
    <col min="3594" max="3594" width="16.85546875" bestFit="1" customWidth="1"/>
    <col min="3595" max="3595" width="16.5703125" bestFit="1" customWidth="1"/>
    <col min="3596" max="3596" width="15" bestFit="1" customWidth="1"/>
    <col min="3840" max="3840" width="8.7109375" bestFit="1" customWidth="1"/>
    <col min="3841" max="3841" width="47.85546875" bestFit="1" customWidth="1"/>
    <col min="3842" max="3842" width="16" bestFit="1" customWidth="1"/>
    <col min="3843" max="3843" width="17" bestFit="1" customWidth="1"/>
    <col min="3844" max="3845" width="16" bestFit="1" customWidth="1"/>
    <col min="3846" max="3846" width="17" bestFit="1" customWidth="1"/>
    <col min="3847" max="3847" width="15" bestFit="1" customWidth="1"/>
    <col min="3848" max="3848" width="16.140625" customWidth="1"/>
    <col min="3849" max="3849" width="16.5703125" customWidth="1"/>
    <col min="3850" max="3850" width="16.85546875" bestFit="1" customWidth="1"/>
    <col min="3851" max="3851" width="16.5703125" bestFit="1" customWidth="1"/>
    <col min="3852" max="3852" width="15" bestFit="1" customWidth="1"/>
    <col min="4096" max="4096" width="8.7109375" bestFit="1" customWidth="1"/>
    <col min="4097" max="4097" width="47.85546875" bestFit="1" customWidth="1"/>
    <col min="4098" max="4098" width="16" bestFit="1" customWidth="1"/>
    <col min="4099" max="4099" width="17" bestFit="1" customWidth="1"/>
    <col min="4100" max="4101" width="16" bestFit="1" customWidth="1"/>
    <col min="4102" max="4102" width="17" bestFit="1" customWidth="1"/>
    <col min="4103" max="4103" width="15" bestFit="1" customWidth="1"/>
    <col min="4104" max="4104" width="16.140625" customWidth="1"/>
    <col min="4105" max="4105" width="16.5703125" customWidth="1"/>
    <col min="4106" max="4106" width="16.85546875" bestFit="1" customWidth="1"/>
    <col min="4107" max="4107" width="16.5703125" bestFit="1" customWidth="1"/>
    <col min="4108" max="4108" width="15" bestFit="1" customWidth="1"/>
    <col min="4352" max="4352" width="8.7109375" bestFit="1" customWidth="1"/>
    <col min="4353" max="4353" width="47.85546875" bestFit="1" customWidth="1"/>
    <col min="4354" max="4354" width="16" bestFit="1" customWidth="1"/>
    <col min="4355" max="4355" width="17" bestFit="1" customWidth="1"/>
    <col min="4356" max="4357" width="16" bestFit="1" customWidth="1"/>
    <col min="4358" max="4358" width="17" bestFit="1" customWidth="1"/>
    <col min="4359" max="4359" width="15" bestFit="1" customWidth="1"/>
    <col min="4360" max="4360" width="16.140625" customWidth="1"/>
    <col min="4361" max="4361" width="16.5703125" customWidth="1"/>
    <col min="4362" max="4362" width="16.85546875" bestFit="1" customWidth="1"/>
    <col min="4363" max="4363" width="16.5703125" bestFit="1" customWidth="1"/>
    <col min="4364" max="4364" width="15" bestFit="1" customWidth="1"/>
    <col min="4608" max="4608" width="8.7109375" bestFit="1" customWidth="1"/>
    <col min="4609" max="4609" width="47.85546875" bestFit="1" customWidth="1"/>
    <col min="4610" max="4610" width="16" bestFit="1" customWidth="1"/>
    <col min="4611" max="4611" width="17" bestFit="1" customWidth="1"/>
    <col min="4612" max="4613" width="16" bestFit="1" customWidth="1"/>
    <col min="4614" max="4614" width="17" bestFit="1" customWidth="1"/>
    <col min="4615" max="4615" width="15" bestFit="1" customWidth="1"/>
    <col min="4616" max="4616" width="16.140625" customWidth="1"/>
    <col min="4617" max="4617" width="16.5703125" customWidth="1"/>
    <col min="4618" max="4618" width="16.85546875" bestFit="1" customWidth="1"/>
    <col min="4619" max="4619" width="16.5703125" bestFit="1" customWidth="1"/>
    <col min="4620" max="4620" width="15" bestFit="1" customWidth="1"/>
    <col min="4864" max="4864" width="8.7109375" bestFit="1" customWidth="1"/>
    <col min="4865" max="4865" width="47.85546875" bestFit="1" customWidth="1"/>
    <col min="4866" max="4866" width="16" bestFit="1" customWidth="1"/>
    <col min="4867" max="4867" width="17" bestFit="1" customWidth="1"/>
    <col min="4868" max="4869" width="16" bestFit="1" customWidth="1"/>
    <col min="4870" max="4870" width="17" bestFit="1" customWidth="1"/>
    <col min="4871" max="4871" width="15" bestFit="1" customWidth="1"/>
    <col min="4872" max="4872" width="16.140625" customWidth="1"/>
    <col min="4873" max="4873" width="16.5703125" customWidth="1"/>
    <col min="4874" max="4874" width="16.85546875" bestFit="1" customWidth="1"/>
    <col min="4875" max="4875" width="16.5703125" bestFit="1" customWidth="1"/>
    <col min="4876" max="4876" width="15" bestFit="1" customWidth="1"/>
    <col min="5120" max="5120" width="8.7109375" bestFit="1" customWidth="1"/>
    <col min="5121" max="5121" width="47.85546875" bestFit="1" customWidth="1"/>
    <col min="5122" max="5122" width="16" bestFit="1" customWidth="1"/>
    <col min="5123" max="5123" width="17" bestFit="1" customWidth="1"/>
    <col min="5124" max="5125" width="16" bestFit="1" customWidth="1"/>
    <col min="5126" max="5126" width="17" bestFit="1" customWidth="1"/>
    <col min="5127" max="5127" width="15" bestFit="1" customWidth="1"/>
    <col min="5128" max="5128" width="16.140625" customWidth="1"/>
    <col min="5129" max="5129" width="16.5703125" customWidth="1"/>
    <col min="5130" max="5130" width="16.85546875" bestFit="1" customWidth="1"/>
    <col min="5131" max="5131" width="16.5703125" bestFit="1" customWidth="1"/>
    <col min="5132" max="5132" width="15" bestFit="1" customWidth="1"/>
    <col min="5376" max="5376" width="8.7109375" bestFit="1" customWidth="1"/>
    <col min="5377" max="5377" width="47.85546875" bestFit="1" customWidth="1"/>
    <col min="5378" max="5378" width="16" bestFit="1" customWidth="1"/>
    <col min="5379" max="5379" width="17" bestFit="1" customWidth="1"/>
    <col min="5380" max="5381" width="16" bestFit="1" customWidth="1"/>
    <col min="5382" max="5382" width="17" bestFit="1" customWidth="1"/>
    <col min="5383" max="5383" width="15" bestFit="1" customWidth="1"/>
    <col min="5384" max="5384" width="16.140625" customWidth="1"/>
    <col min="5385" max="5385" width="16.5703125" customWidth="1"/>
    <col min="5386" max="5386" width="16.85546875" bestFit="1" customWidth="1"/>
    <col min="5387" max="5387" width="16.5703125" bestFit="1" customWidth="1"/>
    <col min="5388" max="5388" width="15" bestFit="1" customWidth="1"/>
    <col min="5632" max="5632" width="8.7109375" bestFit="1" customWidth="1"/>
    <col min="5633" max="5633" width="47.85546875" bestFit="1" customWidth="1"/>
    <col min="5634" max="5634" width="16" bestFit="1" customWidth="1"/>
    <col min="5635" max="5635" width="17" bestFit="1" customWidth="1"/>
    <col min="5636" max="5637" width="16" bestFit="1" customWidth="1"/>
    <col min="5638" max="5638" width="17" bestFit="1" customWidth="1"/>
    <col min="5639" max="5639" width="15" bestFit="1" customWidth="1"/>
    <col min="5640" max="5640" width="16.140625" customWidth="1"/>
    <col min="5641" max="5641" width="16.5703125" customWidth="1"/>
    <col min="5642" max="5642" width="16.85546875" bestFit="1" customWidth="1"/>
    <col min="5643" max="5643" width="16.5703125" bestFit="1" customWidth="1"/>
    <col min="5644" max="5644" width="15" bestFit="1" customWidth="1"/>
    <col min="5888" max="5888" width="8.7109375" bestFit="1" customWidth="1"/>
    <col min="5889" max="5889" width="47.85546875" bestFit="1" customWidth="1"/>
    <col min="5890" max="5890" width="16" bestFit="1" customWidth="1"/>
    <col min="5891" max="5891" width="17" bestFit="1" customWidth="1"/>
    <col min="5892" max="5893" width="16" bestFit="1" customWidth="1"/>
    <col min="5894" max="5894" width="17" bestFit="1" customWidth="1"/>
    <col min="5895" max="5895" width="15" bestFit="1" customWidth="1"/>
    <col min="5896" max="5896" width="16.140625" customWidth="1"/>
    <col min="5897" max="5897" width="16.5703125" customWidth="1"/>
    <col min="5898" max="5898" width="16.85546875" bestFit="1" customWidth="1"/>
    <col min="5899" max="5899" width="16.5703125" bestFit="1" customWidth="1"/>
    <col min="5900" max="5900" width="15" bestFit="1" customWidth="1"/>
    <col min="6144" max="6144" width="8.7109375" bestFit="1" customWidth="1"/>
    <col min="6145" max="6145" width="47.85546875" bestFit="1" customWidth="1"/>
    <col min="6146" max="6146" width="16" bestFit="1" customWidth="1"/>
    <col min="6147" max="6147" width="17" bestFit="1" customWidth="1"/>
    <col min="6148" max="6149" width="16" bestFit="1" customWidth="1"/>
    <col min="6150" max="6150" width="17" bestFit="1" customWidth="1"/>
    <col min="6151" max="6151" width="15" bestFit="1" customWidth="1"/>
    <col min="6152" max="6152" width="16.140625" customWidth="1"/>
    <col min="6153" max="6153" width="16.5703125" customWidth="1"/>
    <col min="6154" max="6154" width="16.85546875" bestFit="1" customWidth="1"/>
    <col min="6155" max="6155" width="16.5703125" bestFit="1" customWidth="1"/>
    <col min="6156" max="6156" width="15" bestFit="1" customWidth="1"/>
    <col min="6400" max="6400" width="8.7109375" bestFit="1" customWidth="1"/>
    <col min="6401" max="6401" width="47.85546875" bestFit="1" customWidth="1"/>
    <col min="6402" max="6402" width="16" bestFit="1" customWidth="1"/>
    <col min="6403" max="6403" width="17" bestFit="1" customWidth="1"/>
    <col min="6404" max="6405" width="16" bestFit="1" customWidth="1"/>
    <col min="6406" max="6406" width="17" bestFit="1" customWidth="1"/>
    <col min="6407" max="6407" width="15" bestFit="1" customWidth="1"/>
    <col min="6408" max="6408" width="16.140625" customWidth="1"/>
    <col min="6409" max="6409" width="16.5703125" customWidth="1"/>
    <col min="6410" max="6410" width="16.85546875" bestFit="1" customWidth="1"/>
    <col min="6411" max="6411" width="16.5703125" bestFit="1" customWidth="1"/>
    <col min="6412" max="6412" width="15" bestFit="1" customWidth="1"/>
    <col min="6656" max="6656" width="8.7109375" bestFit="1" customWidth="1"/>
    <col min="6657" max="6657" width="47.85546875" bestFit="1" customWidth="1"/>
    <col min="6658" max="6658" width="16" bestFit="1" customWidth="1"/>
    <col min="6659" max="6659" width="17" bestFit="1" customWidth="1"/>
    <col min="6660" max="6661" width="16" bestFit="1" customWidth="1"/>
    <col min="6662" max="6662" width="17" bestFit="1" customWidth="1"/>
    <col min="6663" max="6663" width="15" bestFit="1" customWidth="1"/>
    <col min="6664" max="6664" width="16.140625" customWidth="1"/>
    <col min="6665" max="6665" width="16.5703125" customWidth="1"/>
    <col min="6666" max="6666" width="16.85546875" bestFit="1" customWidth="1"/>
    <col min="6667" max="6667" width="16.5703125" bestFit="1" customWidth="1"/>
    <col min="6668" max="6668" width="15" bestFit="1" customWidth="1"/>
    <col min="6912" max="6912" width="8.7109375" bestFit="1" customWidth="1"/>
    <col min="6913" max="6913" width="47.85546875" bestFit="1" customWidth="1"/>
    <col min="6914" max="6914" width="16" bestFit="1" customWidth="1"/>
    <col min="6915" max="6915" width="17" bestFit="1" customWidth="1"/>
    <col min="6916" max="6917" width="16" bestFit="1" customWidth="1"/>
    <col min="6918" max="6918" width="17" bestFit="1" customWidth="1"/>
    <col min="6919" max="6919" width="15" bestFit="1" customWidth="1"/>
    <col min="6920" max="6920" width="16.140625" customWidth="1"/>
    <col min="6921" max="6921" width="16.5703125" customWidth="1"/>
    <col min="6922" max="6922" width="16.85546875" bestFit="1" customWidth="1"/>
    <col min="6923" max="6923" width="16.5703125" bestFit="1" customWidth="1"/>
    <col min="6924" max="6924" width="15" bestFit="1" customWidth="1"/>
    <col min="7168" max="7168" width="8.7109375" bestFit="1" customWidth="1"/>
    <col min="7169" max="7169" width="47.85546875" bestFit="1" customWidth="1"/>
    <col min="7170" max="7170" width="16" bestFit="1" customWidth="1"/>
    <col min="7171" max="7171" width="17" bestFit="1" customWidth="1"/>
    <col min="7172" max="7173" width="16" bestFit="1" customWidth="1"/>
    <col min="7174" max="7174" width="17" bestFit="1" customWidth="1"/>
    <col min="7175" max="7175" width="15" bestFit="1" customWidth="1"/>
    <col min="7176" max="7176" width="16.140625" customWidth="1"/>
    <col min="7177" max="7177" width="16.5703125" customWidth="1"/>
    <col min="7178" max="7178" width="16.85546875" bestFit="1" customWidth="1"/>
    <col min="7179" max="7179" width="16.5703125" bestFit="1" customWidth="1"/>
    <col min="7180" max="7180" width="15" bestFit="1" customWidth="1"/>
    <col min="7424" max="7424" width="8.7109375" bestFit="1" customWidth="1"/>
    <col min="7425" max="7425" width="47.85546875" bestFit="1" customWidth="1"/>
    <col min="7426" max="7426" width="16" bestFit="1" customWidth="1"/>
    <col min="7427" max="7427" width="17" bestFit="1" customWidth="1"/>
    <col min="7428" max="7429" width="16" bestFit="1" customWidth="1"/>
    <col min="7430" max="7430" width="17" bestFit="1" customWidth="1"/>
    <col min="7431" max="7431" width="15" bestFit="1" customWidth="1"/>
    <col min="7432" max="7432" width="16.140625" customWidth="1"/>
    <col min="7433" max="7433" width="16.5703125" customWidth="1"/>
    <col min="7434" max="7434" width="16.85546875" bestFit="1" customWidth="1"/>
    <col min="7435" max="7435" width="16.5703125" bestFit="1" customWidth="1"/>
    <col min="7436" max="7436" width="15" bestFit="1" customWidth="1"/>
    <col min="7680" max="7680" width="8.7109375" bestFit="1" customWidth="1"/>
    <col min="7681" max="7681" width="47.85546875" bestFit="1" customWidth="1"/>
    <col min="7682" max="7682" width="16" bestFit="1" customWidth="1"/>
    <col min="7683" max="7683" width="17" bestFit="1" customWidth="1"/>
    <col min="7684" max="7685" width="16" bestFit="1" customWidth="1"/>
    <col min="7686" max="7686" width="17" bestFit="1" customWidth="1"/>
    <col min="7687" max="7687" width="15" bestFit="1" customWidth="1"/>
    <col min="7688" max="7688" width="16.140625" customWidth="1"/>
    <col min="7689" max="7689" width="16.5703125" customWidth="1"/>
    <col min="7690" max="7690" width="16.85546875" bestFit="1" customWidth="1"/>
    <col min="7691" max="7691" width="16.5703125" bestFit="1" customWidth="1"/>
    <col min="7692" max="7692" width="15" bestFit="1" customWidth="1"/>
    <col min="7936" max="7936" width="8.7109375" bestFit="1" customWidth="1"/>
    <col min="7937" max="7937" width="47.85546875" bestFit="1" customWidth="1"/>
    <col min="7938" max="7938" width="16" bestFit="1" customWidth="1"/>
    <col min="7939" max="7939" width="17" bestFit="1" customWidth="1"/>
    <col min="7940" max="7941" width="16" bestFit="1" customWidth="1"/>
    <col min="7942" max="7942" width="17" bestFit="1" customWidth="1"/>
    <col min="7943" max="7943" width="15" bestFit="1" customWidth="1"/>
    <col min="7944" max="7944" width="16.140625" customWidth="1"/>
    <col min="7945" max="7945" width="16.5703125" customWidth="1"/>
    <col min="7946" max="7946" width="16.85546875" bestFit="1" customWidth="1"/>
    <col min="7947" max="7947" width="16.5703125" bestFit="1" customWidth="1"/>
    <col min="7948" max="7948" width="15" bestFit="1" customWidth="1"/>
    <col min="8192" max="8192" width="8.7109375" bestFit="1" customWidth="1"/>
    <col min="8193" max="8193" width="47.85546875" bestFit="1" customWidth="1"/>
    <col min="8194" max="8194" width="16" bestFit="1" customWidth="1"/>
    <col min="8195" max="8195" width="17" bestFit="1" customWidth="1"/>
    <col min="8196" max="8197" width="16" bestFit="1" customWidth="1"/>
    <col min="8198" max="8198" width="17" bestFit="1" customWidth="1"/>
    <col min="8199" max="8199" width="15" bestFit="1" customWidth="1"/>
    <col min="8200" max="8200" width="16.140625" customWidth="1"/>
    <col min="8201" max="8201" width="16.5703125" customWidth="1"/>
    <col min="8202" max="8202" width="16.85546875" bestFit="1" customWidth="1"/>
    <col min="8203" max="8203" width="16.5703125" bestFit="1" customWidth="1"/>
    <col min="8204" max="8204" width="15" bestFit="1" customWidth="1"/>
    <col min="8448" max="8448" width="8.7109375" bestFit="1" customWidth="1"/>
    <col min="8449" max="8449" width="47.85546875" bestFit="1" customWidth="1"/>
    <col min="8450" max="8450" width="16" bestFit="1" customWidth="1"/>
    <col min="8451" max="8451" width="17" bestFit="1" customWidth="1"/>
    <col min="8452" max="8453" width="16" bestFit="1" customWidth="1"/>
    <col min="8454" max="8454" width="17" bestFit="1" customWidth="1"/>
    <col min="8455" max="8455" width="15" bestFit="1" customWidth="1"/>
    <col min="8456" max="8456" width="16.140625" customWidth="1"/>
    <col min="8457" max="8457" width="16.5703125" customWidth="1"/>
    <col min="8458" max="8458" width="16.85546875" bestFit="1" customWidth="1"/>
    <col min="8459" max="8459" width="16.5703125" bestFit="1" customWidth="1"/>
    <col min="8460" max="8460" width="15" bestFit="1" customWidth="1"/>
    <col min="8704" max="8704" width="8.7109375" bestFit="1" customWidth="1"/>
    <col min="8705" max="8705" width="47.85546875" bestFit="1" customWidth="1"/>
    <col min="8706" max="8706" width="16" bestFit="1" customWidth="1"/>
    <col min="8707" max="8707" width="17" bestFit="1" customWidth="1"/>
    <col min="8708" max="8709" width="16" bestFit="1" customWidth="1"/>
    <col min="8710" max="8710" width="17" bestFit="1" customWidth="1"/>
    <col min="8711" max="8711" width="15" bestFit="1" customWidth="1"/>
    <col min="8712" max="8712" width="16.140625" customWidth="1"/>
    <col min="8713" max="8713" width="16.5703125" customWidth="1"/>
    <col min="8714" max="8714" width="16.85546875" bestFit="1" customWidth="1"/>
    <col min="8715" max="8715" width="16.5703125" bestFit="1" customWidth="1"/>
    <col min="8716" max="8716" width="15" bestFit="1" customWidth="1"/>
    <col min="8960" max="8960" width="8.7109375" bestFit="1" customWidth="1"/>
    <col min="8961" max="8961" width="47.85546875" bestFit="1" customWidth="1"/>
    <col min="8962" max="8962" width="16" bestFit="1" customWidth="1"/>
    <col min="8963" max="8963" width="17" bestFit="1" customWidth="1"/>
    <col min="8964" max="8965" width="16" bestFit="1" customWidth="1"/>
    <col min="8966" max="8966" width="17" bestFit="1" customWidth="1"/>
    <col min="8967" max="8967" width="15" bestFit="1" customWidth="1"/>
    <col min="8968" max="8968" width="16.140625" customWidth="1"/>
    <col min="8969" max="8969" width="16.5703125" customWidth="1"/>
    <col min="8970" max="8970" width="16.85546875" bestFit="1" customWidth="1"/>
    <col min="8971" max="8971" width="16.5703125" bestFit="1" customWidth="1"/>
    <col min="8972" max="8972" width="15" bestFit="1" customWidth="1"/>
    <col min="9216" max="9216" width="8.7109375" bestFit="1" customWidth="1"/>
    <col min="9217" max="9217" width="47.85546875" bestFit="1" customWidth="1"/>
    <col min="9218" max="9218" width="16" bestFit="1" customWidth="1"/>
    <col min="9219" max="9219" width="17" bestFit="1" customWidth="1"/>
    <col min="9220" max="9221" width="16" bestFit="1" customWidth="1"/>
    <col min="9222" max="9222" width="17" bestFit="1" customWidth="1"/>
    <col min="9223" max="9223" width="15" bestFit="1" customWidth="1"/>
    <col min="9224" max="9224" width="16.140625" customWidth="1"/>
    <col min="9225" max="9225" width="16.5703125" customWidth="1"/>
    <col min="9226" max="9226" width="16.85546875" bestFit="1" customWidth="1"/>
    <col min="9227" max="9227" width="16.5703125" bestFit="1" customWidth="1"/>
    <col min="9228" max="9228" width="15" bestFit="1" customWidth="1"/>
    <col min="9472" max="9472" width="8.7109375" bestFit="1" customWidth="1"/>
    <col min="9473" max="9473" width="47.85546875" bestFit="1" customWidth="1"/>
    <col min="9474" max="9474" width="16" bestFit="1" customWidth="1"/>
    <col min="9475" max="9475" width="17" bestFit="1" customWidth="1"/>
    <col min="9476" max="9477" width="16" bestFit="1" customWidth="1"/>
    <col min="9478" max="9478" width="17" bestFit="1" customWidth="1"/>
    <col min="9479" max="9479" width="15" bestFit="1" customWidth="1"/>
    <col min="9480" max="9480" width="16.140625" customWidth="1"/>
    <col min="9481" max="9481" width="16.5703125" customWidth="1"/>
    <col min="9482" max="9482" width="16.85546875" bestFit="1" customWidth="1"/>
    <col min="9483" max="9483" width="16.5703125" bestFit="1" customWidth="1"/>
    <col min="9484" max="9484" width="15" bestFit="1" customWidth="1"/>
    <col min="9728" max="9728" width="8.7109375" bestFit="1" customWidth="1"/>
    <col min="9729" max="9729" width="47.85546875" bestFit="1" customWidth="1"/>
    <col min="9730" max="9730" width="16" bestFit="1" customWidth="1"/>
    <col min="9731" max="9731" width="17" bestFit="1" customWidth="1"/>
    <col min="9732" max="9733" width="16" bestFit="1" customWidth="1"/>
    <col min="9734" max="9734" width="17" bestFit="1" customWidth="1"/>
    <col min="9735" max="9735" width="15" bestFit="1" customWidth="1"/>
    <col min="9736" max="9736" width="16.140625" customWidth="1"/>
    <col min="9737" max="9737" width="16.5703125" customWidth="1"/>
    <col min="9738" max="9738" width="16.85546875" bestFit="1" customWidth="1"/>
    <col min="9739" max="9739" width="16.5703125" bestFit="1" customWidth="1"/>
    <col min="9740" max="9740" width="15" bestFit="1" customWidth="1"/>
    <col min="9984" max="9984" width="8.7109375" bestFit="1" customWidth="1"/>
    <col min="9985" max="9985" width="47.85546875" bestFit="1" customWidth="1"/>
    <col min="9986" max="9986" width="16" bestFit="1" customWidth="1"/>
    <col min="9987" max="9987" width="17" bestFit="1" customWidth="1"/>
    <col min="9988" max="9989" width="16" bestFit="1" customWidth="1"/>
    <col min="9990" max="9990" width="17" bestFit="1" customWidth="1"/>
    <col min="9991" max="9991" width="15" bestFit="1" customWidth="1"/>
    <col min="9992" max="9992" width="16.140625" customWidth="1"/>
    <col min="9993" max="9993" width="16.5703125" customWidth="1"/>
    <col min="9994" max="9994" width="16.85546875" bestFit="1" customWidth="1"/>
    <col min="9995" max="9995" width="16.5703125" bestFit="1" customWidth="1"/>
    <col min="9996" max="9996" width="15" bestFit="1" customWidth="1"/>
    <col min="10240" max="10240" width="8.7109375" bestFit="1" customWidth="1"/>
    <col min="10241" max="10241" width="47.85546875" bestFit="1" customWidth="1"/>
    <col min="10242" max="10242" width="16" bestFit="1" customWidth="1"/>
    <col min="10243" max="10243" width="17" bestFit="1" customWidth="1"/>
    <col min="10244" max="10245" width="16" bestFit="1" customWidth="1"/>
    <col min="10246" max="10246" width="17" bestFit="1" customWidth="1"/>
    <col min="10247" max="10247" width="15" bestFit="1" customWidth="1"/>
    <col min="10248" max="10248" width="16.140625" customWidth="1"/>
    <col min="10249" max="10249" width="16.5703125" customWidth="1"/>
    <col min="10250" max="10250" width="16.85546875" bestFit="1" customWidth="1"/>
    <col min="10251" max="10251" width="16.5703125" bestFit="1" customWidth="1"/>
    <col min="10252" max="10252" width="15" bestFit="1" customWidth="1"/>
    <col min="10496" max="10496" width="8.7109375" bestFit="1" customWidth="1"/>
    <col min="10497" max="10497" width="47.85546875" bestFit="1" customWidth="1"/>
    <col min="10498" max="10498" width="16" bestFit="1" customWidth="1"/>
    <col min="10499" max="10499" width="17" bestFit="1" customWidth="1"/>
    <col min="10500" max="10501" width="16" bestFit="1" customWidth="1"/>
    <col min="10502" max="10502" width="17" bestFit="1" customWidth="1"/>
    <col min="10503" max="10503" width="15" bestFit="1" customWidth="1"/>
    <col min="10504" max="10504" width="16.140625" customWidth="1"/>
    <col min="10505" max="10505" width="16.5703125" customWidth="1"/>
    <col min="10506" max="10506" width="16.85546875" bestFit="1" customWidth="1"/>
    <col min="10507" max="10507" width="16.5703125" bestFit="1" customWidth="1"/>
    <col min="10508" max="10508" width="15" bestFit="1" customWidth="1"/>
    <col min="10752" max="10752" width="8.7109375" bestFit="1" customWidth="1"/>
    <col min="10753" max="10753" width="47.85546875" bestFit="1" customWidth="1"/>
    <col min="10754" max="10754" width="16" bestFit="1" customWidth="1"/>
    <col min="10755" max="10755" width="17" bestFit="1" customWidth="1"/>
    <col min="10756" max="10757" width="16" bestFit="1" customWidth="1"/>
    <col min="10758" max="10758" width="17" bestFit="1" customWidth="1"/>
    <col min="10759" max="10759" width="15" bestFit="1" customWidth="1"/>
    <col min="10760" max="10760" width="16.140625" customWidth="1"/>
    <col min="10761" max="10761" width="16.5703125" customWidth="1"/>
    <col min="10762" max="10762" width="16.85546875" bestFit="1" customWidth="1"/>
    <col min="10763" max="10763" width="16.5703125" bestFit="1" customWidth="1"/>
    <col min="10764" max="10764" width="15" bestFit="1" customWidth="1"/>
    <col min="11008" max="11008" width="8.7109375" bestFit="1" customWidth="1"/>
    <col min="11009" max="11009" width="47.85546875" bestFit="1" customWidth="1"/>
    <col min="11010" max="11010" width="16" bestFit="1" customWidth="1"/>
    <col min="11011" max="11011" width="17" bestFit="1" customWidth="1"/>
    <col min="11012" max="11013" width="16" bestFit="1" customWidth="1"/>
    <col min="11014" max="11014" width="17" bestFit="1" customWidth="1"/>
    <col min="11015" max="11015" width="15" bestFit="1" customWidth="1"/>
    <col min="11016" max="11016" width="16.140625" customWidth="1"/>
    <col min="11017" max="11017" width="16.5703125" customWidth="1"/>
    <col min="11018" max="11018" width="16.85546875" bestFit="1" customWidth="1"/>
    <col min="11019" max="11019" width="16.5703125" bestFit="1" customWidth="1"/>
    <col min="11020" max="11020" width="15" bestFit="1" customWidth="1"/>
    <col min="11264" max="11264" width="8.7109375" bestFit="1" customWidth="1"/>
    <col min="11265" max="11265" width="47.85546875" bestFit="1" customWidth="1"/>
    <col min="11266" max="11266" width="16" bestFit="1" customWidth="1"/>
    <col min="11267" max="11267" width="17" bestFit="1" customWidth="1"/>
    <col min="11268" max="11269" width="16" bestFit="1" customWidth="1"/>
    <col min="11270" max="11270" width="17" bestFit="1" customWidth="1"/>
    <col min="11271" max="11271" width="15" bestFit="1" customWidth="1"/>
    <col min="11272" max="11272" width="16.140625" customWidth="1"/>
    <col min="11273" max="11273" width="16.5703125" customWidth="1"/>
    <col min="11274" max="11274" width="16.85546875" bestFit="1" customWidth="1"/>
    <col min="11275" max="11275" width="16.5703125" bestFit="1" customWidth="1"/>
    <col min="11276" max="11276" width="15" bestFit="1" customWidth="1"/>
    <col min="11520" max="11520" width="8.7109375" bestFit="1" customWidth="1"/>
    <col min="11521" max="11521" width="47.85546875" bestFit="1" customWidth="1"/>
    <col min="11522" max="11522" width="16" bestFit="1" customWidth="1"/>
    <col min="11523" max="11523" width="17" bestFit="1" customWidth="1"/>
    <col min="11524" max="11525" width="16" bestFit="1" customWidth="1"/>
    <col min="11526" max="11526" width="17" bestFit="1" customWidth="1"/>
    <col min="11527" max="11527" width="15" bestFit="1" customWidth="1"/>
    <col min="11528" max="11528" width="16.140625" customWidth="1"/>
    <col min="11529" max="11529" width="16.5703125" customWidth="1"/>
    <col min="11530" max="11530" width="16.85546875" bestFit="1" customWidth="1"/>
    <col min="11531" max="11531" width="16.5703125" bestFit="1" customWidth="1"/>
    <col min="11532" max="11532" width="15" bestFit="1" customWidth="1"/>
    <col min="11776" max="11776" width="8.7109375" bestFit="1" customWidth="1"/>
    <col min="11777" max="11777" width="47.85546875" bestFit="1" customWidth="1"/>
    <col min="11778" max="11778" width="16" bestFit="1" customWidth="1"/>
    <col min="11779" max="11779" width="17" bestFit="1" customWidth="1"/>
    <col min="11780" max="11781" width="16" bestFit="1" customWidth="1"/>
    <col min="11782" max="11782" width="17" bestFit="1" customWidth="1"/>
    <col min="11783" max="11783" width="15" bestFit="1" customWidth="1"/>
    <col min="11784" max="11784" width="16.140625" customWidth="1"/>
    <col min="11785" max="11785" width="16.5703125" customWidth="1"/>
    <col min="11786" max="11786" width="16.85546875" bestFit="1" customWidth="1"/>
    <col min="11787" max="11787" width="16.5703125" bestFit="1" customWidth="1"/>
    <col min="11788" max="11788" width="15" bestFit="1" customWidth="1"/>
    <col min="12032" max="12032" width="8.7109375" bestFit="1" customWidth="1"/>
    <col min="12033" max="12033" width="47.85546875" bestFit="1" customWidth="1"/>
    <col min="12034" max="12034" width="16" bestFit="1" customWidth="1"/>
    <col min="12035" max="12035" width="17" bestFit="1" customWidth="1"/>
    <col min="12036" max="12037" width="16" bestFit="1" customWidth="1"/>
    <col min="12038" max="12038" width="17" bestFit="1" customWidth="1"/>
    <col min="12039" max="12039" width="15" bestFit="1" customWidth="1"/>
    <col min="12040" max="12040" width="16.140625" customWidth="1"/>
    <col min="12041" max="12041" width="16.5703125" customWidth="1"/>
    <col min="12042" max="12042" width="16.85546875" bestFit="1" customWidth="1"/>
    <col min="12043" max="12043" width="16.5703125" bestFit="1" customWidth="1"/>
    <col min="12044" max="12044" width="15" bestFit="1" customWidth="1"/>
    <col min="12288" max="12288" width="8.7109375" bestFit="1" customWidth="1"/>
    <col min="12289" max="12289" width="47.85546875" bestFit="1" customWidth="1"/>
    <col min="12290" max="12290" width="16" bestFit="1" customWidth="1"/>
    <col min="12291" max="12291" width="17" bestFit="1" customWidth="1"/>
    <col min="12292" max="12293" width="16" bestFit="1" customWidth="1"/>
    <col min="12294" max="12294" width="17" bestFit="1" customWidth="1"/>
    <col min="12295" max="12295" width="15" bestFit="1" customWidth="1"/>
    <col min="12296" max="12296" width="16.140625" customWidth="1"/>
    <col min="12297" max="12297" width="16.5703125" customWidth="1"/>
    <col min="12298" max="12298" width="16.85546875" bestFit="1" customWidth="1"/>
    <col min="12299" max="12299" width="16.5703125" bestFit="1" customWidth="1"/>
    <col min="12300" max="12300" width="15" bestFit="1" customWidth="1"/>
    <col min="12544" max="12544" width="8.7109375" bestFit="1" customWidth="1"/>
    <col min="12545" max="12545" width="47.85546875" bestFit="1" customWidth="1"/>
    <col min="12546" max="12546" width="16" bestFit="1" customWidth="1"/>
    <col min="12547" max="12547" width="17" bestFit="1" customWidth="1"/>
    <col min="12548" max="12549" width="16" bestFit="1" customWidth="1"/>
    <col min="12550" max="12550" width="17" bestFit="1" customWidth="1"/>
    <col min="12551" max="12551" width="15" bestFit="1" customWidth="1"/>
    <col min="12552" max="12552" width="16.140625" customWidth="1"/>
    <col min="12553" max="12553" width="16.5703125" customWidth="1"/>
    <col min="12554" max="12554" width="16.85546875" bestFit="1" customWidth="1"/>
    <col min="12555" max="12555" width="16.5703125" bestFit="1" customWidth="1"/>
    <col min="12556" max="12556" width="15" bestFit="1" customWidth="1"/>
    <col min="12800" max="12800" width="8.7109375" bestFit="1" customWidth="1"/>
    <col min="12801" max="12801" width="47.85546875" bestFit="1" customWidth="1"/>
    <col min="12802" max="12802" width="16" bestFit="1" customWidth="1"/>
    <col min="12803" max="12803" width="17" bestFit="1" customWidth="1"/>
    <col min="12804" max="12805" width="16" bestFit="1" customWidth="1"/>
    <col min="12806" max="12806" width="17" bestFit="1" customWidth="1"/>
    <col min="12807" max="12807" width="15" bestFit="1" customWidth="1"/>
    <col min="12808" max="12808" width="16.140625" customWidth="1"/>
    <col min="12809" max="12809" width="16.5703125" customWidth="1"/>
    <col min="12810" max="12810" width="16.85546875" bestFit="1" customWidth="1"/>
    <col min="12811" max="12811" width="16.5703125" bestFit="1" customWidth="1"/>
    <col min="12812" max="12812" width="15" bestFit="1" customWidth="1"/>
    <col min="13056" max="13056" width="8.7109375" bestFit="1" customWidth="1"/>
    <col min="13057" max="13057" width="47.85546875" bestFit="1" customWidth="1"/>
    <col min="13058" max="13058" width="16" bestFit="1" customWidth="1"/>
    <col min="13059" max="13059" width="17" bestFit="1" customWidth="1"/>
    <col min="13060" max="13061" width="16" bestFit="1" customWidth="1"/>
    <col min="13062" max="13062" width="17" bestFit="1" customWidth="1"/>
    <col min="13063" max="13063" width="15" bestFit="1" customWidth="1"/>
    <col min="13064" max="13064" width="16.140625" customWidth="1"/>
    <col min="13065" max="13065" width="16.5703125" customWidth="1"/>
    <col min="13066" max="13066" width="16.85546875" bestFit="1" customWidth="1"/>
    <col min="13067" max="13067" width="16.5703125" bestFit="1" customWidth="1"/>
    <col min="13068" max="13068" width="15" bestFit="1" customWidth="1"/>
    <col min="13312" max="13312" width="8.7109375" bestFit="1" customWidth="1"/>
    <col min="13313" max="13313" width="47.85546875" bestFit="1" customWidth="1"/>
    <col min="13314" max="13314" width="16" bestFit="1" customWidth="1"/>
    <col min="13315" max="13315" width="17" bestFit="1" customWidth="1"/>
    <col min="13316" max="13317" width="16" bestFit="1" customWidth="1"/>
    <col min="13318" max="13318" width="17" bestFit="1" customWidth="1"/>
    <col min="13319" max="13319" width="15" bestFit="1" customWidth="1"/>
    <col min="13320" max="13320" width="16.140625" customWidth="1"/>
    <col min="13321" max="13321" width="16.5703125" customWidth="1"/>
    <col min="13322" max="13322" width="16.85546875" bestFit="1" customWidth="1"/>
    <col min="13323" max="13323" width="16.5703125" bestFit="1" customWidth="1"/>
    <col min="13324" max="13324" width="15" bestFit="1" customWidth="1"/>
    <col min="13568" max="13568" width="8.7109375" bestFit="1" customWidth="1"/>
    <col min="13569" max="13569" width="47.85546875" bestFit="1" customWidth="1"/>
    <col min="13570" max="13570" width="16" bestFit="1" customWidth="1"/>
    <col min="13571" max="13571" width="17" bestFit="1" customWidth="1"/>
    <col min="13572" max="13573" width="16" bestFit="1" customWidth="1"/>
    <col min="13574" max="13574" width="17" bestFit="1" customWidth="1"/>
    <col min="13575" max="13575" width="15" bestFit="1" customWidth="1"/>
    <col min="13576" max="13576" width="16.140625" customWidth="1"/>
    <col min="13577" max="13577" width="16.5703125" customWidth="1"/>
    <col min="13578" max="13578" width="16.85546875" bestFit="1" customWidth="1"/>
    <col min="13579" max="13579" width="16.5703125" bestFit="1" customWidth="1"/>
    <col min="13580" max="13580" width="15" bestFit="1" customWidth="1"/>
    <col min="13824" max="13824" width="8.7109375" bestFit="1" customWidth="1"/>
    <col min="13825" max="13825" width="47.85546875" bestFit="1" customWidth="1"/>
    <col min="13826" max="13826" width="16" bestFit="1" customWidth="1"/>
    <col min="13827" max="13827" width="17" bestFit="1" customWidth="1"/>
    <col min="13828" max="13829" width="16" bestFit="1" customWidth="1"/>
    <col min="13830" max="13830" width="17" bestFit="1" customWidth="1"/>
    <col min="13831" max="13831" width="15" bestFit="1" customWidth="1"/>
    <col min="13832" max="13832" width="16.140625" customWidth="1"/>
    <col min="13833" max="13833" width="16.5703125" customWidth="1"/>
    <col min="13834" max="13834" width="16.85546875" bestFit="1" customWidth="1"/>
    <col min="13835" max="13835" width="16.5703125" bestFit="1" customWidth="1"/>
    <col min="13836" max="13836" width="15" bestFit="1" customWidth="1"/>
    <col min="14080" max="14080" width="8.7109375" bestFit="1" customWidth="1"/>
    <col min="14081" max="14081" width="47.85546875" bestFit="1" customWidth="1"/>
    <col min="14082" max="14082" width="16" bestFit="1" customWidth="1"/>
    <col min="14083" max="14083" width="17" bestFit="1" customWidth="1"/>
    <col min="14084" max="14085" width="16" bestFit="1" customWidth="1"/>
    <col min="14086" max="14086" width="17" bestFit="1" customWidth="1"/>
    <col min="14087" max="14087" width="15" bestFit="1" customWidth="1"/>
    <col min="14088" max="14088" width="16.140625" customWidth="1"/>
    <col min="14089" max="14089" width="16.5703125" customWidth="1"/>
    <col min="14090" max="14090" width="16.85546875" bestFit="1" customWidth="1"/>
    <col min="14091" max="14091" width="16.5703125" bestFit="1" customWidth="1"/>
    <col min="14092" max="14092" width="15" bestFit="1" customWidth="1"/>
    <col min="14336" max="14336" width="8.7109375" bestFit="1" customWidth="1"/>
    <col min="14337" max="14337" width="47.85546875" bestFit="1" customWidth="1"/>
    <col min="14338" max="14338" width="16" bestFit="1" customWidth="1"/>
    <col min="14339" max="14339" width="17" bestFit="1" customWidth="1"/>
    <col min="14340" max="14341" width="16" bestFit="1" customWidth="1"/>
    <col min="14342" max="14342" width="17" bestFit="1" customWidth="1"/>
    <col min="14343" max="14343" width="15" bestFit="1" customWidth="1"/>
    <col min="14344" max="14344" width="16.140625" customWidth="1"/>
    <col min="14345" max="14345" width="16.5703125" customWidth="1"/>
    <col min="14346" max="14346" width="16.85546875" bestFit="1" customWidth="1"/>
    <col min="14347" max="14347" width="16.5703125" bestFit="1" customWidth="1"/>
    <col min="14348" max="14348" width="15" bestFit="1" customWidth="1"/>
    <col min="14592" max="14592" width="8.7109375" bestFit="1" customWidth="1"/>
    <col min="14593" max="14593" width="47.85546875" bestFit="1" customWidth="1"/>
    <col min="14594" max="14594" width="16" bestFit="1" customWidth="1"/>
    <col min="14595" max="14595" width="17" bestFit="1" customWidth="1"/>
    <col min="14596" max="14597" width="16" bestFit="1" customWidth="1"/>
    <col min="14598" max="14598" width="17" bestFit="1" customWidth="1"/>
    <col min="14599" max="14599" width="15" bestFit="1" customWidth="1"/>
    <col min="14600" max="14600" width="16.140625" customWidth="1"/>
    <col min="14601" max="14601" width="16.5703125" customWidth="1"/>
    <col min="14602" max="14602" width="16.85546875" bestFit="1" customWidth="1"/>
    <col min="14603" max="14603" width="16.5703125" bestFit="1" customWidth="1"/>
    <col min="14604" max="14604" width="15" bestFit="1" customWidth="1"/>
    <col min="14848" max="14848" width="8.7109375" bestFit="1" customWidth="1"/>
    <col min="14849" max="14849" width="47.85546875" bestFit="1" customWidth="1"/>
    <col min="14850" max="14850" width="16" bestFit="1" customWidth="1"/>
    <col min="14851" max="14851" width="17" bestFit="1" customWidth="1"/>
    <col min="14852" max="14853" width="16" bestFit="1" customWidth="1"/>
    <col min="14854" max="14854" width="17" bestFit="1" customWidth="1"/>
    <col min="14855" max="14855" width="15" bestFit="1" customWidth="1"/>
    <col min="14856" max="14856" width="16.140625" customWidth="1"/>
    <col min="14857" max="14857" width="16.5703125" customWidth="1"/>
    <col min="14858" max="14858" width="16.85546875" bestFit="1" customWidth="1"/>
    <col min="14859" max="14859" width="16.5703125" bestFit="1" customWidth="1"/>
    <col min="14860" max="14860" width="15" bestFit="1" customWidth="1"/>
    <col min="15104" max="15104" width="8.7109375" bestFit="1" customWidth="1"/>
    <col min="15105" max="15105" width="47.85546875" bestFit="1" customWidth="1"/>
    <col min="15106" max="15106" width="16" bestFit="1" customWidth="1"/>
    <col min="15107" max="15107" width="17" bestFit="1" customWidth="1"/>
    <col min="15108" max="15109" width="16" bestFit="1" customWidth="1"/>
    <col min="15110" max="15110" width="17" bestFit="1" customWidth="1"/>
    <col min="15111" max="15111" width="15" bestFit="1" customWidth="1"/>
    <col min="15112" max="15112" width="16.140625" customWidth="1"/>
    <col min="15113" max="15113" width="16.5703125" customWidth="1"/>
    <col min="15114" max="15114" width="16.85546875" bestFit="1" customWidth="1"/>
    <col min="15115" max="15115" width="16.5703125" bestFit="1" customWidth="1"/>
    <col min="15116" max="15116" width="15" bestFit="1" customWidth="1"/>
    <col min="15360" max="15360" width="8.7109375" bestFit="1" customWidth="1"/>
    <col min="15361" max="15361" width="47.85546875" bestFit="1" customWidth="1"/>
    <col min="15362" max="15362" width="16" bestFit="1" customWidth="1"/>
    <col min="15363" max="15363" width="17" bestFit="1" customWidth="1"/>
    <col min="15364" max="15365" width="16" bestFit="1" customWidth="1"/>
    <col min="15366" max="15366" width="17" bestFit="1" customWidth="1"/>
    <col min="15367" max="15367" width="15" bestFit="1" customWidth="1"/>
    <col min="15368" max="15368" width="16.140625" customWidth="1"/>
    <col min="15369" max="15369" width="16.5703125" customWidth="1"/>
    <col min="15370" max="15370" width="16.85546875" bestFit="1" customWidth="1"/>
    <col min="15371" max="15371" width="16.5703125" bestFit="1" customWidth="1"/>
    <col min="15372" max="15372" width="15" bestFit="1" customWidth="1"/>
    <col min="15616" max="15616" width="8.7109375" bestFit="1" customWidth="1"/>
    <col min="15617" max="15617" width="47.85546875" bestFit="1" customWidth="1"/>
    <col min="15618" max="15618" width="16" bestFit="1" customWidth="1"/>
    <col min="15619" max="15619" width="17" bestFit="1" customWidth="1"/>
    <col min="15620" max="15621" width="16" bestFit="1" customWidth="1"/>
    <col min="15622" max="15622" width="17" bestFit="1" customWidth="1"/>
    <col min="15623" max="15623" width="15" bestFit="1" customWidth="1"/>
    <col min="15624" max="15624" width="16.140625" customWidth="1"/>
    <col min="15625" max="15625" width="16.5703125" customWidth="1"/>
    <col min="15626" max="15626" width="16.85546875" bestFit="1" customWidth="1"/>
    <col min="15627" max="15627" width="16.5703125" bestFit="1" customWidth="1"/>
    <col min="15628" max="15628" width="15" bestFit="1" customWidth="1"/>
    <col min="15872" max="15872" width="8.7109375" bestFit="1" customWidth="1"/>
    <col min="15873" max="15873" width="47.85546875" bestFit="1" customWidth="1"/>
    <col min="15874" max="15874" width="16" bestFit="1" customWidth="1"/>
    <col min="15875" max="15875" width="17" bestFit="1" customWidth="1"/>
    <col min="15876" max="15877" width="16" bestFit="1" customWidth="1"/>
    <col min="15878" max="15878" width="17" bestFit="1" customWidth="1"/>
    <col min="15879" max="15879" width="15" bestFit="1" customWidth="1"/>
    <col min="15880" max="15880" width="16.140625" customWidth="1"/>
    <col min="15881" max="15881" width="16.5703125" customWidth="1"/>
    <col min="15882" max="15882" width="16.85546875" bestFit="1" customWidth="1"/>
    <col min="15883" max="15883" width="16.5703125" bestFit="1" customWidth="1"/>
    <col min="15884" max="15884" width="15" bestFit="1" customWidth="1"/>
    <col min="16128" max="16128" width="8.7109375" bestFit="1" customWidth="1"/>
    <col min="16129" max="16129" width="47.85546875" bestFit="1" customWidth="1"/>
    <col min="16130" max="16130" width="16" bestFit="1" customWidth="1"/>
    <col min="16131" max="16131" width="17" bestFit="1" customWidth="1"/>
    <col min="16132" max="16133" width="16" bestFit="1" customWidth="1"/>
    <col min="16134" max="16134" width="17" bestFit="1" customWidth="1"/>
    <col min="16135" max="16135" width="15" bestFit="1" customWidth="1"/>
    <col min="16136" max="16136" width="16.140625" customWidth="1"/>
    <col min="16137" max="16137" width="16.5703125" customWidth="1"/>
    <col min="16138" max="16138" width="16.85546875" bestFit="1" customWidth="1"/>
    <col min="16139" max="16139" width="16.5703125" bestFit="1" customWidth="1"/>
    <col min="16140" max="16140" width="15" bestFit="1" customWidth="1"/>
  </cols>
  <sheetData>
    <row r="1" spans="1:11" ht="20.25" x14ac:dyDescent="0.3">
      <c r="A1" s="127" t="s">
        <v>407</v>
      </c>
    </row>
    <row r="2" spans="1:11" ht="20.25" x14ac:dyDescent="0.3">
      <c r="A2" s="127" t="s">
        <v>375</v>
      </c>
    </row>
    <row r="3" spans="1:11" x14ac:dyDescent="0.25">
      <c r="A3" s="297" t="s">
        <v>31</v>
      </c>
    </row>
    <row r="4" spans="1:11" ht="21" thickBot="1" x14ac:dyDescent="0.35">
      <c r="A4" s="127"/>
    </row>
    <row r="5" spans="1:11" ht="105" x14ac:dyDescent="0.25">
      <c r="A5" s="530" t="s">
        <v>79</v>
      </c>
      <c r="B5" s="531" t="s">
        <v>170</v>
      </c>
      <c r="C5" s="531" t="s">
        <v>108</v>
      </c>
      <c r="D5" s="531" t="s">
        <v>471</v>
      </c>
      <c r="E5" s="531" t="s">
        <v>205</v>
      </c>
      <c r="F5" s="531" t="s">
        <v>45</v>
      </c>
      <c r="G5" s="531" t="s">
        <v>46</v>
      </c>
      <c r="H5" s="531" t="s">
        <v>47</v>
      </c>
      <c r="I5" s="531" t="s">
        <v>562</v>
      </c>
      <c r="J5" s="532" t="s">
        <v>51</v>
      </c>
      <c r="K5" s="173"/>
    </row>
    <row r="6" spans="1:11" x14ac:dyDescent="0.25">
      <c r="A6" s="366" t="s">
        <v>472</v>
      </c>
      <c r="B6" s="367">
        <v>10151242744</v>
      </c>
      <c r="C6" s="367">
        <f>SUM(D6:J6)</f>
        <v>205759166364</v>
      </c>
      <c r="D6" s="367">
        <v>26528676980</v>
      </c>
      <c r="E6" s="367">
        <v>19734339959</v>
      </c>
      <c r="F6" s="367">
        <v>143723127562</v>
      </c>
      <c r="G6" s="367">
        <v>276266938</v>
      </c>
      <c r="H6" s="367">
        <v>7000000000</v>
      </c>
      <c r="I6" s="367">
        <v>6257601977</v>
      </c>
      <c r="J6" s="368">
        <v>2239152948</v>
      </c>
    </row>
    <row r="7" spans="1:11" ht="42.75" x14ac:dyDescent="0.25">
      <c r="A7" s="372" t="s">
        <v>473</v>
      </c>
      <c r="B7" s="367">
        <v>-10058486744</v>
      </c>
      <c r="C7" s="367">
        <f>SUM(D7:J7)</f>
        <v>-10058486744</v>
      </c>
      <c r="D7" s="66"/>
      <c r="E7" s="367">
        <v>-5120465500</v>
      </c>
      <c r="F7" s="367"/>
      <c r="G7" s="367"/>
      <c r="H7" s="367"/>
      <c r="I7" s="367">
        <v>-4938021244</v>
      </c>
      <c r="J7" s="533"/>
    </row>
    <row r="8" spans="1:11" x14ac:dyDescent="0.25">
      <c r="A8" s="366" t="s">
        <v>474</v>
      </c>
      <c r="B8" s="367"/>
      <c r="C8" s="367">
        <f>SUM(D8:J8)</f>
        <v>0</v>
      </c>
      <c r="D8" s="66"/>
      <c r="E8" s="367"/>
      <c r="F8" s="367">
        <v>680000</v>
      </c>
      <c r="G8" s="367"/>
      <c r="H8" s="367"/>
      <c r="I8" s="367"/>
      <c r="J8" s="368">
        <v>-680000</v>
      </c>
    </row>
    <row r="9" spans="1:11" x14ac:dyDescent="0.25">
      <c r="A9" s="369" t="s">
        <v>475</v>
      </c>
      <c r="B9" s="370">
        <f>SUM(B6:B8)</f>
        <v>92756000</v>
      </c>
      <c r="C9" s="370">
        <f t="shared" ref="C9:J9" si="0">SUM(C6:C8)</f>
        <v>195700679620</v>
      </c>
      <c r="D9" s="370">
        <f t="shared" si="0"/>
        <v>26528676980</v>
      </c>
      <c r="E9" s="370">
        <f t="shared" si="0"/>
        <v>14613874459</v>
      </c>
      <c r="F9" s="370">
        <f t="shared" si="0"/>
        <v>143723807562</v>
      </c>
      <c r="G9" s="370">
        <f t="shared" si="0"/>
        <v>276266938</v>
      </c>
      <c r="H9" s="370">
        <f t="shared" si="0"/>
        <v>7000000000</v>
      </c>
      <c r="I9" s="370">
        <f t="shared" si="0"/>
        <v>1319580733</v>
      </c>
      <c r="J9" s="371">
        <f t="shared" si="0"/>
        <v>2238472948</v>
      </c>
    </row>
    <row r="10" spans="1:11" x14ac:dyDescent="0.25">
      <c r="A10" s="372" t="s">
        <v>476</v>
      </c>
      <c r="B10" s="367"/>
      <c r="C10" s="367">
        <f t="shared" ref="C10:C20" si="1">SUM(D10:J10)</f>
        <v>0</v>
      </c>
      <c r="D10" s="367">
        <v>83000000</v>
      </c>
      <c r="E10" s="367"/>
      <c r="F10" s="367"/>
      <c r="G10" s="367"/>
      <c r="H10" s="367"/>
      <c r="I10" s="367">
        <v>-83000000</v>
      </c>
      <c r="J10" s="368"/>
    </row>
    <row r="11" spans="1:11" x14ac:dyDescent="0.25">
      <c r="A11" s="372" t="s">
        <v>427</v>
      </c>
      <c r="B11" s="367"/>
      <c r="C11" s="367">
        <f t="shared" si="1"/>
        <v>800000000</v>
      </c>
      <c r="D11" s="367">
        <v>800000000</v>
      </c>
      <c r="E11" s="367"/>
      <c r="F11" s="367"/>
      <c r="G11" s="367"/>
      <c r="H11" s="367"/>
      <c r="I11" s="367"/>
      <c r="J11" s="368"/>
    </row>
    <row r="12" spans="1:11" x14ac:dyDescent="0.25">
      <c r="A12" s="372" t="s">
        <v>477</v>
      </c>
      <c r="B12" s="367"/>
      <c r="C12" s="367">
        <f t="shared" si="1"/>
        <v>-51897378</v>
      </c>
      <c r="D12" s="367"/>
      <c r="E12" s="367">
        <v>-51897378</v>
      </c>
      <c r="F12" s="367"/>
      <c r="G12" s="367"/>
      <c r="H12" s="367"/>
      <c r="I12" s="367"/>
      <c r="J12" s="368"/>
    </row>
    <row r="13" spans="1:11" x14ac:dyDescent="0.25">
      <c r="A13" s="372" t="s">
        <v>478</v>
      </c>
      <c r="B13" s="367"/>
      <c r="C13" s="367">
        <f t="shared" si="1"/>
        <v>1009000000</v>
      </c>
      <c r="D13" s="367"/>
      <c r="E13" s="367"/>
      <c r="F13" s="367">
        <v>1009000000</v>
      </c>
      <c r="G13" s="367"/>
      <c r="H13" s="367"/>
      <c r="I13" s="367"/>
      <c r="J13" s="368"/>
    </row>
    <row r="14" spans="1:11" x14ac:dyDescent="0.25">
      <c r="A14" s="372" t="s">
        <v>372</v>
      </c>
      <c r="B14" s="367"/>
      <c r="C14" s="367">
        <f t="shared" si="1"/>
        <v>400000000</v>
      </c>
      <c r="D14" s="367"/>
      <c r="E14" s="367"/>
      <c r="F14" s="367">
        <v>400000000</v>
      </c>
      <c r="G14" s="367"/>
      <c r="H14" s="367"/>
      <c r="I14" s="367"/>
      <c r="J14" s="368"/>
    </row>
    <row r="15" spans="1:11" x14ac:dyDescent="0.25">
      <c r="A15" s="372" t="s">
        <v>431</v>
      </c>
      <c r="B15" s="367"/>
      <c r="C15" s="367">
        <f t="shared" si="1"/>
        <v>781276957</v>
      </c>
      <c r="D15" s="367"/>
      <c r="E15" s="367"/>
      <c r="F15" s="367">
        <v>781276957</v>
      </c>
      <c r="G15" s="367"/>
      <c r="H15" s="367"/>
      <c r="I15" s="367"/>
      <c r="J15" s="368"/>
    </row>
    <row r="16" spans="1:11" x14ac:dyDescent="0.25">
      <c r="A16" s="372" t="s">
        <v>433</v>
      </c>
      <c r="B16" s="367"/>
      <c r="C16" s="367">
        <f t="shared" si="1"/>
        <v>1399999999</v>
      </c>
      <c r="D16" s="367"/>
      <c r="E16" s="367"/>
      <c r="F16" s="367">
        <v>1399999999</v>
      </c>
      <c r="G16" s="367"/>
      <c r="H16" s="367"/>
      <c r="I16" s="367"/>
      <c r="J16" s="368"/>
    </row>
    <row r="17" spans="1:10" x14ac:dyDescent="0.25">
      <c r="A17" s="372" t="s">
        <v>479</v>
      </c>
      <c r="B17" s="367"/>
      <c r="C17" s="367">
        <f t="shared" si="1"/>
        <v>218500650</v>
      </c>
      <c r="D17" s="367"/>
      <c r="E17" s="367"/>
      <c r="F17" s="367">
        <v>218500650</v>
      </c>
      <c r="G17" s="367"/>
      <c r="H17" s="367"/>
      <c r="I17" s="367"/>
      <c r="J17" s="368"/>
    </row>
    <row r="18" spans="1:10" x14ac:dyDescent="0.25">
      <c r="A18" s="372" t="s">
        <v>480</v>
      </c>
      <c r="B18" s="367">
        <v>196000</v>
      </c>
      <c r="C18" s="367">
        <f t="shared" si="1"/>
        <v>0</v>
      </c>
      <c r="D18" s="367"/>
      <c r="E18" s="367"/>
      <c r="F18" s="367"/>
      <c r="G18" s="367"/>
      <c r="H18" s="367"/>
      <c r="I18" s="367"/>
      <c r="J18" s="368"/>
    </row>
    <row r="19" spans="1:10" x14ac:dyDescent="0.25">
      <c r="A19" s="372" t="s">
        <v>481</v>
      </c>
      <c r="B19" s="367"/>
      <c r="C19" s="367">
        <f t="shared" si="1"/>
        <v>106128</v>
      </c>
      <c r="D19" s="367"/>
      <c r="E19" s="367"/>
      <c r="F19" s="367"/>
      <c r="G19" s="367"/>
      <c r="H19" s="367"/>
      <c r="I19" s="367"/>
      <c r="J19" s="368">
        <v>106128</v>
      </c>
    </row>
    <row r="20" spans="1:10" ht="28.5" x14ac:dyDescent="0.25">
      <c r="A20" s="372" t="s">
        <v>482</v>
      </c>
      <c r="B20" s="367"/>
      <c r="C20" s="367">
        <f t="shared" si="1"/>
        <v>200538032</v>
      </c>
      <c r="D20" s="367"/>
      <c r="E20" s="367"/>
      <c r="F20" s="367">
        <v>140000000</v>
      </c>
      <c r="G20" s="367"/>
      <c r="H20" s="367">
        <v>-4575000</v>
      </c>
      <c r="I20" s="367">
        <v>65113032</v>
      </c>
      <c r="J20" s="368"/>
    </row>
    <row r="21" spans="1:10" ht="28.5" x14ac:dyDescent="0.25">
      <c r="A21" s="372" t="s">
        <v>483</v>
      </c>
      <c r="B21" s="367"/>
      <c r="C21" s="367">
        <f>SUM(D21:J21)</f>
        <v>-200538032</v>
      </c>
      <c r="D21" s="367"/>
      <c r="E21" s="367"/>
      <c r="F21" s="367">
        <v>-130000000</v>
      </c>
      <c r="G21" s="367"/>
      <c r="H21" s="367">
        <v>4575000</v>
      </c>
      <c r="I21" s="367">
        <v>-94268950</v>
      </c>
      <c r="J21" s="368">
        <v>19155918</v>
      </c>
    </row>
    <row r="22" spans="1:10" ht="42.75" x14ac:dyDescent="0.25">
      <c r="A22" s="372" t="s">
        <v>484</v>
      </c>
      <c r="B22" s="367"/>
      <c r="C22" s="367">
        <f>SUM(D22:J22)</f>
        <v>0</v>
      </c>
      <c r="D22" s="367"/>
      <c r="E22" s="367"/>
      <c r="F22" s="367"/>
      <c r="G22" s="367"/>
      <c r="H22" s="367"/>
      <c r="I22" s="367"/>
      <c r="J22" s="368"/>
    </row>
    <row r="23" spans="1:10" ht="28.5" x14ac:dyDescent="0.25">
      <c r="A23" s="373" t="s">
        <v>485</v>
      </c>
      <c r="B23" s="374">
        <f t="shared" ref="B23:H23" si="2">SUM(B9:B22)</f>
        <v>92952000</v>
      </c>
      <c r="C23" s="374">
        <f t="shared" si="2"/>
        <v>200257665976</v>
      </c>
      <c r="D23" s="374">
        <f t="shared" si="2"/>
        <v>27411676980</v>
      </c>
      <c r="E23" s="374">
        <f t="shared" si="2"/>
        <v>14561977081</v>
      </c>
      <c r="F23" s="374">
        <f t="shared" si="2"/>
        <v>147542585168</v>
      </c>
      <c r="G23" s="374">
        <f t="shared" si="2"/>
        <v>276266938</v>
      </c>
      <c r="H23" s="374">
        <f t="shared" si="2"/>
        <v>7000000000</v>
      </c>
      <c r="I23" s="374">
        <f>SUM(I9:I21)</f>
        <v>1207424815</v>
      </c>
      <c r="J23" s="375">
        <f>SUM(J9:J22)</f>
        <v>2257734994</v>
      </c>
    </row>
    <row r="24" spans="1:10" ht="15.75" thickBot="1" x14ac:dyDescent="0.3">
      <c r="A24" s="534" t="s">
        <v>486</v>
      </c>
      <c r="B24" s="535">
        <f t="shared" ref="B24:J24" si="3">B8+B23</f>
        <v>92952000</v>
      </c>
      <c r="C24" s="535">
        <f t="shared" si="3"/>
        <v>200257665976</v>
      </c>
      <c r="D24" s="535">
        <f t="shared" si="3"/>
        <v>27411676980</v>
      </c>
      <c r="E24" s="535">
        <f t="shared" si="3"/>
        <v>14561977081</v>
      </c>
      <c r="F24" s="535">
        <f t="shared" si="3"/>
        <v>147543265168</v>
      </c>
      <c r="G24" s="535">
        <f t="shared" si="3"/>
        <v>276266938</v>
      </c>
      <c r="H24" s="535">
        <f t="shared" si="3"/>
        <v>7000000000</v>
      </c>
      <c r="I24" s="535">
        <f t="shared" si="3"/>
        <v>1207424815</v>
      </c>
      <c r="J24" s="536">
        <f t="shared" si="3"/>
        <v>2257054994</v>
      </c>
    </row>
    <row r="25" spans="1:10" x14ac:dyDescent="0.25">
      <c r="A25" s="366" t="s">
        <v>370</v>
      </c>
      <c r="B25" s="367"/>
      <c r="C25" s="367">
        <f>SUM(D25:J25)</f>
        <v>-115000000</v>
      </c>
      <c r="D25" s="367"/>
      <c r="E25" s="367">
        <v>-115000000</v>
      </c>
      <c r="F25" s="367"/>
      <c r="G25" s="367"/>
      <c r="H25" s="367"/>
      <c r="I25" s="367"/>
      <c r="J25" s="368"/>
    </row>
    <row r="26" spans="1:10" x14ac:dyDescent="0.25">
      <c r="A26" s="366" t="s">
        <v>487</v>
      </c>
      <c r="B26" s="367"/>
      <c r="C26" s="367">
        <f t="shared" ref="C26:C51" si="4">SUM(D26:J26)</f>
        <v>25831905</v>
      </c>
      <c r="D26" s="367"/>
      <c r="E26" s="367"/>
      <c r="F26" s="367">
        <v>25831905</v>
      </c>
      <c r="G26" s="367"/>
      <c r="H26" s="367"/>
      <c r="I26" s="367"/>
      <c r="J26" s="368"/>
    </row>
    <row r="27" spans="1:10" x14ac:dyDescent="0.25">
      <c r="A27" s="366" t="s">
        <v>488</v>
      </c>
      <c r="B27" s="367"/>
      <c r="C27" s="367">
        <f t="shared" si="4"/>
        <v>-400000000</v>
      </c>
      <c r="D27" s="367"/>
      <c r="E27" s="367"/>
      <c r="F27" s="367">
        <v>-400000000</v>
      </c>
      <c r="G27" s="367"/>
      <c r="H27" s="367"/>
      <c r="I27" s="367"/>
      <c r="J27" s="368"/>
    </row>
    <row r="28" spans="1:10" x14ac:dyDescent="0.25">
      <c r="A28" s="366" t="s">
        <v>371</v>
      </c>
      <c r="B28" s="367"/>
      <c r="C28" s="367">
        <f t="shared" si="4"/>
        <v>738476671</v>
      </c>
      <c r="D28" s="367"/>
      <c r="E28" s="367"/>
      <c r="F28" s="367">
        <v>738476671</v>
      </c>
      <c r="G28" s="367"/>
      <c r="H28" s="367"/>
      <c r="I28" s="367"/>
      <c r="J28" s="368"/>
    </row>
    <row r="29" spans="1:10" x14ac:dyDescent="0.25">
      <c r="A29" s="366" t="s">
        <v>489</v>
      </c>
      <c r="B29" s="367"/>
      <c r="C29" s="367">
        <f t="shared" si="4"/>
        <v>-800000000</v>
      </c>
      <c r="D29" s="367"/>
      <c r="E29" s="367"/>
      <c r="F29" s="367">
        <v>-800000000</v>
      </c>
      <c r="G29" s="367"/>
      <c r="H29" s="367"/>
      <c r="I29" s="367"/>
      <c r="J29" s="368"/>
    </row>
    <row r="30" spans="1:10" x14ac:dyDescent="0.25">
      <c r="A30" s="366" t="s">
        <v>490</v>
      </c>
      <c r="B30" s="367"/>
      <c r="C30" s="367">
        <f t="shared" si="4"/>
        <v>11095165196</v>
      </c>
      <c r="D30" s="367"/>
      <c r="E30" s="367"/>
      <c r="F30" s="367">
        <f>8170224739+2924940457</f>
        <v>11095165196</v>
      </c>
      <c r="G30" s="367"/>
      <c r="H30" s="367"/>
      <c r="I30" s="367"/>
      <c r="J30" s="368"/>
    </row>
    <row r="31" spans="1:10" x14ac:dyDescent="0.25">
      <c r="A31" s="372" t="s">
        <v>491</v>
      </c>
      <c r="B31" s="367"/>
      <c r="C31" s="367">
        <f t="shared" si="4"/>
        <v>1648635749</v>
      </c>
      <c r="D31" s="367"/>
      <c r="E31" s="367"/>
      <c r="F31" s="367">
        <f>1214017488+434618261</f>
        <v>1648635749</v>
      </c>
      <c r="G31" s="367"/>
      <c r="H31" s="367"/>
      <c r="I31" s="367"/>
      <c r="J31" s="368"/>
    </row>
    <row r="32" spans="1:10" x14ac:dyDescent="0.25">
      <c r="A32" s="372" t="s">
        <v>492</v>
      </c>
      <c r="B32" s="367"/>
      <c r="C32" s="367">
        <f t="shared" si="4"/>
        <v>24828439</v>
      </c>
      <c r="D32" s="367"/>
      <c r="E32" s="367"/>
      <c r="F32" s="367"/>
      <c r="G32" s="367"/>
      <c r="H32" s="367">
        <v>1603188</v>
      </c>
      <c r="I32" s="367"/>
      <c r="J32" s="368">
        <v>23225251</v>
      </c>
    </row>
    <row r="33" spans="1:10" x14ac:dyDescent="0.25">
      <c r="A33" s="372" t="s">
        <v>493</v>
      </c>
      <c r="B33" s="367"/>
      <c r="C33" s="367">
        <f t="shared" si="4"/>
        <v>-155743</v>
      </c>
      <c r="D33" s="367"/>
      <c r="E33" s="367"/>
      <c r="F33" s="367"/>
      <c r="G33" s="367"/>
      <c r="H33" s="367"/>
      <c r="I33" s="367"/>
      <c r="J33" s="368">
        <f>-39343-116400</f>
        <v>-155743</v>
      </c>
    </row>
    <row r="34" spans="1:10" x14ac:dyDescent="0.25">
      <c r="A34" s="366" t="s">
        <v>494</v>
      </c>
      <c r="B34" s="367"/>
      <c r="C34" s="367">
        <f t="shared" si="4"/>
        <v>-500000000</v>
      </c>
      <c r="D34" s="367"/>
      <c r="E34" s="367"/>
      <c r="F34" s="367"/>
      <c r="G34" s="367"/>
      <c r="H34" s="367">
        <v>-500000000</v>
      </c>
      <c r="I34" s="367"/>
      <c r="J34" s="368"/>
    </row>
    <row r="35" spans="1:10" ht="28.5" x14ac:dyDescent="0.25">
      <c r="A35" s="372" t="s">
        <v>495</v>
      </c>
      <c r="B35" s="367"/>
      <c r="C35" s="367">
        <f t="shared" si="4"/>
        <v>-39394534</v>
      </c>
      <c r="D35" s="367"/>
      <c r="E35" s="367"/>
      <c r="F35" s="367"/>
      <c r="G35" s="367"/>
      <c r="H35" s="367">
        <v>-2055369</v>
      </c>
      <c r="I35" s="367"/>
      <c r="J35" s="368">
        <v>-37339165</v>
      </c>
    </row>
    <row r="36" spans="1:10" x14ac:dyDescent="0.25">
      <c r="A36" s="366" t="s">
        <v>352</v>
      </c>
      <c r="B36" s="367"/>
      <c r="C36" s="367">
        <f t="shared" si="4"/>
        <v>-29935941</v>
      </c>
      <c r="D36" s="367"/>
      <c r="E36" s="367"/>
      <c r="F36" s="367"/>
      <c r="G36" s="367"/>
      <c r="H36" s="367">
        <v>-9781771</v>
      </c>
      <c r="I36" s="367"/>
      <c r="J36" s="368">
        <v>-20154170</v>
      </c>
    </row>
    <row r="37" spans="1:10" x14ac:dyDescent="0.25">
      <c r="A37" s="366" t="s">
        <v>496</v>
      </c>
      <c r="B37" s="367"/>
      <c r="C37" s="367">
        <f t="shared" si="4"/>
        <v>-205235536</v>
      </c>
      <c r="D37" s="367"/>
      <c r="E37" s="367"/>
      <c r="F37" s="367">
        <v>-204485518</v>
      </c>
      <c r="G37" s="367"/>
      <c r="H37" s="367"/>
      <c r="I37" s="367"/>
      <c r="J37" s="368">
        <v>-750018</v>
      </c>
    </row>
    <row r="38" spans="1:10" x14ac:dyDescent="0.25">
      <c r="A38" s="366" t="s">
        <v>497</v>
      </c>
      <c r="B38" s="367"/>
      <c r="C38" s="367">
        <f t="shared" si="4"/>
        <v>21979865</v>
      </c>
      <c r="D38" s="367"/>
      <c r="E38" s="367"/>
      <c r="F38" s="367"/>
      <c r="G38" s="367"/>
      <c r="H38" s="367"/>
      <c r="I38" s="367"/>
      <c r="J38" s="368">
        <v>21979865</v>
      </c>
    </row>
    <row r="39" spans="1:10" x14ac:dyDescent="0.25">
      <c r="A39" s="366" t="s">
        <v>498</v>
      </c>
      <c r="B39" s="367">
        <v>1446600</v>
      </c>
      <c r="C39" s="367">
        <f t="shared" si="4"/>
        <v>0</v>
      </c>
      <c r="D39" s="367"/>
      <c r="E39" s="367"/>
      <c r="F39" s="367"/>
      <c r="G39" s="367"/>
      <c r="H39" s="367"/>
      <c r="I39" s="367"/>
      <c r="J39" s="368"/>
    </row>
    <row r="40" spans="1:10" x14ac:dyDescent="0.25">
      <c r="A40" s="366" t="s">
        <v>499</v>
      </c>
      <c r="B40" s="367"/>
      <c r="C40" s="367">
        <f t="shared" si="4"/>
        <v>-13500000</v>
      </c>
      <c r="D40" s="367"/>
      <c r="E40" s="367"/>
      <c r="F40" s="367"/>
      <c r="G40" s="367"/>
      <c r="H40" s="367"/>
      <c r="I40" s="367"/>
      <c r="J40" s="368">
        <v>-13500000</v>
      </c>
    </row>
    <row r="41" spans="1:10" x14ac:dyDescent="0.25">
      <c r="A41" s="366" t="s">
        <v>373</v>
      </c>
      <c r="B41" s="367">
        <v>12188326256</v>
      </c>
      <c r="C41" s="367">
        <f t="shared" si="4"/>
        <v>12188326256</v>
      </c>
      <c r="D41" s="367"/>
      <c r="E41" s="367">
        <v>6511470863</v>
      </c>
      <c r="F41" s="367"/>
      <c r="G41" s="367"/>
      <c r="H41" s="367"/>
      <c r="I41" s="367">
        <f>5676855393</f>
        <v>5676855393</v>
      </c>
      <c r="J41" s="368"/>
    </row>
    <row r="42" spans="1:10" x14ac:dyDescent="0.25">
      <c r="A42" s="366" t="s">
        <v>500</v>
      </c>
      <c r="B42" s="367"/>
      <c r="C42" s="367"/>
      <c r="D42" s="367"/>
      <c r="E42" s="367"/>
      <c r="F42" s="367">
        <v>-343000</v>
      </c>
      <c r="G42" s="367"/>
      <c r="H42" s="367"/>
      <c r="I42" s="367"/>
      <c r="J42" s="368">
        <v>343000</v>
      </c>
    </row>
    <row r="43" spans="1:10" x14ac:dyDescent="0.25">
      <c r="A43" s="537" t="s">
        <v>501</v>
      </c>
      <c r="B43" s="367"/>
      <c r="C43" s="367">
        <f t="shared" si="4"/>
        <v>0</v>
      </c>
      <c r="D43" s="367"/>
      <c r="E43" s="367"/>
      <c r="F43" s="367">
        <v>20400000</v>
      </c>
      <c r="G43" s="367"/>
      <c r="H43" s="367">
        <v>-20400000</v>
      </c>
      <c r="I43" s="367"/>
      <c r="J43" s="368"/>
    </row>
    <row r="44" spans="1:10" x14ac:dyDescent="0.25">
      <c r="A44" s="538" t="s">
        <v>502</v>
      </c>
      <c r="B44" s="539"/>
      <c r="C44" s="539">
        <f t="shared" si="4"/>
        <v>-8500000</v>
      </c>
      <c r="D44" s="539"/>
      <c r="E44" s="539"/>
      <c r="F44" s="539"/>
      <c r="G44" s="539"/>
      <c r="H44" s="539"/>
      <c r="I44" s="539"/>
      <c r="J44" s="540">
        <v>-8500000</v>
      </c>
    </row>
    <row r="45" spans="1:10" x14ac:dyDescent="0.25">
      <c r="A45" s="538" t="s">
        <v>503</v>
      </c>
      <c r="B45" s="539"/>
      <c r="C45" s="539">
        <f t="shared" si="4"/>
        <v>1000000000</v>
      </c>
      <c r="D45" s="539"/>
      <c r="E45" s="539"/>
      <c r="F45" s="539">
        <v>1000000000</v>
      </c>
      <c r="G45" s="539"/>
      <c r="H45" s="539"/>
      <c r="I45" s="539"/>
      <c r="J45" s="540"/>
    </row>
    <row r="46" spans="1:10" x14ac:dyDescent="0.25">
      <c r="A46" s="538" t="s">
        <v>504</v>
      </c>
      <c r="B46" s="539"/>
      <c r="C46" s="539">
        <f t="shared" si="4"/>
        <v>100000000</v>
      </c>
      <c r="D46" s="539"/>
      <c r="E46" s="539"/>
      <c r="F46" s="539">
        <v>100000000</v>
      </c>
      <c r="G46" s="539"/>
      <c r="H46" s="539"/>
      <c r="I46" s="539"/>
      <c r="J46" s="540"/>
    </row>
    <row r="47" spans="1:10" x14ac:dyDescent="0.25">
      <c r="A47" s="538" t="s">
        <v>505</v>
      </c>
      <c r="B47" s="539"/>
      <c r="C47" s="539">
        <f t="shared" si="4"/>
        <v>30000000</v>
      </c>
      <c r="D47" s="539"/>
      <c r="E47" s="539"/>
      <c r="F47" s="539">
        <v>30000000</v>
      </c>
      <c r="G47" s="539"/>
      <c r="H47" s="539"/>
      <c r="I47" s="539"/>
      <c r="J47" s="540"/>
    </row>
    <row r="48" spans="1:10" x14ac:dyDescent="0.25">
      <c r="A48" s="538" t="s">
        <v>454</v>
      </c>
      <c r="B48" s="539"/>
      <c r="C48" s="539">
        <f t="shared" si="4"/>
        <v>0</v>
      </c>
      <c r="D48" s="539"/>
      <c r="E48" s="539"/>
      <c r="F48" s="539">
        <v>-3395000</v>
      </c>
      <c r="G48" s="539"/>
      <c r="H48" s="539"/>
      <c r="I48" s="539"/>
      <c r="J48" s="540">
        <v>3395000</v>
      </c>
    </row>
    <row r="49" spans="1:10" x14ac:dyDescent="0.25">
      <c r="A49" s="538" t="s">
        <v>506</v>
      </c>
      <c r="B49" s="539"/>
      <c r="C49" s="539">
        <f t="shared" si="4"/>
        <v>-27499289</v>
      </c>
      <c r="D49" s="539"/>
      <c r="E49" s="539"/>
      <c r="F49" s="539"/>
      <c r="G49" s="539"/>
      <c r="H49" s="539">
        <v>-20636202</v>
      </c>
      <c r="I49" s="539"/>
      <c r="J49" s="540">
        <v>-6863087</v>
      </c>
    </row>
    <row r="50" spans="1:10" x14ac:dyDescent="0.25">
      <c r="A50" s="538" t="s">
        <v>507</v>
      </c>
      <c r="B50" s="539"/>
      <c r="C50" s="539">
        <f t="shared" si="4"/>
        <v>750000000</v>
      </c>
      <c r="D50" s="539"/>
      <c r="E50" s="539"/>
      <c r="F50" s="539"/>
      <c r="G50" s="539"/>
      <c r="H50" s="539">
        <v>750000000</v>
      </c>
      <c r="I50" s="539"/>
      <c r="J50" s="540"/>
    </row>
    <row r="51" spans="1:10" x14ac:dyDescent="0.25">
      <c r="A51" s="538" t="s">
        <v>508</v>
      </c>
      <c r="B51" s="539"/>
      <c r="C51" s="539">
        <f t="shared" si="4"/>
        <v>1984471</v>
      </c>
      <c r="D51" s="539"/>
      <c r="E51" s="539"/>
      <c r="F51" s="539"/>
      <c r="G51" s="539"/>
      <c r="H51" s="539"/>
      <c r="I51" s="539"/>
      <c r="J51" s="540">
        <v>1984471</v>
      </c>
    </row>
    <row r="52" spans="1:10" x14ac:dyDescent="0.25">
      <c r="A52" s="538" t="s">
        <v>509</v>
      </c>
      <c r="B52" s="539"/>
      <c r="C52" s="539">
        <f t="shared" ref="C52:C57" si="5">SUM(D52:J52)</f>
        <v>0</v>
      </c>
      <c r="D52" s="539"/>
      <c r="E52" s="539"/>
      <c r="F52" s="539"/>
      <c r="G52" s="539"/>
      <c r="H52" s="539">
        <v>2055371</v>
      </c>
      <c r="I52" s="539"/>
      <c r="J52" s="540">
        <v>-2055371</v>
      </c>
    </row>
    <row r="53" spans="1:10" ht="28.5" x14ac:dyDescent="0.25">
      <c r="A53" s="541" t="s">
        <v>510</v>
      </c>
      <c r="B53" s="539"/>
      <c r="C53" s="539">
        <f t="shared" si="5"/>
        <v>-15559743</v>
      </c>
      <c r="D53" s="539"/>
      <c r="E53" s="539"/>
      <c r="F53" s="539"/>
      <c r="G53" s="539"/>
      <c r="H53" s="539"/>
      <c r="I53" s="539"/>
      <c r="J53" s="540">
        <v>-15559743</v>
      </c>
    </row>
    <row r="54" spans="1:10" ht="28.5" x14ac:dyDescent="0.25">
      <c r="A54" s="372" t="s">
        <v>511</v>
      </c>
      <c r="B54" s="539"/>
      <c r="C54" s="539">
        <f t="shared" si="5"/>
        <v>134571</v>
      </c>
      <c r="D54" s="539"/>
      <c r="E54" s="539"/>
      <c r="F54" s="539"/>
      <c r="G54" s="539"/>
      <c r="H54" s="539"/>
      <c r="I54" s="539"/>
      <c r="J54" s="540">
        <v>134571</v>
      </c>
    </row>
    <row r="55" spans="1:10" ht="28.5" x14ac:dyDescent="0.25">
      <c r="A55" s="372" t="s">
        <v>512</v>
      </c>
      <c r="B55" s="539"/>
      <c r="C55" s="539">
        <f t="shared" si="5"/>
        <v>734278094</v>
      </c>
      <c r="D55" s="539"/>
      <c r="E55" s="539"/>
      <c r="F55" s="539">
        <v>689212646</v>
      </c>
      <c r="G55" s="539"/>
      <c r="H55" s="539">
        <v>3104388</v>
      </c>
      <c r="I55" s="539"/>
      <c r="J55" s="540">
        <f>1173312+11244240+1784412+12701591+15057504+1</f>
        <v>41961060</v>
      </c>
    </row>
    <row r="56" spans="1:10" x14ac:dyDescent="0.25">
      <c r="A56" s="538" t="s">
        <v>513</v>
      </c>
      <c r="B56" s="539"/>
      <c r="C56" s="539">
        <f t="shared" si="5"/>
        <v>4417607</v>
      </c>
      <c r="D56" s="539"/>
      <c r="E56" s="539"/>
      <c r="F56" s="539"/>
      <c r="G56" s="539"/>
      <c r="H56" s="539">
        <v>838179</v>
      </c>
      <c r="I56" s="539"/>
      <c r="J56" s="540">
        <v>3579428</v>
      </c>
    </row>
    <row r="57" spans="1:10" x14ac:dyDescent="0.25">
      <c r="A57" s="538" t="s">
        <v>514</v>
      </c>
      <c r="B57" s="539"/>
      <c r="C57" s="539">
        <f t="shared" si="5"/>
        <v>56196</v>
      </c>
      <c r="D57" s="539"/>
      <c r="E57" s="539"/>
      <c r="F57" s="539"/>
      <c r="G57" s="539"/>
      <c r="H57" s="539"/>
      <c r="I57" s="539"/>
      <c r="J57" s="540">
        <v>56196</v>
      </c>
    </row>
    <row r="58" spans="1:10" x14ac:dyDescent="0.25">
      <c r="A58" s="379" t="s">
        <v>515</v>
      </c>
      <c r="B58" s="374">
        <f>SUM(B25:B57)</f>
        <v>12189772856</v>
      </c>
      <c r="C58" s="374">
        <f t="shared" ref="C58:J58" si="6">SUM(C25:C57)</f>
        <v>26209334234</v>
      </c>
      <c r="D58" s="374">
        <f t="shared" si="6"/>
        <v>0</v>
      </c>
      <c r="E58" s="374">
        <f t="shared" si="6"/>
        <v>6396470863</v>
      </c>
      <c r="F58" s="374">
        <f t="shared" si="6"/>
        <v>13939498649</v>
      </c>
      <c r="G58" s="374">
        <f t="shared" si="6"/>
        <v>0</v>
      </c>
      <c r="H58" s="374">
        <f t="shared" si="6"/>
        <v>204727784</v>
      </c>
      <c r="I58" s="374">
        <f t="shared" si="6"/>
        <v>5676855393</v>
      </c>
      <c r="J58" s="375">
        <f t="shared" si="6"/>
        <v>-8218455</v>
      </c>
    </row>
    <row r="59" spans="1:10" x14ac:dyDescent="0.25">
      <c r="A59" s="379" t="s">
        <v>516</v>
      </c>
      <c r="B59" s="374">
        <f t="shared" ref="B59:J59" si="7">B58-B41</f>
        <v>1446600</v>
      </c>
      <c r="C59" s="374">
        <f t="shared" si="7"/>
        <v>14021007978</v>
      </c>
      <c r="D59" s="374">
        <f t="shared" si="7"/>
        <v>0</v>
      </c>
      <c r="E59" s="374">
        <f t="shared" si="7"/>
        <v>-115000000</v>
      </c>
      <c r="F59" s="374">
        <f t="shared" si="7"/>
        <v>13939498649</v>
      </c>
      <c r="G59" s="374">
        <f t="shared" si="7"/>
        <v>0</v>
      </c>
      <c r="H59" s="374">
        <f t="shared" si="7"/>
        <v>204727784</v>
      </c>
      <c r="I59" s="374">
        <f t="shared" si="7"/>
        <v>0</v>
      </c>
      <c r="J59" s="375">
        <f t="shared" si="7"/>
        <v>-8218455</v>
      </c>
    </row>
    <row r="60" spans="1:10" ht="28.5" x14ac:dyDescent="0.25">
      <c r="A60" s="380" t="s">
        <v>517</v>
      </c>
      <c r="B60" s="370">
        <f>B23-B9+B58</f>
        <v>12189968856</v>
      </c>
      <c r="C60" s="370">
        <f t="shared" ref="C60:J60" si="8">C23-C9+C58</f>
        <v>30766320590</v>
      </c>
      <c r="D60" s="370">
        <f t="shared" si="8"/>
        <v>883000000</v>
      </c>
      <c r="E60" s="370">
        <f t="shared" si="8"/>
        <v>6344573485</v>
      </c>
      <c r="F60" s="370">
        <f t="shared" si="8"/>
        <v>17758276255</v>
      </c>
      <c r="G60" s="370">
        <f t="shared" si="8"/>
        <v>0</v>
      </c>
      <c r="H60" s="370">
        <f t="shared" si="8"/>
        <v>204727784</v>
      </c>
      <c r="I60" s="370">
        <f t="shared" si="8"/>
        <v>5564699475</v>
      </c>
      <c r="J60" s="371">
        <f t="shared" si="8"/>
        <v>11043591</v>
      </c>
    </row>
    <row r="61" spans="1:10" ht="28.5" x14ac:dyDescent="0.25">
      <c r="A61" s="380" t="s">
        <v>518</v>
      </c>
      <c r="B61" s="370">
        <f>B23-B9+B59</f>
        <v>1642600</v>
      </c>
      <c r="C61" s="370">
        <f t="shared" ref="C61:J61" si="9">C23-C9+C59</f>
        <v>18577994334</v>
      </c>
      <c r="D61" s="370">
        <f t="shared" si="9"/>
        <v>883000000</v>
      </c>
      <c r="E61" s="370">
        <f t="shared" si="9"/>
        <v>-166897378</v>
      </c>
      <c r="F61" s="370">
        <f t="shared" si="9"/>
        <v>17758276255</v>
      </c>
      <c r="G61" s="370">
        <f t="shared" si="9"/>
        <v>0</v>
      </c>
      <c r="H61" s="370">
        <f t="shared" si="9"/>
        <v>204727784</v>
      </c>
      <c r="I61" s="370">
        <f t="shared" si="9"/>
        <v>-112155918</v>
      </c>
      <c r="J61" s="371">
        <f t="shared" si="9"/>
        <v>11043591</v>
      </c>
    </row>
    <row r="62" spans="1:10" x14ac:dyDescent="0.25">
      <c r="A62" s="376" t="s">
        <v>519</v>
      </c>
      <c r="B62" s="377">
        <f>B23+B58</f>
        <v>12282724856</v>
      </c>
      <c r="C62" s="377">
        <f t="shared" ref="C62:J62" si="10">C23+C58</f>
        <v>226467000210</v>
      </c>
      <c r="D62" s="377">
        <f t="shared" si="10"/>
        <v>27411676980</v>
      </c>
      <c r="E62" s="377">
        <f t="shared" si="10"/>
        <v>20958447944</v>
      </c>
      <c r="F62" s="377">
        <f t="shared" si="10"/>
        <v>161482083817</v>
      </c>
      <c r="G62" s="377">
        <f t="shared" si="10"/>
        <v>276266938</v>
      </c>
      <c r="H62" s="377">
        <f t="shared" si="10"/>
        <v>7204727784</v>
      </c>
      <c r="I62" s="377">
        <f t="shared" si="10"/>
        <v>6884280208</v>
      </c>
      <c r="J62" s="378">
        <f t="shared" si="10"/>
        <v>2249516539</v>
      </c>
    </row>
    <row r="63" spans="1:10" ht="15.75" thickBot="1" x14ac:dyDescent="0.3">
      <c r="A63" s="381" t="s">
        <v>520</v>
      </c>
      <c r="B63" s="382">
        <f>B62-B41</f>
        <v>94398600</v>
      </c>
      <c r="C63" s="382">
        <f t="shared" ref="C63:J63" si="11">C62-C41</f>
        <v>214278673954</v>
      </c>
      <c r="D63" s="382">
        <f t="shared" si="11"/>
        <v>27411676980</v>
      </c>
      <c r="E63" s="382">
        <f t="shared" si="11"/>
        <v>14446977081</v>
      </c>
      <c r="F63" s="382">
        <f t="shared" si="11"/>
        <v>161482083817</v>
      </c>
      <c r="G63" s="382">
        <f t="shared" si="11"/>
        <v>276266938</v>
      </c>
      <c r="H63" s="382">
        <f t="shared" si="11"/>
        <v>7204727784</v>
      </c>
      <c r="I63" s="382">
        <f t="shared" si="11"/>
        <v>1207424815</v>
      </c>
      <c r="J63" s="467">
        <f t="shared" si="11"/>
        <v>2249516539</v>
      </c>
    </row>
  </sheetData>
  <pageMargins left="0.51181102362204722" right="0.51181102362204722" top="0.98425196850393704" bottom="0.98425196850393704" header="0.31496062992125984" footer="0.31496062992125984"/>
  <pageSetup paperSize="9" scale="66" fitToHeight="0" orientation="landscape" r:id="rId1"/>
  <headerFooter>
    <oddHeader>&amp;RKapitola A
&amp;"-,Tučné"Tabulka č. 3c/str. 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S44"/>
  <sheetViews>
    <sheetView zoomScale="70" zoomScaleNormal="70" workbookViewId="0">
      <pane xSplit="1" ySplit="8" topLeftCell="B9" activePane="bottomRight" state="frozen"/>
      <selection activeCell="G72" sqref="G72"/>
      <selection pane="topRight" activeCell="G72" sqref="G72"/>
      <selection pane="bottomLeft" activeCell="G72" sqref="G72"/>
      <selection pane="bottomRight" activeCell="A41" sqref="A41"/>
    </sheetView>
  </sheetViews>
  <sheetFormatPr defaultColWidth="71.28515625" defaultRowHeight="12.75" x14ac:dyDescent="0.2"/>
  <cols>
    <col min="1" max="1" width="60.85546875" style="67" customWidth="1"/>
    <col min="2" max="22" width="17.28515625" style="67" customWidth="1"/>
    <col min="23" max="250" width="9.140625" style="67" customWidth="1"/>
    <col min="251" max="253" width="71.28515625" style="67"/>
    <col min="254" max="254" width="76.85546875" style="67" customWidth="1"/>
    <col min="255" max="264" width="0" style="67" hidden="1" customWidth="1"/>
    <col min="265" max="266" width="16.85546875" style="67" customWidth="1"/>
    <col min="267" max="270" width="15.5703125" style="67" customWidth="1"/>
    <col min="271" max="271" width="16.28515625" style="67" customWidth="1"/>
    <col min="272" max="272" width="16.140625" style="67" customWidth="1"/>
    <col min="273" max="506" width="9.140625" style="67" customWidth="1"/>
    <col min="507" max="509" width="71.28515625" style="67"/>
    <col min="510" max="510" width="76.85546875" style="67" customWidth="1"/>
    <col min="511" max="520" width="0" style="67" hidden="1" customWidth="1"/>
    <col min="521" max="522" width="16.85546875" style="67" customWidth="1"/>
    <col min="523" max="526" width="15.5703125" style="67" customWidth="1"/>
    <col min="527" max="527" width="16.28515625" style="67" customWidth="1"/>
    <col min="528" max="528" width="16.140625" style="67" customWidth="1"/>
    <col min="529" max="762" width="9.140625" style="67" customWidth="1"/>
    <col min="763" max="765" width="71.28515625" style="67"/>
    <col min="766" max="766" width="76.85546875" style="67" customWidth="1"/>
    <col min="767" max="776" width="0" style="67" hidden="1" customWidth="1"/>
    <col min="777" max="778" width="16.85546875" style="67" customWidth="1"/>
    <col min="779" max="782" width="15.5703125" style="67" customWidth="1"/>
    <col min="783" max="783" width="16.28515625" style="67" customWidth="1"/>
    <col min="784" max="784" width="16.140625" style="67" customWidth="1"/>
    <col min="785" max="1018" width="9.140625" style="67" customWidth="1"/>
    <col min="1019" max="1021" width="71.28515625" style="67"/>
    <col min="1022" max="1022" width="76.85546875" style="67" customWidth="1"/>
    <col min="1023" max="1032" width="0" style="67" hidden="1" customWidth="1"/>
    <col min="1033" max="1034" width="16.85546875" style="67" customWidth="1"/>
    <col min="1035" max="1038" width="15.5703125" style="67" customWidth="1"/>
    <col min="1039" max="1039" width="16.28515625" style="67" customWidth="1"/>
    <col min="1040" max="1040" width="16.140625" style="67" customWidth="1"/>
    <col min="1041" max="1274" width="9.140625" style="67" customWidth="1"/>
    <col min="1275" max="1277" width="71.28515625" style="67"/>
    <col min="1278" max="1278" width="76.85546875" style="67" customWidth="1"/>
    <col min="1279" max="1288" width="0" style="67" hidden="1" customWidth="1"/>
    <col min="1289" max="1290" width="16.85546875" style="67" customWidth="1"/>
    <col min="1291" max="1294" width="15.5703125" style="67" customWidth="1"/>
    <col min="1295" max="1295" width="16.28515625" style="67" customWidth="1"/>
    <col min="1296" max="1296" width="16.140625" style="67" customWidth="1"/>
    <col min="1297" max="1530" width="9.140625" style="67" customWidth="1"/>
    <col min="1531" max="1533" width="71.28515625" style="67"/>
    <col min="1534" max="1534" width="76.85546875" style="67" customWidth="1"/>
    <col min="1535" max="1544" width="0" style="67" hidden="1" customWidth="1"/>
    <col min="1545" max="1546" width="16.85546875" style="67" customWidth="1"/>
    <col min="1547" max="1550" width="15.5703125" style="67" customWidth="1"/>
    <col min="1551" max="1551" width="16.28515625" style="67" customWidth="1"/>
    <col min="1552" max="1552" width="16.140625" style="67" customWidth="1"/>
    <col min="1553" max="1786" width="9.140625" style="67" customWidth="1"/>
    <col min="1787" max="1789" width="71.28515625" style="67"/>
    <col min="1790" max="1790" width="76.85546875" style="67" customWidth="1"/>
    <col min="1791" max="1800" width="0" style="67" hidden="1" customWidth="1"/>
    <col min="1801" max="1802" width="16.85546875" style="67" customWidth="1"/>
    <col min="1803" max="1806" width="15.5703125" style="67" customWidth="1"/>
    <col min="1807" max="1807" width="16.28515625" style="67" customWidth="1"/>
    <col min="1808" max="1808" width="16.140625" style="67" customWidth="1"/>
    <col min="1809" max="2042" width="9.140625" style="67" customWidth="1"/>
    <col min="2043" max="2045" width="71.28515625" style="67"/>
    <col min="2046" max="2046" width="76.85546875" style="67" customWidth="1"/>
    <col min="2047" max="2056" width="0" style="67" hidden="1" customWidth="1"/>
    <col min="2057" max="2058" width="16.85546875" style="67" customWidth="1"/>
    <col min="2059" max="2062" width="15.5703125" style="67" customWidth="1"/>
    <col min="2063" max="2063" width="16.28515625" style="67" customWidth="1"/>
    <col min="2064" max="2064" width="16.140625" style="67" customWidth="1"/>
    <col min="2065" max="2298" width="9.140625" style="67" customWidth="1"/>
    <col min="2299" max="2301" width="71.28515625" style="67"/>
    <col min="2302" max="2302" width="76.85546875" style="67" customWidth="1"/>
    <col min="2303" max="2312" width="0" style="67" hidden="1" customWidth="1"/>
    <col min="2313" max="2314" width="16.85546875" style="67" customWidth="1"/>
    <col min="2315" max="2318" width="15.5703125" style="67" customWidth="1"/>
    <col min="2319" max="2319" width="16.28515625" style="67" customWidth="1"/>
    <col min="2320" max="2320" width="16.140625" style="67" customWidth="1"/>
    <col min="2321" max="2554" width="9.140625" style="67" customWidth="1"/>
    <col min="2555" max="2557" width="71.28515625" style="67"/>
    <col min="2558" max="2558" width="76.85546875" style="67" customWidth="1"/>
    <col min="2559" max="2568" width="0" style="67" hidden="1" customWidth="1"/>
    <col min="2569" max="2570" width="16.85546875" style="67" customWidth="1"/>
    <col min="2571" max="2574" width="15.5703125" style="67" customWidth="1"/>
    <col min="2575" max="2575" width="16.28515625" style="67" customWidth="1"/>
    <col min="2576" max="2576" width="16.140625" style="67" customWidth="1"/>
    <col min="2577" max="2810" width="9.140625" style="67" customWidth="1"/>
    <col min="2811" max="2813" width="71.28515625" style="67"/>
    <col min="2814" max="2814" width="76.85546875" style="67" customWidth="1"/>
    <col min="2815" max="2824" width="0" style="67" hidden="1" customWidth="1"/>
    <col min="2825" max="2826" width="16.85546875" style="67" customWidth="1"/>
    <col min="2827" max="2830" width="15.5703125" style="67" customWidth="1"/>
    <col min="2831" max="2831" width="16.28515625" style="67" customWidth="1"/>
    <col min="2832" max="2832" width="16.140625" style="67" customWidth="1"/>
    <col min="2833" max="3066" width="9.140625" style="67" customWidth="1"/>
    <col min="3067" max="3069" width="71.28515625" style="67"/>
    <col min="3070" max="3070" width="76.85546875" style="67" customWidth="1"/>
    <col min="3071" max="3080" width="0" style="67" hidden="1" customWidth="1"/>
    <col min="3081" max="3082" width="16.85546875" style="67" customWidth="1"/>
    <col min="3083" max="3086" width="15.5703125" style="67" customWidth="1"/>
    <col min="3087" max="3087" width="16.28515625" style="67" customWidth="1"/>
    <col min="3088" max="3088" width="16.140625" style="67" customWidth="1"/>
    <col min="3089" max="3322" width="9.140625" style="67" customWidth="1"/>
    <col min="3323" max="3325" width="71.28515625" style="67"/>
    <col min="3326" max="3326" width="76.85546875" style="67" customWidth="1"/>
    <col min="3327" max="3336" width="0" style="67" hidden="1" customWidth="1"/>
    <col min="3337" max="3338" width="16.85546875" style="67" customWidth="1"/>
    <col min="3339" max="3342" width="15.5703125" style="67" customWidth="1"/>
    <col min="3343" max="3343" width="16.28515625" style="67" customWidth="1"/>
    <col min="3344" max="3344" width="16.140625" style="67" customWidth="1"/>
    <col min="3345" max="3578" width="9.140625" style="67" customWidth="1"/>
    <col min="3579" max="3581" width="71.28515625" style="67"/>
    <col min="3582" max="3582" width="76.85546875" style="67" customWidth="1"/>
    <col min="3583" max="3592" width="0" style="67" hidden="1" customWidth="1"/>
    <col min="3593" max="3594" width="16.85546875" style="67" customWidth="1"/>
    <col min="3595" max="3598" width="15.5703125" style="67" customWidth="1"/>
    <col min="3599" max="3599" width="16.28515625" style="67" customWidth="1"/>
    <col min="3600" max="3600" width="16.140625" style="67" customWidth="1"/>
    <col min="3601" max="3834" width="9.140625" style="67" customWidth="1"/>
    <col min="3835" max="3837" width="71.28515625" style="67"/>
    <col min="3838" max="3838" width="76.85546875" style="67" customWidth="1"/>
    <col min="3839" max="3848" width="0" style="67" hidden="1" customWidth="1"/>
    <col min="3849" max="3850" width="16.85546875" style="67" customWidth="1"/>
    <col min="3851" max="3854" width="15.5703125" style="67" customWidth="1"/>
    <col min="3855" max="3855" width="16.28515625" style="67" customWidth="1"/>
    <col min="3856" max="3856" width="16.140625" style="67" customWidth="1"/>
    <col min="3857" max="4090" width="9.140625" style="67" customWidth="1"/>
    <col min="4091" max="4093" width="71.28515625" style="67"/>
    <col min="4094" max="4094" width="76.85546875" style="67" customWidth="1"/>
    <col min="4095" max="4104" width="0" style="67" hidden="1" customWidth="1"/>
    <col min="4105" max="4106" width="16.85546875" style="67" customWidth="1"/>
    <col min="4107" max="4110" width="15.5703125" style="67" customWidth="1"/>
    <col min="4111" max="4111" width="16.28515625" style="67" customWidth="1"/>
    <col min="4112" max="4112" width="16.140625" style="67" customWidth="1"/>
    <col min="4113" max="4346" width="9.140625" style="67" customWidth="1"/>
    <col min="4347" max="4349" width="71.28515625" style="67"/>
    <col min="4350" max="4350" width="76.85546875" style="67" customWidth="1"/>
    <col min="4351" max="4360" width="0" style="67" hidden="1" customWidth="1"/>
    <col min="4361" max="4362" width="16.85546875" style="67" customWidth="1"/>
    <col min="4363" max="4366" width="15.5703125" style="67" customWidth="1"/>
    <col min="4367" max="4367" width="16.28515625" style="67" customWidth="1"/>
    <col min="4368" max="4368" width="16.140625" style="67" customWidth="1"/>
    <col min="4369" max="4602" width="9.140625" style="67" customWidth="1"/>
    <col min="4603" max="4605" width="71.28515625" style="67"/>
    <col min="4606" max="4606" width="76.85546875" style="67" customWidth="1"/>
    <col min="4607" max="4616" width="0" style="67" hidden="1" customWidth="1"/>
    <col min="4617" max="4618" width="16.85546875" style="67" customWidth="1"/>
    <col min="4619" max="4622" width="15.5703125" style="67" customWidth="1"/>
    <col min="4623" max="4623" width="16.28515625" style="67" customWidth="1"/>
    <col min="4624" max="4624" width="16.140625" style="67" customWidth="1"/>
    <col min="4625" max="4858" width="9.140625" style="67" customWidth="1"/>
    <col min="4859" max="4861" width="71.28515625" style="67"/>
    <col min="4862" max="4862" width="76.85546875" style="67" customWidth="1"/>
    <col min="4863" max="4872" width="0" style="67" hidden="1" customWidth="1"/>
    <col min="4873" max="4874" width="16.85546875" style="67" customWidth="1"/>
    <col min="4875" max="4878" width="15.5703125" style="67" customWidth="1"/>
    <col min="4879" max="4879" width="16.28515625" style="67" customWidth="1"/>
    <col min="4880" max="4880" width="16.140625" style="67" customWidth="1"/>
    <col min="4881" max="5114" width="9.140625" style="67" customWidth="1"/>
    <col min="5115" max="5117" width="71.28515625" style="67"/>
    <col min="5118" max="5118" width="76.85546875" style="67" customWidth="1"/>
    <col min="5119" max="5128" width="0" style="67" hidden="1" customWidth="1"/>
    <col min="5129" max="5130" width="16.85546875" style="67" customWidth="1"/>
    <col min="5131" max="5134" width="15.5703125" style="67" customWidth="1"/>
    <col min="5135" max="5135" width="16.28515625" style="67" customWidth="1"/>
    <col min="5136" max="5136" width="16.140625" style="67" customWidth="1"/>
    <col min="5137" max="5370" width="9.140625" style="67" customWidth="1"/>
    <col min="5371" max="5373" width="71.28515625" style="67"/>
    <col min="5374" max="5374" width="76.85546875" style="67" customWidth="1"/>
    <col min="5375" max="5384" width="0" style="67" hidden="1" customWidth="1"/>
    <col min="5385" max="5386" width="16.85546875" style="67" customWidth="1"/>
    <col min="5387" max="5390" width="15.5703125" style="67" customWidth="1"/>
    <col min="5391" max="5391" width="16.28515625" style="67" customWidth="1"/>
    <col min="5392" max="5392" width="16.140625" style="67" customWidth="1"/>
    <col min="5393" max="5626" width="9.140625" style="67" customWidth="1"/>
    <col min="5627" max="5629" width="71.28515625" style="67"/>
    <col min="5630" max="5630" width="76.85546875" style="67" customWidth="1"/>
    <col min="5631" max="5640" width="0" style="67" hidden="1" customWidth="1"/>
    <col min="5641" max="5642" width="16.85546875" style="67" customWidth="1"/>
    <col min="5643" max="5646" width="15.5703125" style="67" customWidth="1"/>
    <col min="5647" max="5647" width="16.28515625" style="67" customWidth="1"/>
    <col min="5648" max="5648" width="16.140625" style="67" customWidth="1"/>
    <col min="5649" max="5882" width="9.140625" style="67" customWidth="1"/>
    <col min="5883" max="5885" width="71.28515625" style="67"/>
    <col min="5886" max="5886" width="76.85546875" style="67" customWidth="1"/>
    <col min="5887" max="5896" width="0" style="67" hidden="1" customWidth="1"/>
    <col min="5897" max="5898" width="16.85546875" style="67" customWidth="1"/>
    <col min="5899" max="5902" width="15.5703125" style="67" customWidth="1"/>
    <col min="5903" max="5903" width="16.28515625" style="67" customWidth="1"/>
    <col min="5904" max="5904" width="16.140625" style="67" customWidth="1"/>
    <col min="5905" max="6138" width="9.140625" style="67" customWidth="1"/>
    <col min="6139" max="6141" width="71.28515625" style="67"/>
    <col min="6142" max="6142" width="76.85546875" style="67" customWidth="1"/>
    <col min="6143" max="6152" width="0" style="67" hidden="1" customWidth="1"/>
    <col min="6153" max="6154" width="16.85546875" style="67" customWidth="1"/>
    <col min="6155" max="6158" width="15.5703125" style="67" customWidth="1"/>
    <col min="6159" max="6159" width="16.28515625" style="67" customWidth="1"/>
    <col min="6160" max="6160" width="16.140625" style="67" customWidth="1"/>
    <col min="6161" max="6394" width="9.140625" style="67" customWidth="1"/>
    <col min="6395" max="6397" width="71.28515625" style="67"/>
    <col min="6398" max="6398" width="76.85546875" style="67" customWidth="1"/>
    <col min="6399" max="6408" width="0" style="67" hidden="1" customWidth="1"/>
    <col min="6409" max="6410" width="16.85546875" style="67" customWidth="1"/>
    <col min="6411" max="6414" width="15.5703125" style="67" customWidth="1"/>
    <col min="6415" max="6415" width="16.28515625" style="67" customWidth="1"/>
    <col min="6416" max="6416" width="16.140625" style="67" customWidth="1"/>
    <col min="6417" max="6650" width="9.140625" style="67" customWidth="1"/>
    <col min="6651" max="6653" width="71.28515625" style="67"/>
    <col min="6654" max="6654" width="76.85546875" style="67" customWidth="1"/>
    <col min="6655" max="6664" width="0" style="67" hidden="1" customWidth="1"/>
    <col min="6665" max="6666" width="16.85546875" style="67" customWidth="1"/>
    <col min="6667" max="6670" width="15.5703125" style="67" customWidth="1"/>
    <col min="6671" max="6671" width="16.28515625" style="67" customWidth="1"/>
    <col min="6672" max="6672" width="16.140625" style="67" customWidth="1"/>
    <col min="6673" max="6906" width="9.140625" style="67" customWidth="1"/>
    <col min="6907" max="6909" width="71.28515625" style="67"/>
    <col min="6910" max="6910" width="76.85546875" style="67" customWidth="1"/>
    <col min="6911" max="6920" width="0" style="67" hidden="1" customWidth="1"/>
    <col min="6921" max="6922" width="16.85546875" style="67" customWidth="1"/>
    <col min="6923" max="6926" width="15.5703125" style="67" customWidth="1"/>
    <col min="6927" max="6927" width="16.28515625" style="67" customWidth="1"/>
    <col min="6928" max="6928" width="16.140625" style="67" customWidth="1"/>
    <col min="6929" max="7162" width="9.140625" style="67" customWidth="1"/>
    <col min="7163" max="7165" width="71.28515625" style="67"/>
    <col min="7166" max="7166" width="76.85546875" style="67" customWidth="1"/>
    <col min="7167" max="7176" width="0" style="67" hidden="1" customWidth="1"/>
    <col min="7177" max="7178" width="16.85546875" style="67" customWidth="1"/>
    <col min="7179" max="7182" width="15.5703125" style="67" customWidth="1"/>
    <col min="7183" max="7183" width="16.28515625" style="67" customWidth="1"/>
    <col min="7184" max="7184" width="16.140625" style="67" customWidth="1"/>
    <col min="7185" max="7418" width="9.140625" style="67" customWidth="1"/>
    <col min="7419" max="7421" width="71.28515625" style="67"/>
    <col min="7422" max="7422" width="76.85546875" style="67" customWidth="1"/>
    <col min="7423" max="7432" width="0" style="67" hidden="1" customWidth="1"/>
    <col min="7433" max="7434" width="16.85546875" style="67" customWidth="1"/>
    <col min="7435" max="7438" width="15.5703125" style="67" customWidth="1"/>
    <col min="7439" max="7439" width="16.28515625" style="67" customWidth="1"/>
    <col min="7440" max="7440" width="16.140625" style="67" customWidth="1"/>
    <col min="7441" max="7674" width="9.140625" style="67" customWidth="1"/>
    <col min="7675" max="7677" width="71.28515625" style="67"/>
    <col min="7678" max="7678" width="76.85546875" style="67" customWidth="1"/>
    <col min="7679" max="7688" width="0" style="67" hidden="1" customWidth="1"/>
    <col min="7689" max="7690" width="16.85546875" style="67" customWidth="1"/>
    <col min="7691" max="7694" width="15.5703125" style="67" customWidth="1"/>
    <col min="7695" max="7695" width="16.28515625" style="67" customWidth="1"/>
    <col min="7696" max="7696" width="16.140625" style="67" customWidth="1"/>
    <col min="7697" max="7930" width="9.140625" style="67" customWidth="1"/>
    <col min="7931" max="7933" width="71.28515625" style="67"/>
    <col min="7934" max="7934" width="76.85546875" style="67" customWidth="1"/>
    <col min="7935" max="7944" width="0" style="67" hidden="1" customWidth="1"/>
    <col min="7945" max="7946" width="16.85546875" style="67" customWidth="1"/>
    <col min="7947" max="7950" width="15.5703125" style="67" customWidth="1"/>
    <col min="7951" max="7951" width="16.28515625" style="67" customWidth="1"/>
    <col min="7952" max="7952" width="16.140625" style="67" customWidth="1"/>
    <col min="7953" max="8186" width="9.140625" style="67" customWidth="1"/>
    <col min="8187" max="8189" width="71.28515625" style="67"/>
    <col min="8190" max="8190" width="76.85546875" style="67" customWidth="1"/>
    <col min="8191" max="8200" width="0" style="67" hidden="1" customWidth="1"/>
    <col min="8201" max="8202" width="16.85546875" style="67" customWidth="1"/>
    <col min="8203" max="8206" width="15.5703125" style="67" customWidth="1"/>
    <col min="8207" max="8207" width="16.28515625" style="67" customWidth="1"/>
    <col min="8208" max="8208" width="16.140625" style="67" customWidth="1"/>
    <col min="8209" max="8442" width="9.140625" style="67" customWidth="1"/>
    <col min="8443" max="8445" width="71.28515625" style="67"/>
    <col min="8446" max="8446" width="76.85546875" style="67" customWidth="1"/>
    <col min="8447" max="8456" width="0" style="67" hidden="1" customWidth="1"/>
    <col min="8457" max="8458" width="16.85546875" style="67" customWidth="1"/>
    <col min="8459" max="8462" width="15.5703125" style="67" customWidth="1"/>
    <col min="8463" max="8463" width="16.28515625" style="67" customWidth="1"/>
    <col min="8464" max="8464" width="16.140625" style="67" customWidth="1"/>
    <col min="8465" max="8698" width="9.140625" style="67" customWidth="1"/>
    <col min="8699" max="8701" width="71.28515625" style="67"/>
    <col min="8702" max="8702" width="76.85546875" style="67" customWidth="1"/>
    <col min="8703" max="8712" width="0" style="67" hidden="1" customWidth="1"/>
    <col min="8713" max="8714" width="16.85546875" style="67" customWidth="1"/>
    <col min="8715" max="8718" width="15.5703125" style="67" customWidth="1"/>
    <col min="8719" max="8719" width="16.28515625" style="67" customWidth="1"/>
    <col min="8720" max="8720" width="16.140625" style="67" customWidth="1"/>
    <col min="8721" max="8954" width="9.140625" style="67" customWidth="1"/>
    <col min="8955" max="8957" width="71.28515625" style="67"/>
    <col min="8958" max="8958" width="76.85546875" style="67" customWidth="1"/>
    <col min="8959" max="8968" width="0" style="67" hidden="1" customWidth="1"/>
    <col min="8969" max="8970" width="16.85546875" style="67" customWidth="1"/>
    <col min="8971" max="8974" width="15.5703125" style="67" customWidth="1"/>
    <col min="8975" max="8975" width="16.28515625" style="67" customWidth="1"/>
    <col min="8976" max="8976" width="16.140625" style="67" customWidth="1"/>
    <col min="8977" max="9210" width="9.140625" style="67" customWidth="1"/>
    <col min="9211" max="9213" width="71.28515625" style="67"/>
    <col min="9214" max="9214" width="76.85546875" style="67" customWidth="1"/>
    <col min="9215" max="9224" width="0" style="67" hidden="1" customWidth="1"/>
    <col min="9225" max="9226" width="16.85546875" style="67" customWidth="1"/>
    <col min="9227" max="9230" width="15.5703125" style="67" customWidth="1"/>
    <col min="9231" max="9231" width="16.28515625" style="67" customWidth="1"/>
    <col min="9232" max="9232" width="16.140625" style="67" customWidth="1"/>
    <col min="9233" max="9466" width="9.140625" style="67" customWidth="1"/>
    <col min="9467" max="9469" width="71.28515625" style="67"/>
    <col min="9470" max="9470" width="76.85546875" style="67" customWidth="1"/>
    <col min="9471" max="9480" width="0" style="67" hidden="1" customWidth="1"/>
    <col min="9481" max="9482" width="16.85546875" style="67" customWidth="1"/>
    <col min="9483" max="9486" width="15.5703125" style="67" customWidth="1"/>
    <col min="9487" max="9487" width="16.28515625" style="67" customWidth="1"/>
    <col min="9488" max="9488" width="16.140625" style="67" customWidth="1"/>
    <col min="9489" max="9722" width="9.140625" style="67" customWidth="1"/>
    <col min="9723" max="9725" width="71.28515625" style="67"/>
    <col min="9726" max="9726" width="76.85546875" style="67" customWidth="1"/>
    <col min="9727" max="9736" width="0" style="67" hidden="1" customWidth="1"/>
    <col min="9737" max="9738" width="16.85546875" style="67" customWidth="1"/>
    <col min="9739" max="9742" width="15.5703125" style="67" customWidth="1"/>
    <col min="9743" max="9743" width="16.28515625" style="67" customWidth="1"/>
    <col min="9744" max="9744" width="16.140625" style="67" customWidth="1"/>
    <col min="9745" max="9978" width="9.140625" style="67" customWidth="1"/>
    <col min="9979" max="9981" width="71.28515625" style="67"/>
    <col min="9982" max="9982" width="76.85546875" style="67" customWidth="1"/>
    <col min="9983" max="9992" width="0" style="67" hidden="1" customWidth="1"/>
    <col min="9993" max="9994" width="16.85546875" style="67" customWidth="1"/>
    <col min="9995" max="9998" width="15.5703125" style="67" customWidth="1"/>
    <col min="9999" max="9999" width="16.28515625" style="67" customWidth="1"/>
    <col min="10000" max="10000" width="16.140625" style="67" customWidth="1"/>
    <col min="10001" max="10234" width="9.140625" style="67" customWidth="1"/>
    <col min="10235" max="10237" width="71.28515625" style="67"/>
    <col min="10238" max="10238" width="76.85546875" style="67" customWidth="1"/>
    <col min="10239" max="10248" width="0" style="67" hidden="1" customWidth="1"/>
    <col min="10249" max="10250" width="16.85546875" style="67" customWidth="1"/>
    <col min="10251" max="10254" width="15.5703125" style="67" customWidth="1"/>
    <col min="10255" max="10255" width="16.28515625" style="67" customWidth="1"/>
    <col min="10256" max="10256" width="16.140625" style="67" customWidth="1"/>
    <col min="10257" max="10490" width="9.140625" style="67" customWidth="1"/>
    <col min="10491" max="10493" width="71.28515625" style="67"/>
    <col min="10494" max="10494" width="76.85546875" style="67" customWidth="1"/>
    <col min="10495" max="10504" width="0" style="67" hidden="1" customWidth="1"/>
    <col min="10505" max="10506" width="16.85546875" style="67" customWidth="1"/>
    <col min="10507" max="10510" width="15.5703125" style="67" customWidth="1"/>
    <col min="10511" max="10511" width="16.28515625" style="67" customWidth="1"/>
    <col min="10512" max="10512" width="16.140625" style="67" customWidth="1"/>
    <col min="10513" max="10746" width="9.140625" style="67" customWidth="1"/>
    <col min="10747" max="10749" width="71.28515625" style="67"/>
    <col min="10750" max="10750" width="76.85546875" style="67" customWidth="1"/>
    <col min="10751" max="10760" width="0" style="67" hidden="1" customWidth="1"/>
    <col min="10761" max="10762" width="16.85546875" style="67" customWidth="1"/>
    <col min="10763" max="10766" width="15.5703125" style="67" customWidth="1"/>
    <col min="10767" max="10767" width="16.28515625" style="67" customWidth="1"/>
    <col min="10768" max="10768" width="16.140625" style="67" customWidth="1"/>
    <col min="10769" max="11002" width="9.140625" style="67" customWidth="1"/>
    <col min="11003" max="11005" width="71.28515625" style="67"/>
    <col min="11006" max="11006" width="76.85546875" style="67" customWidth="1"/>
    <col min="11007" max="11016" width="0" style="67" hidden="1" customWidth="1"/>
    <col min="11017" max="11018" width="16.85546875" style="67" customWidth="1"/>
    <col min="11019" max="11022" width="15.5703125" style="67" customWidth="1"/>
    <col min="11023" max="11023" width="16.28515625" style="67" customWidth="1"/>
    <col min="11024" max="11024" width="16.140625" style="67" customWidth="1"/>
    <col min="11025" max="11258" width="9.140625" style="67" customWidth="1"/>
    <col min="11259" max="11261" width="71.28515625" style="67"/>
    <col min="11262" max="11262" width="76.85546875" style="67" customWidth="1"/>
    <col min="11263" max="11272" width="0" style="67" hidden="1" customWidth="1"/>
    <col min="11273" max="11274" width="16.85546875" style="67" customWidth="1"/>
    <col min="11275" max="11278" width="15.5703125" style="67" customWidth="1"/>
    <col min="11279" max="11279" width="16.28515625" style="67" customWidth="1"/>
    <col min="11280" max="11280" width="16.140625" style="67" customWidth="1"/>
    <col min="11281" max="11514" width="9.140625" style="67" customWidth="1"/>
    <col min="11515" max="11517" width="71.28515625" style="67"/>
    <col min="11518" max="11518" width="76.85546875" style="67" customWidth="1"/>
    <col min="11519" max="11528" width="0" style="67" hidden="1" customWidth="1"/>
    <col min="11529" max="11530" width="16.85546875" style="67" customWidth="1"/>
    <col min="11531" max="11534" width="15.5703125" style="67" customWidth="1"/>
    <col min="11535" max="11535" width="16.28515625" style="67" customWidth="1"/>
    <col min="11536" max="11536" width="16.140625" style="67" customWidth="1"/>
    <col min="11537" max="11770" width="9.140625" style="67" customWidth="1"/>
    <col min="11771" max="11773" width="71.28515625" style="67"/>
    <col min="11774" max="11774" width="76.85546875" style="67" customWidth="1"/>
    <col min="11775" max="11784" width="0" style="67" hidden="1" customWidth="1"/>
    <col min="11785" max="11786" width="16.85546875" style="67" customWidth="1"/>
    <col min="11787" max="11790" width="15.5703125" style="67" customWidth="1"/>
    <col min="11791" max="11791" width="16.28515625" style="67" customWidth="1"/>
    <col min="11792" max="11792" width="16.140625" style="67" customWidth="1"/>
    <col min="11793" max="12026" width="9.140625" style="67" customWidth="1"/>
    <col min="12027" max="12029" width="71.28515625" style="67"/>
    <col min="12030" max="12030" width="76.85546875" style="67" customWidth="1"/>
    <col min="12031" max="12040" width="0" style="67" hidden="1" customWidth="1"/>
    <col min="12041" max="12042" width="16.85546875" style="67" customWidth="1"/>
    <col min="12043" max="12046" width="15.5703125" style="67" customWidth="1"/>
    <col min="12047" max="12047" width="16.28515625" style="67" customWidth="1"/>
    <col min="12048" max="12048" width="16.140625" style="67" customWidth="1"/>
    <col min="12049" max="12282" width="9.140625" style="67" customWidth="1"/>
    <col min="12283" max="12285" width="71.28515625" style="67"/>
    <col min="12286" max="12286" width="76.85546875" style="67" customWidth="1"/>
    <col min="12287" max="12296" width="0" style="67" hidden="1" customWidth="1"/>
    <col min="12297" max="12298" width="16.85546875" style="67" customWidth="1"/>
    <col min="12299" max="12302" width="15.5703125" style="67" customWidth="1"/>
    <col min="12303" max="12303" width="16.28515625" style="67" customWidth="1"/>
    <col min="12304" max="12304" width="16.140625" style="67" customWidth="1"/>
    <col min="12305" max="12538" width="9.140625" style="67" customWidth="1"/>
    <col min="12539" max="12541" width="71.28515625" style="67"/>
    <col min="12542" max="12542" width="76.85546875" style="67" customWidth="1"/>
    <col min="12543" max="12552" width="0" style="67" hidden="1" customWidth="1"/>
    <col min="12553" max="12554" width="16.85546875" style="67" customWidth="1"/>
    <col min="12555" max="12558" width="15.5703125" style="67" customWidth="1"/>
    <col min="12559" max="12559" width="16.28515625" style="67" customWidth="1"/>
    <col min="12560" max="12560" width="16.140625" style="67" customWidth="1"/>
    <col min="12561" max="12794" width="9.140625" style="67" customWidth="1"/>
    <col min="12795" max="12797" width="71.28515625" style="67"/>
    <col min="12798" max="12798" width="76.85546875" style="67" customWidth="1"/>
    <col min="12799" max="12808" width="0" style="67" hidden="1" customWidth="1"/>
    <col min="12809" max="12810" width="16.85546875" style="67" customWidth="1"/>
    <col min="12811" max="12814" width="15.5703125" style="67" customWidth="1"/>
    <col min="12815" max="12815" width="16.28515625" style="67" customWidth="1"/>
    <col min="12816" max="12816" width="16.140625" style="67" customWidth="1"/>
    <col min="12817" max="13050" width="9.140625" style="67" customWidth="1"/>
    <col min="13051" max="13053" width="71.28515625" style="67"/>
    <col min="13054" max="13054" width="76.85546875" style="67" customWidth="1"/>
    <col min="13055" max="13064" width="0" style="67" hidden="1" customWidth="1"/>
    <col min="13065" max="13066" width="16.85546875" style="67" customWidth="1"/>
    <col min="13067" max="13070" width="15.5703125" style="67" customWidth="1"/>
    <col min="13071" max="13071" width="16.28515625" style="67" customWidth="1"/>
    <col min="13072" max="13072" width="16.140625" style="67" customWidth="1"/>
    <col min="13073" max="13306" width="9.140625" style="67" customWidth="1"/>
    <col min="13307" max="13309" width="71.28515625" style="67"/>
    <col min="13310" max="13310" width="76.85546875" style="67" customWidth="1"/>
    <col min="13311" max="13320" width="0" style="67" hidden="1" customWidth="1"/>
    <col min="13321" max="13322" width="16.85546875" style="67" customWidth="1"/>
    <col min="13323" max="13326" width="15.5703125" style="67" customWidth="1"/>
    <col min="13327" max="13327" width="16.28515625" style="67" customWidth="1"/>
    <col min="13328" max="13328" width="16.140625" style="67" customWidth="1"/>
    <col min="13329" max="13562" width="9.140625" style="67" customWidth="1"/>
    <col min="13563" max="13565" width="71.28515625" style="67"/>
    <col min="13566" max="13566" width="76.85546875" style="67" customWidth="1"/>
    <col min="13567" max="13576" width="0" style="67" hidden="1" customWidth="1"/>
    <col min="13577" max="13578" width="16.85546875" style="67" customWidth="1"/>
    <col min="13579" max="13582" width="15.5703125" style="67" customWidth="1"/>
    <col min="13583" max="13583" width="16.28515625" style="67" customWidth="1"/>
    <col min="13584" max="13584" width="16.140625" style="67" customWidth="1"/>
    <col min="13585" max="13818" width="9.140625" style="67" customWidth="1"/>
    <col min="13819" max="13821" width="71.28515625" style="67"/>
    <col min="13822" max="13822" width="76.85546875" style="67" customWidth="1"/>
    <col min="13823" max="13832" width="0" style="67" hidden="1" customWidth="1"/>
    <col min="13833" max="13834" width="16.85546875" style="67" customWidth="1"/>
    <col min="13835" max="13838" width="15.5703125" style="67" customWidth="1"/>
    <col min="13839" max="13839" width="16.28515625" style="67" customWidth="1"/>
    <col min="13840" max="13840" width="16.140625" style="67" customWidth="1"/>
    <col min="13841" max="14074" width="9.140625" style="67" customWidth="1"/>
    <col min="14075" max="14077" width="71.28515625" style="67"/>
    <col min="14078" max="14078" width="76.85546875" style="67" customWidth="1"/>
    <col min="14079" max="14088" width="0" style="67" hidden="1" customWidth="1"/>
    <col min="14089" max="14090" width="16.85546875" style="67" customWidth="1"/>
    <col min="14091" max="14094" width="15.5703125" style="67" customWidth="1"/>
    <col min="14095" max="14095" width="16.28515625" style="67" customWidth="1"/>
    <col min="14096" max="14096" width="16.140625" style="67" customWidth="1"/>
    <col min="14097" max="14330" width="9.140625" style="67" customWidth="1"/>
    <col min="14331" max="14333" width="71.28515625" style="67"/>
    <col min="14334" max="14334" width="76.85546875" style="67" customWidth="1"/>
    <col min="14335" max="14344" width="0" style="67" hidden="1" customWidth="1"/>
    <col min="14345" max="14346" width="16.85546875" style="67" customWidth="1"/>
    <col min="14347" max="14350" width="15.5703125" style="67" customWidth="1"/>
    <col min="14351" max="14351" width="16.28515625" style="67" customWidth="1"/>
    <col min="14352" max="14352" width="16.140625" style="67" customWidth="1"/>
    <col min="14353" max="14586" width="9.140625" style="67" customWidth="1"/>
    <col min="14587" max="14589" width="71.28515625" style="67"/>
    <col min="14590" max="14590" width="76.85546875" style="67" customWidth="1"/>
    <col min="14591" max="14600" width="0" style="67" hidden="1" customWidth="1"/>
    <col min="14601" max="14602" width="16.85546875" style="67" customWidth="1"/>
    <col min="14603" max="14606" width="15.5703125" style="67" customWidth="1"/>
    <col min="14607" max="14607" width="16.28515625" style="67" customWidth="1"/>
    <col min="14608" max="14608" width="16.140625" style="67" customWidth="1"/>
    <col min="14609" max="14842" width="9.140625" style="67" customWidth="1"/>
    <col min="14843" max="14845" width="71.28515625" style="67"/>
    <col min="14846" max="14846" width="76.85546875" style="67" customWidth="1"/>
    <col min="14847" max="14856" width="0" style="67" hidden="1" customWidth="1"/>
    <col min="14857" max="14858" width="16.85546875" style="67" customWidth="1"/>
    <col min="14859" max="14862" width="15.5703125" style="67" customWidth="1"/>
    <col min="14863" max="14863" width="16.28515625" style="67" customWidth="1"/>
    <col min="14864" max="14864" width="16.140625" style="67" customWidth="1"/>
    <col min="14865" max="15098" width="9.140625" style="67" customWidth="1"/>
    <col min="15099" max="15101" width="71.28515625" style="67"/>
    <col min="15102" max="15102" width="76.85546875" style="67" customWidth="1"/>
    <col min="15103" max="15112" width="0" style="67" hidden="1" customWidth="1"/>
    <col min="15113" max="15114" width="16.85546875" style="67" customWidth="1"/>
    <col min="15115" max="15118" width="15.5703125" style="67" customWidth="1"/>
    <col min="15119" max="15119" width="16.28515625" style="67" customWidth="1"/>
    <col min="15120" max="15120" width="16.140625" style="67" customWidth="1"/>
    <col min="15121" max="15354" width="9.140625" style="67" customWidth="1"/>
    <col min="15355" max="15357" width="71.28515625" style="67"/>
    <col min="15358" max="15358" width="76.85546875" style="67" customWidth="1"/>
    <col min="15359" max="15368" width="0" style="67" hidden="1" customWidth="1"/>
    <col min="15369" max="15370" width="16.85546875" style="67" customWidth="1"/>
    <col min="15371" max="15374" width="15.5703125" style="67" customWidth="1"/>
    <col min="15375" max="15375" width="16.28515625" style="67" customWidth="1"/>
    <col min="15376" max="15376" width="16.140625" style="67" customWidth="1"/>
    <col min="15377" max="15610" width="9.140625" style="67" customWidth="1"/>
    <col min="15611" max="15613" width="71.28515625" style="67"/>
    <col min="15614" max="15614" width="76.85546875" style="67" customWidth="1"/>
    <col min="15615" max="15624" width="0" style="67" hidden="1" customWidth="1"/>
    <col min="15625" max="15626" width="16.85546875" style="67" customWidth="1"/>
    <col min="15627" max="15630" width="15.5703125" style="67" customWidth="1"/>
    <col min="15631" max="15631" width="16.28515625" style="67" customWidth="1"/>
    <col min="15632" max="15632" width="16.140625" style="67" customWidth="1"/>
    <col min="15633" max="15866" width="9.140625" style="67" customWidth="1"/>
    <col min="15867" max="15869" width="71.28515625" style="67"/>
    <col min="15870" max="15870" width="76.85546875" style="67" customWidth="1"/>
    <col min="15871" max="15880" width="0" style="67" hidden="1" customWidth="1"/>
    <col min="15881" max="15882" width="16.85546875" style="67" customWidth="1"/>
    <col min="15883" max="15886" width="15.5703125" style="67" customWidth="1"/>
    <col min="15887" max="15887" width="16.28515625" style="67" customWidth="1"/>
    <col min="15888" max="15888" width="16.140625" style="67" customWidth="1"/>
    <col min="15889" max="16122" width="9.140625" style="67" customWidth="1"/>
    <col min="16123" max="16125" width="71.28515625" style="67"/>
    <col min="16126" max="16126" width="76.85546875" style="67" customWidth="1"/>
    <col min="16127" max="16136" width="0" style="67" hidden="1" customWidth="1"/>
    <col min="16137" max="16138" width="16.85546875" style="67" customWidth="1"/>
    <col min="16139" max="16142" width="15.5703125" style="67" customWidth="1"/>
    <col min="16143" max="16143" width="16.28515625" style="67" customWidth="1"/>
    <col min="16144" max="16144" width="16.140625" style="67" customWidth="1"/>
    <col min="16145" max="16378" width="9.140625" style="67" customWidth="1"/>
    <col min="16379" max="16384" width="71.28515625" style="67"/>
  </cols>
  <sheetData>
    <row r="1" spans="1:253" ht="15.75" x14ac:dyDescent="0.25">
      <c r="A1" s="258" t="s">
        <v>407</v>
      </c>
    </row>
    <row r="2" spans="1:253" s="259" customFormat="1" ht="15.75" x14ac:dyDescent="0.25">
      <c r="A2" s="62" t="s">
        <v>521</v>
      </c>
    </row>
    <row r="3" spans="1:253" ht="25.5" x14ac:dyDescent="0.2">
      <c r="A3" s="575" t="s">
        <v>116</v>
      </c>
      <c r="K3" s="46"/>
    </row>
    <row r="4" spans="1:253" x14ac:dyDescent="0.2">
      <c r="K4" s="46"/>
      <c r="L4" s="46"/>
      <c r="M4" s="46"/>
      <c r="O4" s="46"/>
      <c r="Q4" s="46"/>
    </row>
    <row r="5" spans="1:253" x14ac:dyDescent="0.2">
      <c r="K5" s="46"/>
    </row>
    <row r="6" spans="1:253" ht="15" x14ac:dyDescent="0.25">
      <c r="A6" s="383"/>
      <c r="B6" s="637" t="s">
        <v>117</v>
      </c>
      <c r="C6" s="651"/>
      <c r="D6" s="637" t="s">
        <v>118</v>
      </c>
      <c r="E6" s="652"/>
      <c r="F6" s="651"/>
      <c r="G6" s="637" t="s">
        <v>119</v>
      </c>
      <c r="H6" s="651"/>
      <c r="I6" s="637" t="s">
        <v>120</v>
      </c>
      <c r="J6" s="651"/>
      <c r="K6" s="637" t="s">
        <v>121</v>
      </c>
      <c r="L6" s="651"/>
      <c r="M6" s="637" t="s">
        <v>122</v>
      </c>
      <c r="N6" s="651"/>
      <c r="O6" s="637" t="s">
        <v>193</v>
      </c>
      <c r="P6" s="638"/>
      <c r="Q6" s="637" t="s">
        <v>301</v>
      </c>
      <c r="R6" s="638"/>
      <c r="S6" s="637" t="s">
        <v>376</v>
      </c>
      <c r="T6" s="651"/>
      <c r="U6" s="637" t="s">
        <v>522</v>
      </c>
      <c r="V6" s="6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1"/>
      <c r="BJ6" s="51"/>
      <c r="BK6" s="51"/>
      <c r="BL6" s="51"/>
      <c r="BM6" s="51"/>
      <c r="BN6" s="51"/>
      <c r="BO6" s="51"/>
      <c r="BP6" s="51"/>
      <c r="BQ6" s="51"/>
      <c r="BR6" s="51"/>
      <c r="BS6" s="51"/>
      <c r="BT6" s="51"/>
      <c r="BU6" s="51"/>
      <c r="BV6" s="51"/>
      <c r="BW6" s="51"/>
      <c r="BX6" s="51"/>
      <c r="BY6" s="51"/>
      <c r="BZ6" s="51"/>
      <c r="CA6" s="51"/>
      <c r="CB6" s="51"/>
      <c r="CC6" s="51"/>
      <c r="CD6" s="51"/>
      <c r="CE6" s="51"/>
      <c r="CF6" s="51"/>
      <c r="CG6" s="51"/>
      <c r="CH6" s="51"/>
      <c r="CI6" s="51"/>
      <c r="CJ6" s="51"/>
      <c r="CK6" s="51"/>
      <c r="CL6" s="51"/>
      <c r="CM6" s="51"/>
      <c r="CN6" s="51"/>
      <c r="CO6" s="51"/>
      <c r="CP6" s="51"/>
      <c r="CQ6" s="51"/>
      <c r="CR6" s="51"/>
      <c r="CS6" s="51"/>
      <c r="CT6" s="51"/>
      <c r="CU6" s="51"/>
      <c r="CV6" s="51"/>
      <c r="CW6" s="51"/>
      <c r="CX6" s="51"/>
      <c r="CY6" s="51"/>
      <c r="CZ6" s="51"/>
      <c r="DA6" s="51"/>
      <c r="DB6" s="51"/>
      <c r="DC6" s="51"/>
      <c r="DD6" s="51"/>
      <c r="DE6" s="51"/>
      <c r="DF6" s="51"/>
      <c r="DG6" s="51"/>
      <c r="DH6" s="51"/>
      <c r="DI6" s="51"/>
      <c r="DJ6" s="51"/>
      <c r="DK6" s="51"/>
      <c r="DL6" s="51"/>
      <c r="DM6" s="51"/>
      <c r="DN6" s="51"/>
      <c r="DO6" s="51"/>
      <c r="DP6" s="51"/>
      <c r="DQ6" s="51"/>
      <c r="DR6" s="51"/>
      <c r="DS6" s="51"/>
      <c r="DT6" s="51"/>
      <c r="DU6" s="51"/>
      <c r="DV6" s="51"/>
      <c r="DW6" s="51"/>
      <c r="DX6" s="51"/>
      <c r="DY6" s="51"/>
      <c r="DZ6" s="51"/>
      <c r="EA6" s="51"/>
      <c r="EB6" s="51"/>
      <c r="EC6" s="51"/>
      <c r="ED6" s="51"/>
      <c r="EE6" s="51"/>
      <c r="EF6" s="51"/>
      <c r="EG6" s="51"/>
      <c r="EH6" s="51"/>
      <c r="EI6" s="51"/>
      <c r="EJ6" s="51"/>
      <c r="EK6" s="51"/>
      <c r="EL6" s="51"/>
      <c r="EM6" s="51"/>
      <c r="EN6" s="51"/>
      <c r="EO6" s="51"/>
      <c r="EP6" s="51"/>
      <c r="EQ6" s="51"/>
      <c r="ER6" s="51"/>
      <c r="ES6" s="51"/>
      <c r="ET6" s="51"/>
      <c r="EU6" s="51"/>
      <c r="EV6" s="51"/>
      <c r="EW6" s="51"/>
      <c r="EX6" s="51"/>
      <c r="EY6" s="51"/>
      <c r="EZ6" s="51"/>
      <c r="FA6" s="51"/>
      <c r="FB6" s="51"/>
      <c r="FC6" s="51"/>
      <c r="FD6" s="51"/>
      <c r="FE6" s="51"/>
      <c r="FF6" s="51"/>
      <c r="FG6" s="51"/>
      <c r="FH6" s="51"/>
      <c r="FI6" s="51"/>
      <c r="FJ6" s="51"/>
      <c r="FK6" s="51"/>
      <c r="FL6" s="51"/>
      <c r="FM6" s="51"/>
      <c r="FN6" s="51"/>
      <c r="FO6" s="51"/>
      <c r="FP6" s="51"/>
      <c r="FQ6" s="51"/>
      <c r="FR6" s="51"/>
      <c r="FS6" s="51"/>
      <c r="FT6" s="51"/>
      <c r="FU6" s="51"/>
      <c r="FV6" s="51"/>
      <c r="FW6" s="51"/>
      <c r="FX6" s="51"/>
      <c r="FY6" s="51"/>
      <c r="FZ6" s="51"/>
      <c r="GA6" s="51"/>
      <c r="GB6" s="51"/>
      <c r="GC6" s="51"/>
      <c r="GD6" s="51"/>
      <c r="GE6" s="51"/>
      <c r="GF6" s="51"/>
      <c r="GG6" s="51"/>
      <c r="GH6" s="51"/>
      <c r="GI6" s="51"/>
      <c r="GJ6" s="51"/>
      <c r="GK6" s="51"/>
      <c r="GL6" s="51"/>
      <c r="GM6" s="51"/>
      <c r="GN6" s="51"/>
      <c r="GO6" s="51"/>
      <c r="GP6" s="51"/>
      <c r="GQ6" s="51"/>
      <c r="GR6" s="51"/>
      <c r="GS6" s="51"/>
      <c r="GT6" s="51"/>
      <c r="GU6" s="51"/>
      <c r="GV6" s="51"/>
      <c r="GW6" s="51"/>
      <c r="GX6" s="51"/>
      <c r="GY6" s="51"/>
      <c r="GZ6" s="51"/>
      <c r="HA6" s="51"/>
      <c r="HB6" s="51"/>
      <c r="HC6" s="51"/>
      <c r="HD6" s="51"/>
      <c r="HE6" s="51"/>
      <c r="HF6" s="51"/>
      <c r="HG6" s="51"/>
      <c r="HH6" s="51"/>
      <c r="HI6" s="51"/>
      <c r="HJ6" s="51"/>
      <c r="HK6" s="51"/>
      <c r="HL6" s="51"/>
      <c r="HM6" s="51"/>
      <c r="HN6" s="51"/>
      <c r="HO6" s="51"/>
      <c r="HP6" s="51"/>
      <c r="HQ6" s="51"/>
      <c r="HR6" s="51"/>
      <c r="HS6" s="51"/>
      <c r="HT6" s="51"/>
      <c r="HU6" s="51"/>
      <c r="HV6" s="51"/>
      <c r="HW6" s="51"/>
      <c r="HX6" s="51"/>
      <c r="HY6" s="51"/>
      <c r="HZ6" s="51"/>
      <c r="IA6" s="51"/>
      <c r="IB6" s="51"/>
      <c r="IC6" s="51"/>
      <c r="ID6" s="51"/>
      <c r="IE6" s="51"/>
      <c r="IF6" s="51"/>
      <c r="IG6" s="51"/>
      <c r="IH6" s="51"/>
      <c r="II6" s="51"/>
      <c r="IJ6" s="51"/>
      <c r="IK6" s="51"/>
      <c r="IL6" s="51"/>
      <c r="IM6" s="51"/>
      <c r="IN6" s="51"/>
      <c r="IO6" s="51"/>
      <c r="IP6" s="51"/>
      <c r="IQ6" s="51"/>
      <c r="IR6" s="51"/>
      <c r="IS6" s="51"/>
    </row>
    <row r="7" spans="1:253" ht="15" customHeight="1" x14ac:dyDescent="0.25">
      <c r="A7" s="384"/>
      <c r="B7" s="639" t="s">
        <v>123</v>
      </c>
      <c r="C7" s="655" t="s">
        <v>124</v>
      </c>
      <c r="D7" s="639" t="s">
        <v>123</v>
      </c>
      <c r="E7" s="641" t="s">
        <v>124</v>
      </c>
      <c r="F7" s="653" t="s">
        <v>125</v>
      </c>
      <c r="G7" s="639" t="s">
        <v>123</v>
      </c>
      <c r="H7" s="655" t="s">
        <v>124</v>
      </c>
      <c r="I7" s="639" t="s">
        <v>126</v>
      </c>
      <c r="J7" s="655" t="s">
        <v>127</v>
      </c>
      <c r="K7" s="639" t="s">
        <v>128</v>
      </c>
      <c r="L7" s="655" t="s">
        <v>129</v>
      </c>
      <c r="M7" s="639" t="s">
        <v>194</v>
      </c>
      <c r="N7" s="655" t="s">
        <v>195</v>
      </c>
      <c r="O7" s="639" t="s">
        <v>126</v>
      </c>
      <c r="P7" s="641" t="s">
        <v>377</v>
      </c>
      <c r="Q7" s="639" t="s">
        <v>126</v>
      </c>
      <c r="R7" s="641" t="s">
        <v>377</v>
      </c>
      <c r="S7" s="639" t="s">
        <v>126</v>
      </c>
      <c r="T7" s="641" t="s">
        <v>377</v>
      </c>
      <c r="U7" s="639" t="s">
        <v>126</v>
      </c>
      <c r="V7" s="655" t="s">
        <v>377</v>
      </c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1"/>
      <c r="BR7" s="51"/>
      <c r="BS7" s="51"/>
      <c r="BT7" s="51"/>
      <c r="BU7" s="51"/>
      <c r="BV7" s="51"/>
      <c r="BW7" s="51"/>
      <c r="BX7" s="51"/>
      <c r="BY7" s="51"/>
      <c r="BZ7" s="51"/>
      <c r="CA7" s="51"/>
      <c r="CB7" s="51"/>
      <c r="CC7" s="51"/>
      <c r="CD7" s="51"/>
      <c r="CE7" s="51"/>
      <c r="CF7" s="51"/>
      <c r="CG7" s="51"/>
      <c r="CH7" s="51"/>
      <c r="CI7" s="51"/>
      <c r="CJ7" s="51"/>
      <c r="CK7" s="51"/>
      <c r="CL7" s="51"/>
      <c r="CM7" s="51"/>
      <c r="CN7" s="51"/>
      <c r="CO7" s="51"/>
      <c r="CP7" s="51"/>
      <c r="CQ7" s="51"/>
      <c r="CR7" s="51"/>
      <c r="CS7" s="51"/>
      <c r="CT7" s="51"/>
      <c r="CU7" s="51"/>
      <c r="CV7" s="51"/>
      <c r="CW7" s="51"/>
      <c r="CX7" s="51"/>
      <c r="CY7" s="51"/>
      <c r="CZ7" s="51"/>
      <c r="DA7" s="51"/>
      <c r="DB7" s="51"/>
      <c r="DC7" s="51"/>
      <c r="DD7" s="51"/>
      <c r="DE7" s="51"/>
      <c r="DF7" s="51"/>
      <c r="DG7" s="51"/>
      <c r="DH7" s="51"/>
      <c r="DI7" s="51"/>
      <c r="DJ7" s="51"/>
      <c r="DK7" s="51"/>
      <c r="DL7" s="51"/>
      <c r="DM7" s="51"/>
      <c r="DN7" s="51"/>
      <c r="DO7" s="51"/>
      <c r="DP7" s="51"/>
      <c r="DQ7" s="51"/>
      <c r="DR7" s="51"/>
      <c r="DS7" s="51"/>
      <c r="DT7" s="51"/>
      <c r="DU7" s="51"/>
      <c r="DV7" s="51"/>
      <c r="DW7" s="51"/>
      <c r="DX7" s="51"/>
      <c r="DY7" s="51"/>
      <c r="DZ7" s="51"/>
      <c r="EA7" s="51"/>
      <c r="EB7" s="51"/>
      <c r="EC7" s="51"/>
      <c r="ED7" s="51"/>
      <c r="EE7" s="51"/>
      <c r="EF7" s="51"/>
      <c r="EG7" s="51"/>
      <c r="EH7" s="51"/>
      <c r="EI7" s="51"/>
      <c r="EJ7" s="51"/>
      <c r="EK7" s="51"/>
      <c r="EL7" s="51"/>
      <c r="EM7" s="51"/>
      <c r="EN7" s="51"/>
      <c r="EO7" s="51"/>
      <c r="EP7" s="51"/>
      <c r="EQ7" s="51"/>
      <c r="ER7" s="51"/>
      <c r="ES7" s="51"/>
      <c r="ET7" s="51"/>
      <c r="EU7" s="51"/>
      <c r="EV7" s="51"/>
      <c r="EW7" s="51"/>
      <c r="EX7" s="51"/>
      <c r="EY7" s="51"/>
      <c r="EZ7" s="51"/>
      <c r="FA7" s="51"/>
      <c r="FB7" s="51"/>
      <c r="FC7" s="51"/>
      <c r="FD7" s="51"/>
      <c r="FE7" s="51"/>
      <c r="FF7" s="51"/>
      <c r="FG7" s="51"/>
      <c r="FH7" s="51"/>
      <c r="FI7" s="51"/>
      <c r="FJ7" s="51"/>
      <c r="FK7" s="51"/>
      <c r="FL7" s="51"/>
      <c r="FM7" s="51"/>
      <c r="FN7" s="51"/>
      <c r="FO7" s="51"/>
      <c r="FP7" s="51"/>
      <c r="FQ7" s="51"/>
      <c r="FR7" s="51"/>
      <c r="FS7" s="51"/>
      <c r="FT7" s="51"/>
      <c r="FU7" s="51"/>
      <c r="FV7" s="51"/>
      <c r="FW7" s="51"/>
      <c r="FX7" s="51"/>
      <c r="FY7" s="51"/>
      <c r="FZ7" s="51"/>
      <c r="GA7" s="51"/>
      <c r="GB7" s="51"/>
      <c r="GC7" s="51"/>
      <c r="GD7" s="51"/>
      <c r="GE7" s="51"/>
      <c r="GF7" s="51"/>
      <c r="GG7" s="51"/>
      <c r="GH7" s="51"/>
      <c r="GI7" s="51"/>
      <c r="GJ7" s="51"/>
      <c r="GK7" s="51"/>
      <c r="GL7" s="51"/>
      <c r="GM7" s="51"/>
      <c r="GN7" s="51"/>
      <c r="GO7" s="51"/>
      <c r="GP7" s="51"/>
      <c r="GQ7" s="51"/>
      <c r="GR7" s="51"/>
      <c r="GS7" s="51"/>
      <c r="GT7" s="51"/>
      <c r="GU7" s="51"/>
      <c r="GV7" s="51"/>
      <c r="GW7" s="51"/>
      <c r="GX7" s="51"/>
      <c r="GY7" s="51"/>
      <c r="GZ7" s="51"/>
      <c r="HA7" s="51"/>
      <c r="HB7" s="51"/>
      <c r="HC7" s="51"/>
      <c r="HD7" s="51"/>
      <c r="HE7" s="51"/>
      <c r="HF7" s="51"/>
      <c r="HG7" s="51"/>
      <c r="HH7" s="51"/>
      <c r="HI7" s="51"/>
      <c r="HJ7" s="51"/>
      <c r="HK7" s="51"/>
      <c r="HL7" s="51"/>
      <c r="HM7" s="51"/>
      <c r="HN7" s="51"/>
      <c r="HO7" s="51"/>
      <c r="HP7" s="51"/>
      <c r="HQ7" s="51"/>
      <c r="HR7" s="51"/>
      <c r="HS7" s="51"/>
      <c r="HT7" s="51"/>
      <c r="HU7" s="51"/>
      <c r="HV7" s="51"/>
      <c r="HW7" s="51"/>
      <c r="HX7" s="51"/>
      <c r="HY7" s="51"/>
      <c r="HZ7" s="51"/>
      <c r="IA7" s="51"/>
      <c r="IB7" s="51"/>
      <c r="IC7" s="51"/>
      <c r="ID7" s="51"/>
      <c r="IE7" s="51"/>
      <c r="IF7" s="51"/>
      <c r="IG7" s="51"/>
      <c r="IH7" s="51"/>
      <c r="II7" s="51"/>
      <c r="IJ7" s="51"/>
      <c r="IK7" s="51"/>
      <c r="IL7" s="51"/>
      <c r="IM7" s="51"/>
      <c r="IN7" s="51"/>
      <c r="IO7" s="51"/>
      <c r="IP7" s="51"/>
      <c r="IQ7" s="51"/>
      <c r="IR7" s="51"/>
      <c r="IS7" s="51"/>
    </row>
    <row r="8" spans="1:253" ht="45.75" customHeight="1" thickBot="1" x14ac:dyDescent="0.3">
      <c r="A8" s="384"/>
      <c r="B8" s="640"/>
      <c r="C8" s="656"/>
      <c r="D8" s="640"/>
      <c r="E8" s="642"/>
      <c r="F8" s="654" t="s">
        <v>125</v>
      </c>
      <c r="G8" s="640"/>
      <c r="H8" s="656"/>
      <c r="I8" s="640"/>
      <c r="J8" s="656"/>
      <c r="K8" s="640"/>
      <c r="L8" s="656"/>
      <c r="M8" s="640"/>
      <c r="N8" s="656"/>
      <c r="O8" s="640"/>
      <c r="P8" s="642"/>
      <c r="Q8" s="640"/>
      <c r="R8" s="642"/>
      <c r="S8" s="640"/>
      <c r="T8" s="642"/>
      <c r="U8" s="640"/>
      <c r="V8" s="656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  <c r="BK8" s="51"/>
      <c r="BL8" s="51"/>
      <c r="BM8" s="51"/>
      <c r="BN8" s="51"/>
      <c r="BO8" s="51"/>
      <c r="BP8" s="51"/>
      <c r="BQ8" s="51"/>
      <c r="BR8" s="51"/>
      <c r="BS8" s="51"/>
      <c r="BT8" s="51"/>
      <c r="BU8" s="51"/>
      <c r="BV8" s="51"/>
      <c r="BW8" s="51"/>
      <c r="BX8" s="51"/>
      <c r="BY8" s="51"/>
      <c r="BZ8" s="51"/>
      <c r="CA8" s="51"/>
      <c r="CB8" s="51"/>
      <c r="CC8" s="51"/>
      <c r="CD8" s="51"/>
      <c r="CE8" s="51"/>
      <c r="CF8" s="51"/>
      <c r="CG8" s="51"/>
      <c r="CH8" s="51"/>
      <c r="CI8" s="51"/>
      <c r="CJ8" s="51"/>
      <c r="CK8" s="51"/>
      <c r="CL8" s="51"/>
      <c r="CM8" s="51"/>
      <c r="CN8" s="51"/>
      <c r="CO8" s="51"/>
      <c r="CP8" s="51"/>
      <c r="CQ8" s="51"/>
      <c r="CR8" s="51"/>
      <c r="CS8" s="51"/>
      <c r="CT8" s="51"/>
      <c r="CU8" s="51"/>
      <c r="CV8" s="51"/>
      <c r="CW8" s="51"/>
      <c r="CX8" s="51"/>
      <c r="CY8" s="51"/>
      <c r="CZ8" s="51"/>
      <c r="DA8" s="51"/>
      <c r="DB8" s="51"/>
      <c r="DC8" s="51"/>
      <c r="DD8" s="51"/>
      <c r="DE8" s="51"/>
      <c r="DF8" s="51"/>
      <c r="DG8" s="51"/>
      <c r="DH8" s="51"/>
      <c r="DI8" s="51"/>
      <c r="DJ8" s="51"/>
      <c r="DK8" s="51"/>
      <c r="DL8" s="51"/>
      <c r="DM8" s="51"/>
      <c r="DN8" s="51"/>
      <c r="DO8" s="51"/>
      <c r="DP8" s="51"/>
      <c r="DQ8" s="51"/>
      <c r="DR8" s="51"/>
      <c r="DS8" s="51"/>
      <c r="DT8" s="51"/>
      <c r="DU8" s="51"/>
      <c r="DV8" s="51"/>
      <c r="DW8" s="51"/>
      <c r="DX8" s="51"/>
      <c r="DY8" s="51"/>
      <c r="DZ8" s="51"/>
      <c r="EA8" s="51"/>
      <c r="EB8" s="51"/>
      <c r="EC8" s="51"/>
      <c r="ED8" s="51"/>
      <c r="EE8" s="51"/>
      <c r="EF8" s="51"/>
      <c r="EG8" s="51"/>
      <c r="EH8" s="51"/>
      <c r="EI8" s="51"/>
      <c r="EJ8" s="51"/>
      <c r="EK8" s="51"/>
      <c r="EL8" s="51"/>
      <c r="EM8" s="51"/>
      <c r="EN8" s="51"/>
      <c r="EO8" s="51"/>
      <c r="EP8" s="51"/>
      <c r="EQ8" s="51"/>
      <c r="ER8" s="51"/>
      <c r="ES8" s="51"/>
      <c r="ET8" s="51"/>
      <c r="EU8" s="51"/>
      <c r="EV8" s="51"/>
      <c r="EW8" s="51"/>
      <c r="EX8" s="51"/>
      <c r="EY8" s="51"/>
      <c r="EZ8" s="51"/>
      <c r="FA8" s="51"/>
      <c r="FB8" s="51"/>
      <c r="FC8" s="51"/>
      <c r="FD8" s="51"/>
      <c r="FE8" s="51"/>
      <c r="FF8" s="51"/>
      <c r="FG8" s="51"/>
      <c r="FH8" s="51"/>
      <c r="FI8" s="51"/>
      <c r="FJ8" s="51"/>
      <c r="FK8" s="51"/>
      <c r="FL8" s="51"/>
      <c r="FM8" s="51"/>
      <c r="FN8" s="51"/>
      <c r="FO8" s="51"/>
      <c r="FP8" s="51"/>
      <c r="FQ8" s="51"/>
      <c r="FR8" s="51"/>
      <c r="FS8" s="51"/>
      <c r="FT8" s="51"/>
      <c r="FU8" s="51"/>
      <c r="FV8" s="51"/>
      <c r="FW8" s="51"/>
      <c r="FX8" s="51"/>
      <c r="FY8" s="51"/>
      <c r="FZ8" s="51"/>
      <c r="GA8" s="51"/>
      <c r="GB8" s="51"/>
      <c r="GC8" s="51"/>
      <c r="GD8" s="51"/>
      <c r="GE8" s="51"/>
      <c r="GF8" s="51"/>
      <c r="GG8" s="51"/>
      <c r="GH8" s="51"/>
      <c r="GI8" s="51"/>
      <c r="GJ8" s="51"/>
      <c r="GK8" s="51"/>
      <c r="GL8" s="51"/>
      <c r="GM8" s="51"/>
      <c r="GN8" s="51"/>
      <c r="GO8" s="51"/>
      <c r="GP8" s="51"/>
      <c r="GQ8" s="51"/>
      <c r="GR8" s="51"/>
      <c r="GS8" s="51"/>
      <c r="GT8" s="51"/>
      <c r="GU8" s="51"/>
      <c r="GV8" s="51"/>
      <c r="GW8" s="51"/>
      <c r="GX8" s="51"/>
      <c r="GY8" s="51"/>
      <c r="GZ8" s="51"/>
      <c r="HA8" s="51"/>
      <c r="HB8" s="51"/>
      <c r="HC8" s="51"/>
      <c r="HD8" s="51"/>
      <c r="HE8" s="51"/>
      <c r="HF8" s="51"/>
      <c r="HG8" s="51"/>
      <c r="HH8" s="51"/>
      <c r="HI8" s="51"/>
      <c r="HJ8" s="51"/>
      <c r="HK8" s="51"/>
      <c r="HL8" s="51"/>
      <c r="HM8" s="51"/>
      <c r="HN8" s="51"/>
      <c r="HO8" s="51"/>
      <c r="HP8" s="51"/>
      <c r="HQ8" s="51"/>
      <c r="HR8" s="51"/>
      <c r="HS8" s="51"/>
      <c r="HT8" s="51"/>
      <c r="HU8" s="51"/>
      <c r="HV8" s="51"/>
      <c r="HW8" s="51"/>
      <c r="HX8" s="51"/>
      <c r="HY8" s="51"/>
      <c r="HZ8" s="51"/>
      <c r="IA8" s="51"/>
      <c r="IB8" s="51"/>
      <c r="IC8" s="51"/>
      <c r="ID8" s="51"/>
      <c r="IE8" s="51"/>
      <c r="IF8" s="51"/>
      <c r="IG8" s="51"/>
      <c r="IH8" s="51"/>
      <c r="II8" s="51"/>
      <c r="IJ8" s="51"/>
      <c r="IK8" s="51"/>
      <c r="IL8" s="51"/>
      <c r="IM8" s="51"/>
      <c r="IN8" s="51"/>
      <c r="IO8" s="51"/>
      <c r="IP8" s="51"/>
      <c r="IQ8" s="51"/>
      <c r="IR8" s="51"/>
      <c r="IS8" s="51"/>
    </row>
    <row r="9" spans="1:253" ht="15.75" customHeight="1" thickBot="1" x14ac:dyDescent="0.3">
      <c r="A9" s="385" t="s">
        <v>34</v>
      </c>
      <c r="B9" s="193">
        <v>121038946</v>
      </c>
      <c r="C9" s="196">
        <v>127086415</v>
      </c>
      <c r="D9" s="193">
        <v>122790910</v>
      </c>
      <c r="E9" s="194">
        <v>137851240</v>
      </c>
      <c r="F9" s="195">
        <v>-2445336</v>
      </c>
      <c r="G9" s="193">
        <v>122659880</v>
      </c>
      <c r="H9" s="196">
        <v>140411693</v>
      </c>
      <c r="I9" s="197">
        <v>124993681.23600002</v>
      </c>
      <c r="J9" s="198">
        <v>137301155.90300003</v>
      </c>
      <c r="K9" s="193">
        <v>128946695</v>
      </c>
      <c r="L9" s="196">
        <v>136044520</v>
      </c>
      <c r="M9" s="193">
        <v>134339903.28200001</v>
      </c>
      <c r="N9" s="199">
        <v>142368844.86700001</v>
      </c>
      <c r="O9" s="193">
        <v>147870768.65400001</v>
      </c>
      <c r="P9" s="199">
        <v>156425862.16800001</v>
      </c>
      <c r="Q9" s="193">
        <v>168638679.75</v>
      </c>
      <c r="R9" s="199">
        <v>175741709.90799999</v>
      </c>
      <c r="S9" s="386">
        <f>S10+S13+S14+S20+S21+S22+S25</f>
        <v>195700679.62000003</v>
      </c>
      <c r="T9" s="196">
        <f>T10+T13+T14+T20+T21+T22+T25</f>
        <v>205759166.36399999</v>
      </c>
      <c r="U9" s="386">
        <f>U10+U13+U14+U20+U21+U22+U25</f>
        <v>214278673.95400003</v>
      </c>
      <c r="V9" s="196">
        <f>V10+V13+V14+V20+V21+V22+V25</f>
        <v>226467000.21000001</v>
      </c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  <c r="AN9" s="68"/>
      <c r="AO9" s="68"/>
      <c r="AP9" s="68"/>
      <c r="AQ9" s="68"/>
      <c r="AR9" s="68"/>
      <c r="AS9" s="68"/>
      <c r="AT9" s="68"/>
      <c r="AU9" s="68"/>
      <c r="AV9" s="68"/>
      <c r="AW9" s="68"/>
      <c r="AX9" s="68"/>
      <c r="AY9" s="68"/>
      <c r="AZ9" s="68"/>
      <c r="BA9" s="68"/>
      <c r="BB9" s="68"/>
      <c r="BC9" s="68"/>
      <c r="BD9" s="68"/>
      <c r="BE9" s="68"/>
      <c r="BF9" s="68"/>
      <c r="BG9" s="68"/>
      <c r="BH9" s="68"/>
      <c r="BI9" s="68"/>
      <c r="BJ9" s="68"/>
      <c r="BK9" s="68"/>
      <c r="BL9" s="68"/>
      <c r="BM9" s="68"/>
      <c r="BN9" s="68"/>
      <c r="BO9" s="68"/>
      <c r="BP9" s="68"/>
      <c r="BQ9" s="68"/>
      <c r="BR9" s="68"/>
      <c r="BS9" s="68"/>
      <c r="BT9" s="68"/>
      <c r="BU9" s="68"/>
      <c r="BV9" s="68"/>
      <c r="BW9" s="68"/>
      <c r="BX9" s="68"/>
      <c r="BY9" s="68"/>
      <c r="BZ9" s="68"/>
      <c r="CA9" s="68"/>
      <c r="CB9" s="68"/>
      <c r="CC9" s="68"/>
      <c r="CD9" s="68"/>
      <c r="CE9" s="68"/>
      <c r="CF9" s="68"/>
      <c r="CG9" s="68"/>
      <c r="CH9" s="68"/>
      <c r="CI9" s="68"/>
      <c r="CJ9" s="68"/>
      <c r="CK9" s="68"/>
      <c r="CL9" s="68"/>
      <c r="CM9" s="68"/>
      <c r="CN9" s="68"/>
      <c r="CO9" s="68"/>
      <c r="CP9" s="68"/>
      <c r="CQ9" s="68"/>
      <c r="CR9" s="68"/>
      <c r="CS9" s="68"/>
      <c r="CT9" s="68"/>
      <c r="CU9" s="68"/>
      <c r="CV9" s="68"/>
      <c r="CW9" s="68"/>
      <c r="CX9" s="68"/>
      <c r="CY9" s="68"/>
      <c r="CZ9" s="68"/>
      <c r="DA9" s="68"/>
      <c r="DB9" s="68"/>
      <c r="DC9" s="68"/>
      <c r="DD9" s="68"/>
      <c r="DE9" s="68"/>
      <c r="DF9" s="68"/>
      <c r="DG9" s="68"/>
      <c r="DH9" s="68"/>
      <c r="DI9" s="68"/>
      <c r="DJ9" s="68"/>
      <c r="DK9" s="68"/>
      <c r="DL9" s="68"/>
      <c r="DM9" s="68"/>
      <c r="DN9" s="68"/>
      <c r="DO9" s="68"/>
      <c r="DP9" s="68"/>
      <c r="DQ9" s="68"/>
      <c r="DR9" s="68"/>
      <c r="DS9" s="68"/>
      <c r="DT9" s="68"/>
      <c r="DU9" s="68"/>
      <c r="DV9" s="68"/>
      <c r="DW9" s="68"/>
      <c r="DX9" s="68"/>
      <c r="DY9" s="68"/>
      <c r="DZ9" s="68"/>
      <c r="EA9" s="68"/>
      <c r="EB9" s="68"/>
      <c r="EC9" s="68"/>
      <c r="ED9" s="68"/>
      <c r="EE9" s="68"/>
      <c r="EF9" s="68"/>
      <c r="EG9" s="68"/>
      <c r="EH9" s="68"/>
      <c r="EI9" s="68"/>
      <c r="EJ9" s="68"/>
      <c r="EK9" s="68"/>
      <c r="EL9" s="68"/>
      <c r="EM9" s="68"/>
      <c r="EN9" s="68"/>
      <c r="EO9" s="68"/>
      <c r="EP9" s="68"/>
      <c r="EQ9" s="68"/>
      <c r="ER9" s="68"/>
      <c r="ES9" s="68"/>
      <c r="ET9" s="68"/>
      <c r="EU9" s="68"/>
      <c r="EV9" s="68"/>
      <c r="EW9" s="68"/>
      <c r="EX9" s="68"/>
      <c r="EY9" s="68"/>
      <c r="EZ9" s="68"/>
      <c r="FA9" s="68"/>
      <c r="FB9" s="68"/>
      <c r="FC9" s="68"/>
      <c r="FD9" s="68"/>
      <c r="FE9" s="68"/>
      <c r="FF9" s="68"/>
      <c r="FG9" s="68"/>
      <c r="FH9" s="68"/>
      <c r="FI9" s="68"/>
      <c r="FJ9" s="68"/>
      <c r="FK9" s="68"/>
      <c r="FL9" s="68"/>
      <c r="FM9" s="68"/>
      <c r="FN9" s="68"/>
      <c r="FO9" s="68"/>
      <c r="FP9" s="68"/>
      <c r="FQ9" s="68"/>
      <c r="FR9" s="68"/>
      <c r="FS9" s="68"/>
      <c r="FT9" s="68"/>
      <c r="FU9" s="68"/>
      <c r="FV9" s="68"/>
      <c r="FW9" s="68"/>
      <c r="FX9" s="68"/>
      <c r="FY9" s="68"/>
      <c r="FZ9" s="68"/>
      <c r="GA9" s="68"/>
      <c r="GB9" s="68"/>
      <c r="GC9" s="68"/>
      <c r="GD9" s="68"/>
      <c r="GE9" s="68"/>
      <c r="GF9" s="68"/>
      <c r="GG9" s="68"/>
      <c r="GH9" s="68"/>
      <c r="GI9" s="68"/>
      <c r="GJ9" s="68"/>
      <c r="GK9" s="68"/>
      <c r="GL9" s="68"/>
      <c r="GM9" s="68"/>
      <c r="GN9" s="68"/>
      <c r="GO9" s="68"/>
      <c r="GP9" s="68"/>
      <c r="GQ9" s="68"/>
      <c r="GR9" s="68"/>
      <c r="GS9" s="68"/>
      <c r="GT9" s="68"/>
      <c r="GU9" s="68"/>
      <c r="GV9" s="68"/>
      <c r="GW9" s="68"/>
      <c r="GX9" s="68"/>
      <c r="GY9" s="68"/>
      <c r="GZ9" s="68"/>
      <c r="HA9" s="68"/>
      <c r="HB9" s="68"/>
      <c r="HC9" s="68"/>
      <c r="HD9" s="68"/>
      <c r="HE9" s="68"/>
      <c r="HF9" s="68"/>
      <c r="HG9" s="68"/>
      <c r="HH9" s="68"/>
      <c r="HI9" s="68"/>
      <c r="HJ9" s="68"/>
      <c r="HK9" s="68"/>
      <c r="HL9" s="68"/>
      <c r="HM9" s="68"/>
      <c r="HN9" s="68"/>
      <c r="HO9" s="68"/>
      <c r="HP9" s="68"/>
      <c r="HQ9" s="68"/>
      <c r="HR9" s="68"/>
      <c r="HS9" s="68"/>
      <c r="HT9" s="68"/>
      <c r="HU9" s="68"/>
      <c r="HV9" s="68"/>
      <c r="HW9" s="68"/>
      <c r="HX9" s="68"/>
      <c r="HY9" s="68"/>
      <c r="HZ9" s="68"/>
      <c r="IA9" s="68"/>
      <c r="IB9" s="68"/>
      <c r="IC9" s="68"/>
      <c r="ID9" s="68"/>
      <c r="IE9" s="68"/>
      <c r="IF9" s="68"/>
      <c r="IG9" s="68"/>
      <c r="IH9" s="68"/>
      <c r="II9" s="68"/>
      <c r="IJ9" s="68"/>
      <c r="IK9" s="68"/>
      <c r="IL9" s="68"/>
      <c r="IM9" s="68"/>
      <c r="IN9" s="68"/>
      <c r="IO9" s="68"/>
      <c r="IP9" s="68"/>
      <c r="IQ9" s="68"/>
      <c r="IR9" s="68"/>
      <c r="IS9" s="68"/>
    </row>
    <row r="10" spans="1:253" ht="15" x14ac:dyDescent="0.25">
      <c r="A10" s="387" t="s">
        <v>97</v>
      </c>
      <c r="B10" s="200">
        <v>22423938</v>
      </c>
      <c r="C10" s="203">
        <v>22423938</v>
      </c>
      <c r="D10" s="200">
        <v>21221802</v>
      </c>
      <c r="E10" s="201">
        <v>21221802</v>
      </c>
      <c r="F10" s="202">
        <v>-568000</v>
      </c>
      <c r="G10" s="200">
        <v>21803802</v>
      </c>
      <c r="H10" s="203">
        <v>21803802</v>
      </c>
      <c r="I10" s="204">
        <v>21770802</v>
      </c>
      <c r="J10" s="205">
        <v>21770802</v>
      </c>
      <c r="K10" s="200">
        <v>21491733.844999999</v>
      </c>
      <c r="L10" s="203">
        <v>21491733.844999999</v>
      </c>
      <c r="M10" s="200">
        <v>20377076.98</v>
      </c>
      <c r="N10" s="206">
        <v>20377076.98</v>
      </c>
      <c r="O10" s="200">
        <v>21527076.98</v>
      </c>
      <c r="P10" s="206">
        <v>21527077</v>
      </c>
      <c r="Q10" s="200">
        <v>24611676.98</v>
      </c>
      <c r="R10" s="206">
        <v>24611676.98</v>
      </c>
      <c r="S10" s="388">
        <v>26528676.98</v>
      </c>
      <c r="T10" s="203">
        <v>26528676.98</v>
      </c>
      <c r="U10" s="388">
        <v>27411676.98</v>
      </c>
      <c r="V10" s="203">
        <f>U10</f>
        <v>27411676.98</v>
      </c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  <c r="BM10" s="51"/>
      <c r="BN10" s="51"/>
      <c r="BO10" s="51"/>
      <c r="BP10" s="51"/>
      <c r="BQ10" s="51"/>
      <c r="BR10" s="51"/>
      <c r="BS10" s="51"/>
      <c r="BT10" s="51"/>
      <c r="BU10" s="51"/>
      <c r="BV10" s="51"/>
      <c r="BW10" s="51"/>
      <c r="BX10" s="51"/>
      <c r="BY10" s="51"/>
      <c r="BZ10" s="51"/>
      <c r="CA10" s="51"/>
      <c r="CB10" s="51"/>
      <c r="CC10" s="51"/>
      <c r="CD10" s="51"/>
      <c r="CE10" s="51"/>
      <c r="CF10" s="51"/>
      <c r="CG10" s="51"/>
      <c r="CH10" s="51"/>
      <c r="CI10" s="51"/>
      <c r="CJ10" s="51"/>
      <c r="CK10" s="51"/>
      <c r="CL10" s="51"/>
      <c r="CM10" s="51"/>
      <c r="CN10" s="51"/>
      <c r="CO10" s="51"/>
      <c r="CP10" s="51"/>
      <c r="CQ10" s="51"/>
      <c r="CR10" s="51"/>
      <c r="CS10" s="51"/>
      <c r="CT10" s="51"/>
      <c r="CU10" s="51"/>
      <c r="CV10" s="51"/>
      <c r="CW10" s="51"/>
      <c r="CX10" s="51"/>
      <c r="CY10" s="51"/>
      <c r="CZ10" s="51"/>
      <c r="DA10" s="51"/>
      <c r="DB10" s="51"/>
      <c r="DC10" s="51"/>
      <c r="DD10" s="51"/>
      <c r="DE10" s="51"/>
      <c r="DF10" s="51"/>
      <c r="DG10" s="51"/>
      <c r="DH10" s="51"/>
      <c r="DI10" s="51"/>
      <c r="DJ10" s="51"/>
      <c r="DK10" s="51"/>
      <c r="DL10" s="51"/>
      <c r="DM10" s="51"/>
      <c r="DN10" s="51"/>
      <c r="DO10" s="51"/>
      <c r="DP10" s="51"/>
      <c r="DQ10" s="51"/>
      <c r="DR10" s="51"/>
      <c r="DS10" s="51"/>
      <c r="DT10" s="51"/>
      <c r="DU10" s="51"/>
      <c r="DV10" s="51"/>
      <c r="DW10" s="51"/>
      <c r="DX10" s="51"/>
      <c r="DY10" s="51"/>
      <c r="DZ10" s="51"/>
      <c r="EA10" s="51"/>
      <c r="EB10" s="51"/>
      <c r="EC10" s="51"/>
      <c r="ED10" s="51"/>
      <c r="EE10" s="51"/>
      <c r="EF10" s="51"/>
      <c r="EG10" s="51"/>
      <c r="EH10" s="51"/>
      <c r="EI10" s="51"/>
      <c r="EJ10" s="51"/>
      <c r="EK10" s="51"/>
      <c r="EL10" s="51"/>
      <c r="EM10" s="51"/>
      <c r="EN10" s="51"/>
      <c r="EO10" s="51"/>
      <c r="EP10" s="51"/>
      <c r="EQ10" s="51"/>
      <c r="ER10" s="51"/>
      <c r="ES10" s="51"/>
      <c r="ET10" s="51"/>
      <c r="EU10" s="51"/>
      <c r="EV10" s="51"/>
      <c r="EW10" s="51"/>
      <c r="EX10" s="51"/>
      <c r="EY10" s="51"/>
      <c r="EZ10" s="51"/>
      <c r="FA10" s="51"/>
      <c r="FB10" s="51"/>
      <c r="FC10" s="51"/>
      <c r="FD10" s="51"/>
      <c r="FE10" s="51"/>
      <c r="FF10" s="51"/>
      <c r="FG10" s="51"/>
      <c r="FH10" s="51"/>
      <c r="FI10" s="51"/>
      <c r="FJ10" s="51"/>
      <c r="FK10" s="51"/>
      <c r="FL10" s="51"/>
      <c r="FM10" s="51"/>
      <c r="FN10" s="51"/>
      <c r="FO10" s="51"/>
      <c r="FP10" s="51"/>
      <c r="FQ10" s="51"/>
      <c r="FR10" s="51"/>
      <c r="FS10" s="51"/>
      <c r="FT10" s="51"/>
      <c r="FU10" s="51"/>
      <c r="FV10" s="51"/>
      <c r="FW10" s="51"/>
      <c r="FX10" s="51"/>
      <c r="FY10" s="51"/>
      <c r="FZ10" s="51"/>
      <c r="GA10" s="51"/>
      <c r="GB10" s="51"/>
      <c r="GC10" s="51"/>
      <c r="GD10" s="51"/>
      <c r="GE10" s="51"/>
      <c r="GF10" s="51"/>
      <c r="GG10" s="51"/>
      <c r="GH10" s="51"/>
      <c r="GI10" s="51"/>
      <c r="GJ10" s="51"/>
      <c r="GK10" s="51"/>
      <c r="GL10" s="51"/>
      <c r="GM10" s="51"/>
      <c r="GN10" s="51"/>
      <c r="GO10" s="51"/>
      <c r="GP10" s="51"/>
      <c r="GQ10" s="51"/>
      <c r="GR10" s="51"/>
      <c r="GS10" s="51"/>
      <c r="GT10" s="51"/>
      <c r="GU10" s="51"/>
      <c r="GV10" s="51"/>
      <c r="GW10" s="51"/>
      <c r="GX10" s="51"/>
      <c r="GY10" s="51"/>
      <c r="GZ10" s="51"/>
      <c r="HA10" s="51"/>
      <c r="HB10" s="51"/>
      <c r="HC10" s="51"/>
      <c r="HD10" s="51"/>
      <c r="HE10" s="51"/>
      <c r="HF10" s="51"/>
      <c r="HG10" s="51"/>
      <c r="HH10" s="51"/>
      <c r="HI10" s="51"/>
      <c r="HJ10" s="51"/>
      <c r="HK10" s="51"/>
      <c r="HL10" s="51"/>
      <c r="HM10" s="51"/>
      <c r="HN10" s="51"/>
      <c r="HO10" s="51"/>
      <c r="HP10" s="51"/>
      <c r="HQ10" s="51"/>
      <c r="HR10" s="51"/>
      <c r="HS10" s="51"/>
      <c r="HT10" s="51"/>
      <c r="HU10" s="51"/>
      <c r="HV10" s="51"/>
      <c r="HW10" s="51"/>
      <c r="HX10" s="51"/>
      <c r="HY10" s="51"/>
      <c r="HZ10" s="51"/>
      <c r="IA10" s="51"/>
      <c r="IB10" s="51"/>
      <c r="IC10" s="51"/>
      <c r="ID10" s="51"/>
      <c r="IE10" s="51"/>
      <c r="IF10" s="51"/>
      <c r="IG10" s="51"/>
      <c r="IH10" s="51"/>
      <c r="II10" s="51"/>
      <c r="IJ10" s="51"/>
      <c r="IK10" s="51"/>
      <c r="IL10" s="51"/>
      <c r="IM10" s="51"/>
      <c r="IN10" s="51"/>
      <c r="IO10" s="51"/>
      <c r="IP10" s="51"/>
      <c r="IQ10" s="51"/>
      <c r="IR10" s="51"/>
      <c r="IS10" s="51"/>
    </row>
    <row r="11" spans="1:253" ht="15" x14ac:dyDescent="0.25">
      <c r="A11" s="389" t="s">
        <v>571</v>
      </c>
      <c r="B11" s="451">
        <v>20160908</v>
      </c>
      <c r="C11" s="453">
        <v>20160908</v>
      </c>
      <c r="D11" s="451">
        <v>18858772</v>
      </c>
      <c r="E11" s="301">
        <v>18858772</v>
      </c>
      <c r="F11" s="303"/>
      <c r="G11" s="451">
        <v>19808772</v>
      </c>
      <c r="H11" s="453">
        <v>19808772</v>
      </c>
      <c r="I11" s="454">
        <v>19907272</v>
      </c>
      <c r="J11" s="455">
        <v>19907272</v>
      </c>
      <c r="K11" s="451">
        <v>19228203.848000001</v>
      </c>
      <c r="L11" s="453">
        <v>19228203.848000001</v>
      </c>
      <c r="M11" s="445">
        <f>M10-M12</f>
        <v>18801082.232000001</v>
      </c>
      <c r="N11" s="449">
        <f>M11</f>
        <v>18801082.232000001</v>
      </c>
      <c r="O11" s="445">
        <f>O10-O12</f>
        <v>20081082.232000001</v>
      </c>
      <c r="P11" s="449">
        <f>O11</f>
        <v>20081082.232000001</v>
      </c>
      <c r="Q11" s="445">
        <v>22865682.232000001</v>
      </c>
      <c r="R11" s="449">
        <v>22865682.232000001</v>
      </c>
      <c r="S11" s="447">
        <v>24282682.232000001</v>
      </c>
      <c r="T11" s="446">
        <v>24282682.232000001</v>
      </c>
      <c r="U11" s="447">
        <v>25165682.232000001</v>
      </c>
      <c r="V11" s="446">
        <f>U11</f>
        <v>25165682.232000001</v>
      </c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1"/>
      <c r="BR11" s="51"/>
      <c r="BS11" s="51"/>
      <c r="BT11" s="51"/>
      <c r="BU11" s="51"/>
      <c r="BV11" s="51"/>
      <c r="BW11" s="51"/>
      <c r="BX11" s="51"/>
      <c r="BY11" s="51"/>
      <c r="BZ11" s="51"/>
      <c r="CA11" s="51"/>
      <c r="CB11" s="51"/>
      <c r="CC11" s="51"/>
      <c r="CD11" s="51"/>
      <c r="CE11" s="51"/>
      <c r="CF11" s="51"/>
      <c r="CG11" s="51"/>
      <c r="CH11" s="51"/>
      <c r="CI11" s="51"/>
      <c r="CJ11" s="51"/>
      <c r="CK11" s="51"/>
      <c r="CL11" s="51"/>
      <c r="CM11" s="51"/>
      <c r="CN11" s="51"/>
      <c r="CO11" s="51"/>
      <c r="CP11" s="51"/>
      <c r="CQ11" s="51"/>
      <c r="CR11" s="51"/>
      <c r="CS11" s="51"/>
      <c r="CT11" s="51"/>
      <c r="CU11" s="51"/>
      <c r="CV11" s="51"/>
      <c r="CW11" s="51"/>
      <c r="CX11" s="51"/>
      <c r="CY11" s="51"/>
      <c r="CZ11" s="51"/>
      <c r="DA11" s="51"/>
      <c r="DB11" s="51"/>
      <c r="DC11" s="51"/>
      <c r="DD11" s="51"/>
      <c r="DE11" s="51"/>
      <c r="DF11" s="51"/>
      <c r="DG11" s="51"/>
      <c r="DH11" s="51"/>
      <c r="DI11" s="51"/>
      <c r="DJ11" s="51"/>
      <c r="DK11" s="51"/>
      <c r="DL11" s="51"/>
      <c r="DM11" s="51"/>
      <c r="DN11" s="51"/>
      <c r="DO11" s="51"/>
      <c r="DP11" s="51"/>
      <c r="DQ11" s="51"/>
      <c r="DR11" s="51"/>
      <c r="DS11" s="51"/>
      <c r="DT11" s="51"/>
      <c r="DU11" s="51"/>
      <c r="DV11" s="51"/>
      <c r="DW11" s="51"/>
      <c r="DX11" s="51"/>
      <c r="DY11" s="51"/>
      <c r="DZ11" s="51"/>
      <c r="EA11" s="51"/>
      <c r="EB11" s="51"/>
      <c r="EC11" s="51"/>
      <c r="ED11" s="51"/>
      <c r="EE11" s="51"/>
      <c r="EF11" s="51"/>
      <c r="EG11" s="51"/>
      <c r="EH11" s="51"/>
      <c r="EI11" s="51"/>
      <c r="EJ11" s="51"/>
      <c r="EK11" s="51"/>
      <c r="EL11" s="51"/>
      <c r="EM11" s="51"/>
      <c r="EN11" s="51"/>
      <c r="EO11" s="51"/>
      <c r="EP11" s="51"/>
      <c r="EQ11" s="51"/>
      <c r="ER11" s="51"/>
      <c r="ES11" s="51"/>
      <c r="ET11" s="51"/>
      <c r="EU11" s="51"/>
      <c r="EV11" s="51"/>
      <c r="EW11" s="51"/>
      <c r="EX11" s="51"/>
      <c r="EY11" s="51"/>
      <c r="EZ11" s="51"/>
      <c r="FA11" s="51"/>
      <c r="FB11" s="51"/>
      <c r="FC11" s="51"/>
      <c r="FD11" s="51"/>
      <c r="FE11" s="51"/>
      <c r="FF11" s="51"/>
      <c r="FG11" s="51"/>
      <c r="FH11" s="51"/>
      <c r="FI11" s="51"/>
      <c r="FJ11" s="51"/>
      <c r="FK11" s="51"/>
      <c r="FL11" s="51"/>
      <c r="FM11" s="51"/>
      <c r="FN11" s="51"/>
      <c r="FO11" s="51"/>
      <c r="FP11" s="51"/>
      <c r="FQ11" s="51"/>
      <c r="FR11" s="51"/>
      <c r="FS11" s="51"/>
      <c r="FT11" s="51"/>
      <c r="FU11" s="51"/>
      <c r="FV11" s="51"/>
      <c r="FW11" s="51"/>
      <c r="FX11" s="51"/>
      <c r="FY11" s="51"/>
      <c r="FZ11" s="51"/>
      <c r="GA11" s="51"/>
      <c r="GB11" s="51"/>
      <c r="GC11" s="51"/>
      <c r="GD11" s="51"/>
      <c r="GE11" s="51"/>
      <c r="GF11" s="51"/>
      <c r="GG11" s="51"/>
      <c r="GH11" s="51"/>
      <c r="GI11" s="51"/>
      <c r="GJ11" s="51"/>
      <c r="GK11" s="51"/>
      <c r="GL11" s="51"/>
      <c r="GM11" s="51"/>
      <c r="GN11" s="51"/>
      <c r="GO11" s="51"/>
      <c r="GP11" s="51"/>
      <c r="GQ11" s="51"/>
      <c r="GR11" s="51"/>
      <c r="GS11" s="51"/>
      <c r="GT11" s="51"/>
      <c r="GU11" s="51"/>
      <c r="GV11" s="51"/>
      <c r="GW11" s="51"/>
      <c r="GX11" s="51"/>
      <c r="GY11" s="51"/>
      <c r="GZ11" s="51"/>
      <c r="HA11" s="51"/>
      <c r="HB11" s="51"/>
      <c r="HC11" s="51"/>
      <c r="HD11" s="51"/>
      <c r="HE11" s="51"/>
      <c r="HF11" s="51"/>
      <c r="HG11" s="51"/>
      <c r="HH11" s="51"/>
      <c r="HI11" s="51"/>
      <c r="HJ11" s="51"/>
      <c r="HK11" s="51"/>
      <c r="HL11" s="51"/>
      <c r="HM11" s="51"/>
      <c r="HN11" s="51"/>
      <c r="HO11" s="51"/>
      <c r="HP11" s="51"/>
      <c r="HQ11" s="51"/>
      <c r="HR11" s="51"/>
      <c r="HS11" s="51"/>
      <c r="HT11" s="51"/>
      <c r="HU11" s="51"/>
      <c r="HV11" s="51"/>
      <c r="HW11" s="51"/>
      <c r="HX11" s="51"/>
      <c r="HY11" s="51"/>
      <c r="HZ11" s="51"/>
      <c r="IA11" s="51"/>
      <c r="IB11" s="51"/>
      <c r="IC11" s="51"/>
      <c r="ID11" s="51"/>
      <c r="IE11" s="51"/>
      <c r="IF11" s="51"/>
      <c r="IG11" s="51"/>
      <c r="IH11" s="51"/>
      <c r="II11" s="51"/>
      <c r="IJ11" s="51"/>
      <c r="IK11" s="51"/>
      <c r="IL11" s="51"/>
      <c r="IM11" s="51"/>
      <c r="IN11" s="51"/>
      <c r="IO11" s="51"/>
      <c r="IP11" s="51"/>
      <c r="IQ11" s="51"/>
      <c r="IR11" s="51"/>
      <c r="IS11" s="51"/>
    </row>
    <row r="12" spans="1:253" ht="15.75" thickBot="1" x14ac:dyDescent="0.3">
      <c r="A12" s="390" t="s">
        <v>572</v>
      </c>
      <c r="B12" s="451">
        <v>2263030</v>
      </c>
      <c r="C12" s="453">
        <v>2263030</v>
      </c>
      <c r="D12" s="451">
        <v>2363030</v>
      </c>
      <c r="E12" s="301">
        <v>2363030</v>
      </c>
      <c r="F12" s="303">
        <v>-568000</v>
      </c>
      <c r="G12" s="451">
        <v>1995030</v>
      </c>
      <c r="H12" s="453">
        <v>1995030</v>
      </c>
      <c r="I12" s="454">
        <v>1863530</v>
      </c>
      <c r="J12" s="455">
        <v>1863530</v>
      </c>
      <c r="K12" s="451">
        <v>2263530</v>
      </c>
      <c r="L12" s="453">
        <v>2263530</v>
      </c>
      <c r="M12" s="445">
        <v>1575994.7479999999</v>
      </c>
      <c r="N12" s="449">
        <f>M12</f>
        <v>1575994.7479999999</v>
      </c>
      <c r="O12" s="445">
        <v>1445994.7479999999</v>
      </c>
      <c r="P12" s="449">
        <f>O12</f>
        <v>1445994.7479999999</v>
      </c>
      <c r="Q12" s="445">
        <v>1745994.7479999999</v>
      </c>
      <c r="R12" s="449">
        <v>1745994.7479999999</v>
      </c>
      <c r="S12" s="447">
        <v>2245994.7480000001</v>
      </c>
      <c r="T12" s="446">
        <v>2245994.7480000001</v>
      </c>
      <c r="U12" s="447">
        <v>2245994.7480000001</v>
      </c>
      <c r="V12" s="446">
        <f>U12</f>
        <v>2245994.7480000001</v>
      </c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  <c r="BF12" s="51"/>
      <c r="BG12" s="51"/>
      <c r="BH12" s="51"/>
      <c r="BI12" s="51"/>
      <c r="BJ12" s="51"/>
      <c r="BK12" s="51"/>
      <c r="BL12" s="51"/>
      <c r="BM12" s="51"/>
      <c r="BN12" s="51"/>
      <c r="BO12" s="51"/>
      <c r="BP12" s="51"/>
      <c r="BQ12" s="51"/>
      <c r="BR12" s="51"/>
      <c r="BS12" s="51"/>
      <c r="BT12" s="51"/>
      <c r="BU12" s="51"/>
      <c r="BV12" s="51"/>
      <c r="BW12" s="51"/>
      <c r="BX12" s="51"/>
      <c r="BY12" s="51"/>
      <c r="BZ12" s="51"/>
      <c r="CA12" s="51"/>
      <c r="CB12" s="51"/>
      <c r="CC12" s="51"/>
      <c r="CD12" s="51"/>
      <c r="CE12" s="51"/>
      <c r="CF12" s="51"/>
      <c r="CG12" s="51"/>
      <c r="CH12" s="51"/>
      <c r="CI12" s="51"/>
      <c r="CJ12" s="51"/>
      <c r="CK12" s="51"/>
      <c r="CL12" s="51"/>
      <c r="CM12" s="51"/>
      <c r="CN12" s="51"/>
      <c r="CO12" s="51"/>
      <c r="CP12" s="51"/>
      <c r="CQ12" s="51"/>
      <c r="CR12" s="51"/>
      <c r="CS12" s="51"/>
      <c r="CT12" s="51"/>
      <c r="CU12" s="51"/>
      <c r="CV12" s="51"/>
      <c r="CW12" s="51"/>
      <c r="CX12" s="51"/>
      <c r="CY12" s="51"/>
      <c r="CZ12" s="51"/>
      <c r="DA12" s="51"/>
      <c r="DB12" s="51"/>
      <c r="DC12" s="51"/>
      <c r="DD12" s="51"/>
      <c r="DE12" s="51"/>
      <c r="DF12" s="51"/>
      <c r="DG12" s="51"/>
      <c r="DH12" s="51"/>
      <c r="DI12" s="51"/>
      <c r="DJ12" s="51"/>
      <c r="DK12" s="51"/>
      <c r="DL12" s="51"/>
      <c r="DM12" s="51"/>
      <c r="DN12" s="51"/>
      <c r="DO12" s="51"/>
      <c r="DP12" s="51"/>
      <c r="DQ12" s="51"/>
      <c r="DR12" s="51"/>
      <c r="DS12" s="51"/>
      <c r="DT12" s="51"/>
      <c r="DU12" s="51"/>
      <c r="DV12" s="51"/>
      <c r="DW12" s="51"/>
      <c r="DX12" s="51"/>
      <c r="DY12" s="51"/>
      <c r="DZ12" s="51"/>
      <c r="EA12" s="51"/>
      <c r="EB12" s="51"/>
      <c r="EC12" s="51"/>
      <c r="ED12" s="51"/>
      <c r="EE12" s="51"/>
      <c r="EF12" s="51"/>
      <c r="EG12" s="51"/>
      <c r="EH12" s="51"/>
      <c r="EI12" s="51"/>
      <c r="EJ12" s="51"/>
      <c r="EK12" s="51"/>
      <c r="EL12" s="51"/>
      <c r="EM12" s="51"/>
      <c r="EN12" s="51"/>
      <c r="EO12" s="51"/>
      <c r="EP12" s="51"/>
      <c r="EQ12" s="51"/>
      <c r="ER12" s="51"/>
      <c r="ES12" s="51"/>
      <c r="ET12" s="51"/>
      <c r="EU12" s="51"/>
      <c r="EV12" s="51"/>
      <c r="EW12" s="51"/>
      <c r="EX12" s="51"/>
      <c r="EY12" s="51"/>
      <c r="EZ12" s="51"/>
      <c r="FA12" s="51"/>
      <c r="FB12" s="51"/>
      <c r="FC12" s="51"/>
      <c r="FD12" s="51"/>
      <c r="FE12" s="51"/>
      <c r="FF12" s="51"/>
      <c r="FG12" s="51"/>
      <c r="FH12" s="51"/>
      <c r="FI12" s="51"/>
      <c r="FJ12" s="51"/>
      <c r="FK12" s="51"/>
      <c r="FL12" s="51"/>
      <c r="FM12" s="51"/>
      <c r="FN12" s="51"/>
      <c r="FO12" s="51"/>
      <c r="FP12" s="51"/>
      <c r="FQ12" s="51"/>
      <c r="FR12" s="51"/>
      <c r="FS12" s="51"/>
      <c r="FT12" s="51"/>
      <c r="FU12" s="51"/>
      <c r="FV12" s="51"/>
      <c r="FW12" s="51"/>
      <c r="FX12" s="51"/>
      <c r="FY12" s="51"/>
      <c r="FZ12" s="51"/>
      <c r="GA12" s="51"/>
      <c r="GB12" s="51"/>
      <c r="GC12" s="51"/>
      <c r="GD12" s="51"/>
      <c r="GE12" s="51"/>
      <c r="GF12" s="51"/>
      <c r="GG12" s="51"/>
      <c r="GH12" s="51"/>
      <c r="GI12" s="51"/>
      <c r="GJ12" s="51"/>
      <c r="GK12" s="51"/>
      <c r="GL12" s="51"/>
      <c r="GM12" s="51"/>
      <c r="GN12" s="51"/>
      <c r="GO12" s="51"/>
      <c r="GP12" s="51"/>
      <c r="GQ12" s="51"/>
      <c r="GR12" s="51"/>
      <c r="GS12" s="51"/>
      <c r="GT12" s="51"/>
      <c r="GU12" s="51"/>
      <c r="GV12" s="51"/>
      <c r="GW12" s="51"/>
      <c r="GX12" s="51"/>
      <c r="GY12" s="51"/>
      <c r="GZ12" s="51"/>
      <c r="HA12" s="51"/>
      <c r="HB12" s="51"/>
      <c r="HC12" s="51"/>
      <c r="HD12" s="51"/>
      <c r="HE12" s="51"/>
      <c r="HF12" s="51"/>
      <c r="HG12" s="51"/>
      <c r="HH12" s="51"/>
      <c r="HI12" s="51"/>
      <c r="HJ12" s="51"/>
      <c r="HK12" s="51"/>
      <c r="HL12" s="51"/>
      <c r="HM12" s="51"/>
      <c r="HN12" s="51"/>
      <c r="HO12" s="51"/>
      <c r="HP12" s="51"/>
      <c r="HQ12" s="51"/>
      <c r="HR12" s="51"/>
      <c r="HS12" s="51"/>
      <c r="HT12" s="51"/>
      <c r="HU12" s="51"/>
      <c r="HV12" s="51"/>
      <c r="HW12" s="51"/>
      <c r="HX12" s="51"/>
      <c r="HY12" s="51"/>
      <c r="HZ12" s="51"/>
      <c r="IA12" s="51"/>
      <c r="IB12" s="51"/>
      <c r="IC12" s="51"/>
      <c r="ID12" s="51"/>
      <c r="IE12" s="51"/>
      <c r="IF12" s="51"/>
      <c r="IG12" s="51"/>
      <c r="IH12" s="51"/>
      <c r="II12" s="51"/>
      <c r="IJ12" s="51"/>
      <c r="IK12" s="51"/>
      <c r="IL12" s="51"/>
      <c r="IM12" s="51"/>
      <c r="IN12" s="51"/>
      <c r="IO12" s="51"/>
      <c r="IP12" s="51"/>
      <c r="IQ12" s="51"/>
      <c r="IR12" s="51"/>
      <c r="IS12" s="51"/>
    </row>
    <row r="13" spans="1:253" ht="15.75" thickBot="1" x14ac:dyDescent="0.3">
      <c r="A13" s="391" t="s">
        <v>573</v>
      </c>
      <c r="B13" s="207">
        <v>10446996</v>
      </c>
      <c r="C13" s="210">
        <v>13446996</v>
      </c>
      <c r="D13" s="207">
        <v>10129052</v>
      </c>
      <c r="E13" s="208">
        <v>21055099</v>
      </c>
      <c r="F13" s="209"/>
      <c r="G13" s="207">
        <v>9779203</v>
      </c>
      <c r="H13" s="210">
        <v>21757254</v>
      </c>
      <c r="I13" s="211">
        <v>10532515.1</v>
      </c>
      <c r="J13" s="212">
        <v>16525561.1</v>
      </c>
      <c r="K13" s="207">
        <v>12166663.254999999</v>
      </c>
      <c r="L13" s="210">
        <v>17226663.254999999</v>
      </c>
      <c r="M13" s="207">
        <v>12347257.965</v>
      </c>
      <c r="N13" s="213">
        <v>15741257.965</v>
      </c>
      <c r="O13" s="207">
        <v>13948304.293</v>
      </c>
      <c r="P13" s="213">
        <v>20341205.909000002</v>
      </c>
      <c r="Q13" s="207">
        <v>14345112.585000001</v>
      </c>
      <c r="R13" s="213">
        <v>18751885.565000001</v>
      </c>
      <c r="S13" s="392">
        <v>14613874.459000001</v>
      </c>
      <c r="T13" s="210">
        <v>19734339.958999999</v>
      </c>
      <c r="U13" s="392">
        <v>14446977.081</v>
      </c>
      <c r="V13" s="210">
        <v>20958447.943999998</v>
      </c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  <c r="BF13" s="51"/>
      <c r="BG13" s="51"/>
      <c r="BH13" s="51"/>
      <c r="BI13" s="51"/>
      <c r="BJ13" s="51"/>
      <c r="BK13" s="51"/>
      <c r="BL13" s="51"/>
      <c r="BM13" s="51"/>
      <c r="BN13" s="51"/>
      <c r="BO13" s="51"/>
      <c r="BP13" s="51"/>
      <c r="BQ13" s="51"/>
      <c r="BR13" s="51"/>
      <c r="BS13" s="51"/>
      <c r="BT13" s="51"/>
      <c r="BU13" s="51"/>
      <c r="BV13" s="51"/>
      <c r="BW13" s="51"/>
      <c r="BX13" s="51"/>
      <c r="BY13" s="51"/>
      <c r="BZ13" s="51"/>
      <c r="CA13" s="51"/>
      <c r="CB13" s="51"/>
      <c r="CC13" s="51"/>
      <c r="CD13" s="51"/>
      <c r="CE13" s="51"/>
      <c r="CF13" s="51"/>
      <c r="CG13" s="51"/>
      <c r="CH13" s="51"/>
      <c r="CI13" s="51"/>
      <c r="CJ13" s="51"/>
      <c r="CK13" s="51"/>
      <c r="CL13" s="51"/>
      <c r="CM13" s="51"/>
      <c r="CN13" s="51"/>
      <c r="CO13" s="51"/>
      <c r="CP13" s="51"/>
      <c r="CQ13" s="51"/>
      <c r="CR13" s="51"/>
      <c r="CS13" s="51"/>
      <c r="CT13" s="51"/>
      <c r="CU13" s="51"/>
      <c r="CV13" s="51"/>
      <c r="CW13" s="51"/>
      <c r="CX13" s="51"/>
      <c r="CY13" s="51"/>
      <c r="CZ13" s="51"/>
      <c r="DA13" s="51"/>
      <c r="DB13" s="51"/>
      <c r="DC13" s="51"/>
      <c r="DD13" s="51"/>
      <c r="DE13" s="51"/>
      <c r="DF13" s="51"/>
      <c r="DG13" s="51"/>
      <c r="DH13" s="51"/>
      <c r="DI13" s="51"/>
      <c r="DJ13" s="51"/>
      <c r="DK13" s="51"/>
      <c r="DL13" s="51"/>
      <c r="DM13" s="51"/>
      <c r="DN13" s="51"/>
      <c r="DO13" s="51"/>
      <c r="DP13" s="51"/>
      <c r="DQ13" s="51"/>
      <c r="DR13" s="51"/>
      <c r="DS13" s="51"/>
      <c r="DT13" s="51"/>
      <c r="DU13" s="51"/>
      <c r="DV13" s="51"/>
      <c r="DW13" s="51"/>
      <c r="DX13" s="51"/>
      <c r="DY13" s="51"/>
      <c r="DZ13" s="51"/>
      <c r="EA13" s="51"/>
      <c r="EB13" s="51"/>
      <c r="EC13" s="51"/>
      <c r="ED13" s="51"/>
      <c r="EE13" s="51"/>
      <c r="EF13" s="51"/>
      <c r="EG13" s="51"/>
      <c r="EH13" s="51"/>
      <c r="EI13" s="51"/>
      <c r="EJ13" s="51"/>
      <c r="EK13" s="51"/>
      <c r="EL13" s="51"/>
      <c r="EM13" s="51"/>
      <c r="EN13" s="51"/>
      <c r="EO13" s="51"/>
      <c r="EP13" s="51"/>
      <c r="EQ13" s="51"/>
      <c r="ER13" s="51"/>
      <c r="ES13" s="51"/>
      <c r="ET13" s="51"/>
      <c r="EU13" s="51"/>
      <c r="EV13" s="51"/>
      <c r="EW13" s="51"/>
      <c r="EX13" s="51"/>
      <c r="EY13" s="51"/>
      <c r="EZ13" s="51"/>
      <c r="FA13" s="51"/>
      <c r="FB13" s="51"/>
      <c r="FC13" s="51"/>
      <c r="FD13" s="51"/>
      <c r="FE13" s="51"/>
      <c r="FF13" s="51"/>
      <c r="FG13" s="51"/>
      <c r="FH13" s="51"/>
      <c r="FI13" s="51"/>
      <c r="FJ13" s="51"/>
      <c r="FK13" s="51"/>
      <c r="FL13" s="51"/>
      <c r="FM13" s="51"/>
      <c r="FN13" s="51"/>
      <c r="FO13" s="51"/>
      <c r="FP13" s="51"/>
      <c r="FQ13" s="51"/>
      <c r="FR13" s="51"/>
      <c r="FS13" s="51"/>
      <c r="FT13" s="51"/>
      <c r="FU13" s="51"/>
      <c r="FV13" s="51"/>
      <c r="FW13" s="51"/>
      <c r="FX13" s="51"/>
      <c r="FY13" s="51"/>
      <c r="FZ13" s="51"/>
      <c r="GA13" s="51"/>
      <c r="GB13" s="51"/>
      <c r="GC13" s="51"/>
      <c r="GD13" s="51"/>
      <c r="GE13" s="51"/>
      <c r="GF13" s="51"/>
      <c r="GG13" s="51"/>
      <c r="GH13" s="51"/>
      <c r="GI13" s="51"/>
      <c r="GJ13" s="51"/>
      <c r="GK13" s="51"/>
      <c r="GL13" s="51"/>
      <c r="GM13" s="51"/>
      <c r="GN13" s="51"/>
      <c r="GO13" s="51"/>
      <c r="GP13" s="51"/>
      <c r="GQ13" s="51"/>
      <c r="GR13" s="51"/>
      <c r="GS13" s="51"/>
      <c r="GT13" s="51"/>
      <c r="GU13" s="51"/>
      <c r="GV13" s="51"/>
      <c r="GW13" s="51"/>
      <c r="GX13" s="51"/>
      <c r="GY13" s="51"/>
      <c r="GZ13" s="51"/>
      <c r="HA13" s="51"/>
      <c r="HB13" s="51"/>
      <c r="HC13" s="51"/>
      <c r="HD13" s="51"/>
      <c r="HE13" s="51"/>
      <c r="HF13" s="51"/>
      <c r="HG13" s="51"/>
      <c r="HH13" s="51"/>
      <c r="HI13" s="51"/>
      <c r="HJ13" s="51"/>
      <c r="HK13" s="51"/>
      <c r="HL13" s="51"/>
      <c r="HM13" s="51"/>
      <c r="HN13" s="51"/>
      <c r="HO13" s="51"/>
      <c r="HP13" s="51"/>
      <c r="HQ13" s="51"/>
      <c r="HR13" s="51"/>
      <c r="HS13" s="51"/>
      <c r="HT13" s="51"/>
      <c r="HU13" s="51"/>
      <c r="HV13" s="51"/>
      <c r="HW13" s="51"/>
      <c r="HX13" s="51"/>
      <c r="HY13" s="51"/>
      <c r="HZ13" s="51"/>
      <c r="IA13" s="51"/>
      <c r="IB13" s="51"/>
      <c r="IC13" s="51"/>
      <c r="ID13" s="51"/>
      <c r="IE13" s="51"/>
      <c r="IF13" s="51"/>
      <c r="IG13" s="51"/>
      <c r="IH13" s="51"/>
      <c r="II13" s="51"/>
      <c r="IJ13" s="51"/>
      <c r="IK13" s="51"/>
      <c r="IL13" s="51"/>
      <c r="IM13" s="51"/>
      <c r="IN13" s="51"/>
      <c r="IO13" s="51"/>
      <c r="IP13" s="51"/>
      <c r="IQ13" s="51"/>
      <c r="IR13" s="51"/>
      <c r="IS13" s="51"/>
    </row>
    <row r="14" spans="1:253" ht="15" x14ac:dyDescent="0.25">
      <c r="A14" s="387" t="s">
        <v>98</v>
      </c>
      <c r="B14" s="200">
        <v>82832690</v>
      </c>
      <c r="C14" s="203">
        <v>82832690</v>
      </c>
      <c r="D14" s="200">
        <v>85520347</v>
      </c>
      <c r="E14" s="201">
        <v>85520347</v>
      </c>
      <c r="F14" s="202">
        <v>-1798000</v>
      </c>
      <c r="G14" s="200">
        <v>85232526</v>
      </c>
      <c r="H14" s="203">
        <v>85232526</v>
      </c>
      <c r="I14" s="204">
        <v>86773439.015000001</v>
      </c>
      <c r="J14" s="205">
        <v>86773439.015000001</v>
      </c>
      <c r="K14" s="200">
        <v>90334342.853</v>
      </c>
      <c r="L14" s="203">
        <v>90334342.853</v>
      </c>
      <c r="M14" s="200">
        <f>92590963.22+2341312.846</f>
        <v>94932276.066</v>
      </c>
      <c r="N14" s="206">
        <f>92590963.22+2341312.846</f>
        <v>94932276.066</v>
      </c>
      <c r="O14" s="200">
        <f>101127107.358+2518136.803</f>
        <v>103645244.161</v>
      </c>
      <c r="P14" s="206">
        <f>O14</f>
        <v>103645244.161</v>
      </c>
      <c r="Q14" s="200">
        <f>Q15+Q17+Q18+Q19</f>
        <v>120547128.31300001</v>
      </c>
      <c r="R14" s="206">
        <f>Q14</f>
        <v>120547128.31300001</v>
      </c>
      <c r="S14" s="388">
        <v>143723127.56200001</v>
      </c>
      <c r="T14" s="203">
        <v>143723127.56200001</v>
      </c>
      <c r="U14" s="388">
        <v>161482083.817</v>
      </c>
      <c r="V14" s="203">
        <f>U14</f>
        <v>161482083.817</v>
      </c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  <c r="BF14" s="51"/>
      <c r="BG14" s="51"/>
      <c r="BH14" s="51"/>
      <c r="BI14" s="51"/>
      <c r="BJ14" s="51"/>
      <c r="BK14" s="51"/>
      <c r="BL14" s="51"/>
      <c r="BM14" s="51"/>
      <c r="BN14" s="51"/>
      <c r="BO14" s="51"/>
      <c r="BP14" s="51"/>
      <c r="BQ14" s="51"/>
      <c r="BR14" s="51"/>
      <c r="BS14" s="51"/>
      <c r="BT14" s="51"/>
      <c r="BU14" s="51"/>
      <c r="BV14" s="51"/>
      <c r="BW14" s="51"/>
      <c r="BX14" s="51"/>
      <c r="BY14" s="51"/>
      <c r="BZ14" s="51"/>
      <c r="CA14" s="51"/>
      <c r="CB14" s="51"/>
      <c r="CC14" s="51"/>
      <c r="CD14" s="51"/>
      <c r="CE14" s="51"/>
      <c r="CF14" s="51"/>
      <c r="CG14" s="51"/>
      <c r="CH14" s="51"/>
      <c r="CI14" s="51"/>
      <c r="CJ14" s="51"/>
      <c r="CK14" s="51"/>
      <c r="CL14" s="51"/>
      <c r="CM14" s="51"/>
      <c r="CN14" s="51"/>
      <c r="CO14" s="51"/>
      <c r="CP14" s="51"/>
      <c r="CQ14" s="51"/>
      <c r="CR14" s="51"/>
      <c r="CS14" s="51"/>
      <c r="CT14" s="51"/>
      <c r="CU14" s="51"/>
      <c r="CV14" s="51"/>
      <c r="CW14" s="51"/>
      <c r="CX14" s="51"/>
      <c r="CY14" s="51"/>
      <c r="CZ14" s="51"/>
      <c r="DA14" s="51"/>
      <c r="DB14" s="51"/>
      <c r="DC14" s="51"/>
      <c r="DD14" s="51"/>
      <c r="DE14" s="51"/>
      <c r="DF14" s="51"/>
      <c r="DG14" s="51"/>
      <c r="DH14" s="51"/>
      <c r="DI14" s="51"/>
      <c r="DJ14" s="51"/>
      <c r="DK14" s="51"/>
      <c r="DL14" s="51"/>
      <c r="DM14" s="51"/>
      <c r="DN14" s="51"/>
      <c r="DO14" s="51"/>
      <c r="DP14" s="51"/>
      <c r="DQ14" s="51"/>
      <c r="DR14" s="51"/>
      <c r="DS14" s="51"/>
      <c r="DT14" s="51"/>
      <c r="DU14" s="51"/>
      <c r="DV14" s="51"/>
      <c r="DW14" s="51"/>
      <c r="DX14" s="51"/>
      <c r="DY14" s="51"/>
      <c r="DZ14" s="51"/>
      <c r="EA14" s="51"/>
      <c r="EB14" s="51"/>
      <c r="EC14" s="51"/>
      <c r="ED14" s="51"/>
      <c r="EE14" s="51"/>
      <c r="EF14" s="51"/>
      <c r="EG14" s="51"/>
      <c r="EH14" s="51"/>
      <c r="EI14" s="51"/>
      <c r="EJ14" s="51"/>
      <c r="EK14" s="51"/>
      <c r="EL14" s="51"/>
      <c r="EM14" s="51"/>
      <c r="EN14" s="51"/>
      <c r="EO14" s="51"/>
      <c r="EP14" s="51"/>
      <c r="EQ14" s="51"/>
      <c r="ER14" s="51"/>
      <c r="ES14" s="51"/>
      <c r="ET14" s="51"/>
      <c r="EU14" s="51"/>
      <c r="EV14" s="51"/>
      <c r="EW14" s="51"/>
      <c r="EX14" s="51"/>
      <c r="EY14" s="51"/>
      <c r="EZ14" s="51"/>
      <c r="FA14" s="51"/>
      <c r="FB14" s="51"/>
      <c r="FC14" s="51"/>
      <c r="FD14" s="51"/>
      <c r="FE14" s="51"/>
      <c r="FF14" s="51"/>
      <c r="FG14" s="51"/>
      <c r="FH14" s="51"/>
      <c r="FI14" s="51"/>
      <c r="FJ14" s="51"/>
      <c r="FK14" s="51"/>
      <c r="FL14" s="51"/>
      <c r="FM14" s="51"/>
      <c r="FN14" s="51"/>
      <c r="FO14" s="51"/>
      <c r="FP14" s="51"/>
      <c r="FQ14" s="51"/>
      <c r="FR14" s="51"/>
      <c r="FS14" s="51"/>
      <c r="FT14" s="51"/>
      <c r="FU14" s="51"/>
      <c r="FV14" s="51"/>
      <c r="FW14" s="51"/>
      <c r="FX14" s="51"/>
      <c r="FY14" s="51"/>
      <c r="FZ14" s="51"/>
      <c r="GA14" s="51"/>
      <c r="GB14" s="51"/>
      <c r="GC14" s="51"/>
      <c r="GD14" s="51"/>
      <c r="GE14" s="51"/>
      <c r="GF14" s="51"/>
      <c r="GG14" s="51"/>
      <c r="GH14" s="51"/>
      <c r="GI14" s="51"/>
      <c r="GJ14" s="51"/>
      <c r="GK14" s="51"/>
      <c r="GL14" s="51"/>
      <c r="GM14" s="51"/>
      <c r="GN14" s="51"/>
      <c r="GO14" s="51"/>
      <c r="GP14" s="51"/>
      <c r="GQ14" s="51"/>
      <c r="GR14" s="51"/>
      <c r="GS14" s="51"/>
      <c r="GT14" s="51"/>
      <c r="GU14" s="51"/>
      <c r="GV14" s="51"/>
      <c r="GW14" s="51"/>
      <c r="GX14" s="51"/>
      <c r="GY14" s="51"/>
      <c r="GZ14" s="51"/>
      <c r="HA14" s="51"/>
      <c r="HB14" s="51"/>
      <c r="HC14" s="51"/>
      <c r="HD14" s="51"/>
      <c r="HE14" s="51"/>
      <c r="HF14" s="51"/>
      <c r="HG14" s="51"/>
      <c r="HH14" s="51"/>
      <c r="HI14" s="51"/>
      <c r="HJ14" s="51"/>
      <c r="HK14" s="51"/>
      <c r="HL14" s="51"/>
      <c r="HM14" s="51"/>
      <c r="HN14" s="51"/>
      <c r="HO14" s="51"/>
      <c r="HP14" s="51"/>
      <c r="HQ14" s="51"/>
      <c r="HR14" s="51"/>
      <c r="HS14" s="51"/>
      <c r="HT14" s="51"/>
      <c r="HU14" s="51"/>
      <c r="HV14" s="51"/>
      <c r="HW14" s="51"/>
      <c r="HX14" s="51"/>
      <c r="HY14" s="51"/>
      <c r="HZ14" s="51"/>
      <c r="IA14" s="51"/>
      <c r="IB14" s="51"/>
      <c r="IC14" s="51"/>
      <c r="ID14" s="51"/>
      <c r="IE14" s="51"/>
      <c r="IF14" s="51"/>
      <c r="IG14" s="51"/>
      <c r="IH14" s="51"/>
      <c r="II14" s="51"/>
      <c r="IJ14" s="51"/>
      <c r="IK14" s="51"/>
      <c r="IL14" s="51"/>
      <c r="IM14" s="51"/>
      <c r="IN14" s="51"/>
      <c r="IO14" s="51"/>
      <c r="IP14" s="51"/>
      <c r="IQ14" s="51"/>
      <c r="IR14" s="51"/>
      <c r="IS14" s="51"/>
    </row>
    <row r="15" spans="1:253" ht="15" x14ac:dyDescent="0.25">
      <c r="A15" s="393" t="s">
        <v>132</v>
      </c>
      <c r="B15" s="657">
        <v>76129445</v>
      </c>
      <c r="C15" s="659">
        <v>76129445</v>
      </c>
      <c r="D15" s="214">
        <v>64362070</v>
      </c>
      <c r="E15" s="215">
        <v>64362070</v>
      </c>
      <c r="F15" s="216">
        <v>-1371700</v>
      </c>
      <c r="G15" s="214">
        <v>63583735</v>
      </c>
      <c r="H15" s="217">
        <v>63583735</v>
      </c>
      <c r="I15" s="647">
        <v>79470786</v>
      </c>
      <c r="J15" s="649">
        <v>79470786</v>
      </c>
      <c r="K15" s="657">
        <v>82394970.853</v>
      </c>
      <c r="L15" s="659">
        <v>82394970.853</v>
      </c>
      <c r="M15" s="643">
        <f>M30+M37</f>
        <v>86759034.568000004</v>
      </c>
      <c r="N15" s="645">
        <f>M15</f>
        <v>86759034.568000004</v>
      </c>
      <c r="O15" s="643">
        <f>O30+O37</f>
        <v>94406513.217999995</v>
      </c>
      <c r="P15" s="645">
        <f>O15</f>
        <v>94406513.217999995</v>
      </c>
      <c r="Q15" s="643">
        <f>110303142.068-2153517.639+2719277.47-325042.976</f>
        <v>110543858.92300001</v>
      </c>
      <c r="R15" s="645">
        <f>Q15</f>
        <v>110543858.92300001</v>
      </c>
      <c r="S15" s="665">
        <v>133055700.956</v>
      </c>
      <c r="T15" s="663">
        <v>133055701.956</v>
      </c>
      <c r="U15" s="665">
        <v>149189275.75400001</v>
      </c>
      <c r="V15" s="663">
        <f t="shared" ref="V15:V21" si="0">U15</f>
        <v>149189275.75400001</v>
      </c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/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  <c r="CV15" s="51"/>
      <c r="CW15" s="51"/>
      <c r="CX15" s="51"/>
      <c r="CY15" s="51"/>
      <c r="CZ15" s="51"/>
      <c r="DA15" s="51"/>
      <c r="DB15" s="51"/>
      <c r="DC15" s="51"/>
      <c r="DD15" s="51"/>
      <c r="DE15" s="51"/>
      <c r="DF15" s="51"/>
      <c r="DG15" s="51"/>
      <c r="DH15" s="51"/>
      <c r="DI15" s="51"/>
      <c r="DJ15" s="51"/>
      <c r="DK15" s="51"/>
      <c r="DL15" s="51"/>
      <c r="DM15" s="51"/>
      <c r="DN15" s="51"/>
      <c r="DO15" s="51"/>
      <c r="DP15" s="51"/>
      <c r="DQ15" s="51"/>
      <c r="DR15" s="51"/>
      <c r="DS15" s="51"/>
      <c r="DT15" s="51"/>
      <c r="DU15" s="51"/>
      <c r="DV15" s="51"/>
      <c r="DW15" s="51"/>
      <c r="DX15" s="51"/>
      <c r="DY15" s="51"/>
      <c r="DZ15" s="51"/>
      <c r="EA15" s="51"/>
      <c r="EB15" s="51"/>
      <c r="EC15" s="51"/>
      <c r="ED15" s="51"/>
      <c r="EE15" s="51"/>
      <c r="EF15" s="51"/>
      <c r="EG15" s="51"/>
      <c r="EH15" s="51"/>
      <c r="EI15" s="51"/>
      <c r="EJ15" s="51"/>
      <c r="EK15" s="51"/>
      <c r="EL15" s="51"/>
      <c r="EM15" s="51"/>
      <c r="EN15" s="51"/>
      <c r="EO15" s="51"/>
      <c r="EP15" s="51"/>
      <c r="EQ15" s="51"/>
      <c r="ER15" s="51"/>
      <c r="ES15" s="51"/>
      <c r="ET15" s="51"/>
      <c r="EU15" s="51"/>
      <c r="EV15" s="51"/>
      <c r="EW15" s="51"/>
      <c r="EX15" s="51"/>
      <c r="EY15" s="51"/>
      <c r="EZ15" s="51"/>
      <c r="FA15" s="51"/>
      <c r="FB15" s="51"/>
      <c r="FC15" s="51"/>
      <c r="FD15" s="51"/>
      <c r="FE15" s="51"/>
      <c r="FF15" s="51"/>
      <c r="FG15" s="51"/>
      <c r="FH15" s="51"/>
      <c r="FI15" s="51"/>
      <c r="FJ15" s="51"/>
      <c r="FK15" s="51"/>
      <c r="FL15" s="51"/>
      <c r="FM15" s="51"/>
      <c r="FN15" s="51"/>
      <c r="FO15" s="51"/>
      <c r="FP15" s="51"/>
      <c r="FQ15" s="51"/>
      <c r="FR15" s="51"/>
      <c r="FS15" s="51"/>
      <c r="FT15" s="51"/>
      <c r="FU15" s="51"/>
      <c r="FV15" s="51"/>
      <c r="FW15" s="51"/>
      <c r="FX15" s="51"/>
      <c r="FY15" s="51"/>
      <c r="FZ15" s="51"/>
      <c r="GA15" s="51"/>
      <c r="GB15" s="51"/>
      <c r="GC15" s="51"/>
      <c r="GD15" s="51"/>
      <c r="GE15" s="51"/>
      <c r="GF15" s="51"/>
      <c r="GG15" s="51"/>
      <c r="GH15" s="51"/>
      <c r="GI15" s="51"/>
      <c r="GJ15" s="51"/>
      <c r="GK15" s="51"/>
      <c r="GL15" s="51"/>
      <c r="GM15" s="51"/>
      <c r="GN15" s="51"/>
      <c r="GO15" s="51"/>
      <c r="GP15" s="51"/>
      <c r="GQ15" s="51"/>
      <c r="GR15" s="51"/>
      <c r="GS15" s="51"/>
      <c r="GT15" s="51"/>
      <c r="GU15" s="51"/>
      <c r="GV15" s="51"/>
      <c r="GW15" s="51"/>
      <c r="GX15" s="51"/>
      <c r="GY15" s="51"/>
      <c r="GZ15" s="51"/>
      <c r="HA15" s="51"/>
      <c r="HB15" s="51"/>
      <c r="HC15" s="51"/>
      <c r="HD15" s="51"/>
      <c r="HE15" s="51"/>
      <c r="HF15" s="51"/>
      <c r="HG15" s="51"/>
      <c r="HH15" s="51"/>
      <c r="HI15" s="51"/>
      <c r="HJ15" s="51"/>
      <c r="HK15" s="51"/>
      <c r="HL15" s="51"/>
      <c r="HM15" s="51"/>
      <c r="HN15" s="51"/>
      <c r="HO15" s="51"/>
      <c r="HP15" s="51"/>
      <c r="HQ15" s="51"/>
      <c r="HR15" s="51"/>
      <c r="HS15" s="51"/>
      <c r="HT15" s="51"/>
      <c r="HU15" s="51"/>
      <c r="HV15" s="51"/>
      <c r="HW15" s="51"/>
      <c r="HX15" s="51"/>
      <c r="HY15" s="51"/>
      <c r="HZ15" s="51"/>
      <c r="IA15" s="51"/>
      <c r="IB15" s="51"/>
      <c r="IC15" s="51"/>
      <c r="ID15" s="51"/>
      <c r="IE15" s="51"/>
      <c r="IF15" s="51"/>
      <c r="IG15" s="51"/>
      <c r="IH15" s="51"/>
      <c r="II15" s="51"/>
      <c r="IJ15" s="51"/>
      <c r="IK15" s="51"/>
      <c r="IL15" s="51"/>
      <c r="IM15" s="51"/>
      <c r="IN15" s="51"/>
      <c r="IO15" s="51"/>
      <c r="IP15" s="51"/>
      <c r="IQ15" s="51"/>
      <c r="IR15" s="51"/>
      <c r="IS15" s="51"/>
    </row>
    <row r="16" spans="1:253" ht="15" x14ac:dyDescent="0.25">
      <c r="A16" s="394" t="s">
        <v>133</v>
      </c>
      <c r="B16" s="658"/>
      <c r="C16" s="660"/>
      <c r="D16" s="452">
        <v>14852174</v>
      </c>
      <c r="E16" s="302">
        <v>14852174</v>
      </c>
      <c r="F16" s="304">
        <v>-317701</v>
      </c>
      <c r="G16" s="451">
        <v>14534473</v>
      </c>
      <c r="H16" s="453">
        <v>14534473</v>
      </c>
      <c r="I16" s="648"/>
      <c r="J16" s="650"/>
      <c r="K16" s="658"/>
      <c r="L16" s="660">
        <v>0</v>
      </c>
      <c r="M16" s="644"/>
      <c r="N16" s="646"/>
      <c r="O16" s="644"/>
      <c r="P16" s="646"/>
      <c r="Q16" s="644"/>
      <c r="R16" s="646"/>
      <c r="S16" s="666"/>
      <c r="T16" s="664"/>
      <c r="U16" s="666"/>
      <c r="V16" s="664">
        <f t="shared" si="0"/>
        <v>0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1"/>
      <c r="BL16" s="51"/>
      <c r="BM16" s="51"/>
      <c r="BN16" s="51"/>
      <c r="BO16" s="51"/>
      <c r="BP16" s="51"/>
      <c r="BQ16" s="51"/>
      <c r="BR16" s="51"/>
      <c r="BS16" s="51"/>
      <c r="BT16" s="51"/>
      <c r="BU16" s="51"/>
      <c r="BV16" s="51"/>
      <c r="BW16" s="51"/>
      <c r="BX16" s="51"/>
      <c r="BY16" s="51"/>
      <c r="BZ16" s="51"/>
      <c r="CA16" s="51"/>
      <c r="CB16" s="51"/>
      <c r="CC16" s="51"/>
      <c r="CD16" s="51"/>
      <c r="CE16" s="51"/>
      <c r="CF16" s="51"/>
      <c r="CG16" s="51"/>
      <c r="CH16" s="51"/>
      <c r="CI16" s="51"/>
      <c r="CJ16" s="51"/>
      <c r="CK16" s="51"/>
      <c r="CL16" s="51"/>
      <c r="CM16" s="51"/>
      <c r="CN16" s="51"/>
      <c r="CO16" s="51"/>
      <c r="CP16" s="51"/>
      <c r="CQ16" s="51"/>
      <c r="CR16" s="51"/>
      <c r="CS16" s="51"/>
      <c r="CT16" s="51"/>
      <c r="CU16" s="51"/>
      <c r="CV16" s="51"/>
      <c r="CW16" s="51"/>
      <c r="CX16" s="51"/>
      <c r="CY16" s="51"/>
      <c r="CZ16" s="51"/>
      <c r="DA16" s="51"/>
      <c r="DB16" s="51"/>
      <c r="DC16" s="51"/>
      <c r="DD16" s="51"/>
      <c r="DE16" s="51"/>
      <c r="DF16" s="51"/>
      <c r="DG16" s="51"/>
      <c r="DH16" s="51"/>
      <c r="DI16" s="51"/>
      <c r="DJ16" s="51"/>
      <c r="DK16" s="51"/>
      <c r="DL16" s="51"/>
      <c r="DM16" s="51"/>
      <c r="DN16" s="51"/>
      <c r="DO16" s="51"/>
      <c r="DP16" s="51"/>
      <c r="DQ16" s="51"/>
      <c r="DR16" s="51"/>
      <c r="DS16" s="51"/>
      <c r="DT16" s="51"/>
      <c r="DU16" s="51"/>
      <c r="DV16" s="51"/>
      <c r="DW16" s="51"/>
      <c r="DX16" s="51"/>
      <c r="DY16" s="51"/>
      <c r="DZ16" s="51"/>
      <c r="EA16" s="51"/>
      <c r="EB16" s="51"/>
      <c r="EC16" s="51"/>
      <c r="ED16" s="51"/>
      <c r="EE16" s="51"/>
      <c r="EF16" s="51"/>
      <c r="EG16" s="51"/>
      <c r="EH16" s="51"/>
      <c r="EI16" s="51"/>
      <c r="EJ16" s="51"/>
      <c r="EK16" s="51"/>
      <c r="EL16" s="51"/>
      <c r="EM16" s="51"/>
      <c r="EN16" s="51"/>
      <c r="EO16" s="51"/>
      <c r="EP16" s="51"/>
      <c r="EQ16" s="51"/>
      <c r="ER16" s="51"/>
      <c r="ES16" s="51"/>
      <c r="ET16" s="51"/>
      <c r="EU16" s="51"/>
      <c r="EV16" s="51"/>
      <c r="EW16" s="51"/>
      <c r="EX16" s="51"/>
      <c r="EY16" s="51"/>
      <c r="EZ16" s="51"/>
      <c r="FA16" s="51"/>
      <c r="FB16" s="51"/>
      <c r="FC16" s="51"/>
      <c r="FD16" s="51"/>
      <c r="FE16" s="51"/>
      <c r="FF16" s="51"/>
      <c r="FG16" s="51"/>
      <c r="FH16" s="51"/>
      <c r="FI16" s="51"/>
      <c r="FJ16" s="51"/>
      <c r="FK16" s="51"/>
      <c r="FL16" s="51"/>
      <c r="FM16" s="51"/>
      <c r="FN16" s="51"/>
      <c r="FO16" s="51"/>
      <c r="FP16" s="51"/>
      <c r="FQ16" s="51"/>
      <c r="FR16" s="51"/>
      <c r="FS16" s="51"/>
      <c r="FT16" s="51"/>
      <c r="FU16" s="51"/>
      <c r="FV16" s="51"/>
      <c r="FW16" s="51"/>
      <c r="FX16" s="51"/>
      <c r="FY16" s="51"/>
      <c r="FZ16" s="51"/>
      <c r="GA16" s="51"/>
      <c r="GB16" s="51"/>
      <c r="GC16" s="51"/>
      <c r="GD16" s="51"/>
      <c r="GE16" s="51"/>
      <c r="GF16" s="51"/>
      <c r="GG16" s="51"/>
      <c r="GH16" s="51"/>
      <c r="GI16" s="51"/>
      <c r="GJ16" s="51"/>
      <c r="GK16" s="51"/>
      <c r="GL16" s="51"/>
      <c r="GM16" s="51"/>
      <c r="GN16" s="51"/>
      <c r="GO16" s="51"/>
      <c r="GP16" s="51"/>
      <c r="GQ16" s="51"/>
      <c r="GR16" s="51"/>
      <c r="GS16" s="51"/>
      <c r="GT16" s="51"/>
      <c r="GU16" s="51"/>
      <c r="GV16" s="51"/>
      <c r="GW16" s="51"/>
      <c r="GX16" s="51"/>
      <c r="GY16" s="51"/>
      <c r="GZ16" s="51"/>
      <c r="HA16" s="51"/>
      <c r="HB16" s="51"/>
      <c r="HC16" s="51"/>
      <c r="HD16" s="51"/>
      <c r="HE16" s="51"/>
      <c r="HF16" s="51"/>
      <c r="HG16" s="51"/>
      <c r="HH16" s="51"/>
      <c r="HI16" s="51"/>
      <c r="HJ16" s="51"/>
      <c r="HK16" s="51"/>
      <c r="HL16" s="51"/>
      <c r="HM16" s="51"/>
      <c r="HN16" s="51"/>
      <c r="HO16" s="51"/>
      <c r="HP16" s="51"/>
      <c r="HQ16" s="51"/>
      <c r="HR16" s="51"/>
      <c r="HS16" s="51"/>
      <c r="HT16" s="51"/>
      <c r="HU16" s="51"/>
      <c r="HV16" s="51"/>
      <c r="HW16" s="51"/>
      <c r="HX16" s="51"/>
      <c r="HY16" s="51"/>
      <c r="HZ16" s="51"/>
      <c r="IA16" s="51"/>
      <c r="IB16" s="51"/>
      <c r="IC16" s="51"/>
      <c r="ID16" s="51"/>
      <c r="IE16" s="51"/>
      <c r="IF16" s="51"/>
      <c r="IG16" s="51"/>
      <c r="IH16" s="51"/>
      <c r="II16" s="51"/>
      <c r="IJ16" s="51"/>
      <c r="IK16" s="51"/>
      <c r="IL16" s="51"/>
      <c r="IM16" s="51"/>
      <c r="IN16" s="51"/>
      <c r="IO16" s="51"/>
      <c r="IP16" s="51"/>
      <c r="IQ16" s="51"/>
      <c r="IR16" s="51"/>
      <c r="IS16" s="51"/>
    </row>
    <row r="17" spans="1:253" ht="15" x14ac:dyDescent="0.25">
      <c r="A17" s="389" t="s">
        <v>134</v>
      </c>
      <c r="B17" s="451">
        <v>1461759</v>
      </c>
      <c r="C17" s="453">
        <v>1461759</v>
      </c>
      <c r="D17" s="451">
        <v>1027894</v>
      </c>
      <c r="E17" s="301">
        <v>1027894</v>
      </c>
      <c r="F17" s="303"/>
      <c r="G17" s="451">
        <v>1894708</v>
      </c>
      <c r="H17" s="453">
        <v>1894708</v>
      </c>
      <c r="I17" s="454">
        <v>1886463.0150000006</v>
      </c>
      <c r="J17" s="455">
        <v>1886463</v>
      </c>
      <c r="K17" s="451">
        <v>1984408</v>
      </c>
      <c r="L17" s="453">
        <v>1984408</v>
      </c>
      <c r="M17" s="445">
        <f>M32+M39</f>
        <v>2011525.429</v>
      </c>
      <c r="N17" s="449">
        <f>M17</f>
        <v>2011525.429</v>
      </c>
      <c r="O17" s="445">
        <f>O32+O39</f>
        <v>2296816.9679999999</v>
      </c>
      <c r="P17" s="449">
        <f>O17</f>
        <v>2296816.9679999999</v>
      </c>
      <c r="Q17" s="445">
        <f>2153517.639+325042.975</f>
        <v>2478560.6140000001</v>
      </c>
      <c r="R17" s="449">
        <v>2153517.639</v>
      </c>
      <c r="S17" s="447">
        <v>2348723.9580000001</v>
      </c>
      <c r="T17" s="446">
        <v>2348723.9580000001</v>
      </c>
      <c r="U17" s="447">
        <f>325112.976+2219159.454</f>
        <v>2544272.4299999997</v>
      </c>
      <c r="V17" s="446">
        <f t="shared" si="0"/>
        <v>2544272.4299999997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  <c r="BF17" s="51"/>
      <c r="BG17" s="51"/>
      <c r="BH17" s="51"/>
      <c r="BI17" s="51"/>
      <c r="BJ17" s="51"/>
      <c r="BK17" s="51"/>
      <c r="BL17" s="51"/>
      <c r="BM17" s="51"/>
      <c r="BN17" s="51"/>
      <c r="BO17" s="51"/>
      <c r="BP17" s="51"/>
      <c r="BQ17" s="51"/>
      <c r="BR17" s="51"/>
      <c r="BS17" s="51"/>
      <c r="BT17" s="51"/>
      <c r="BU17" s="51"/>
      <c r="BV17" s="51"/>
      <c r="BW17" s="51"/>
      <c r="BX17" s="51"/>
      <c r="BY17" s="51"/>
      <c r="BZ17" s="51"/>
      <c r="CA17" s="51"/>
      <c r="CB17" s="51"/>
      <c r="CC17" s="51"/>
      <c r="CD17" s="51"/>
      <c r="CE17" s="51"/>
      <c r="CF17" s="51"/>
      <c r="CG17" s="51"/>
      <c r="CH17" s="51"/>
      <c r="CI17" s="51"/>
      <c r="CJ17" s="51"/>
      <c r="CK17" s="51"/>
      <c r="CL17" s="51"/>
      <c r="CM17" s="51"/>
      <c r="CN17" s="51"/>
      <c r="CO17" s="51"/>
      <c r="CP17" s="51"/>
      <c r="CQ17" s="51"/>
      <c r="CR17" s="51"/>
      <c r="CS17" s="51"/>
      <c r="CT17" s="51"/>
      <c r="CU17" s="51"/>
      <c r="CV17" s="51"/>
      <c r="CW17" s="51"/>
      <c r="CX17" s="51"/>
      <c r="CY17" s="51"/>
      <c r="CZ17" s="51"/>
      <c r="DA17" s="51"/>
      <c r="DB17" s="51"/>
      <c r="DC17" s="51"/>
      <c r="DD17" s="51"/>
      <c r="DE17" s="51"/>
      <c r="DF17" s="51"/>
      <c r="DG17" s="51"/>
      <c r="DH17" s="51"/>
      <c r="DI17" s="51"/>
      <c r="DJ17" s="51"/>
      <c r="DK17" s="51"/>
      <c r="DL17" s="51"/>
      <c r="DM17" s="51"/>
      <c r="DN17" s="51"/>
      <c r="DO17" s="51"/>
      <c r="DP17" s="51"/>
      <c r="DQ17" s="51"/>
      <c r="DR17" s="51"/>
      <c r="DS17" s="51"/>
      <c r="DT17" s="51"/>
      <c r="DU17" s="51"/>
      <c r="DV17" s="51"/>
      <c r="DW17" s="51"/>
      <c r="DX17" s="51"/>
      <c r="DY17" s="51"/>
      <c r="DZ17" s="51"/>
      <c r="EA17" s="51"/>
      <c r="EB17" s="51"/>
      <c r="EC17" s="51"/>
      <c r="ED17" s="51"/>
      <c r="EE17" s="51"/>
      <c r="EF17" s="51"/>
      <c r="EG17" s="51"/>
      <c r="EH17" s="51"/>
      <c r="EI17" s="51"/>
      <c r="EJ17" s="51"/>
      <c r="EK17" s="51"/>
      <c r="EL17" s="51"/>
      <c r="EM17" s="51"/>
      <c r="EN17" s="51"/>
      <c r="EO17" s="51"/>
      <c r="EP17" s="51"/>
      <c r="EQ17" s="51"/>
      <c r="ER17" s="51"/>
      <c r="ES17" s="51"/>
      <c r="ET17" s="51"/>
      <c r="EU17" s="51"/>
      <c r="EV17" s="51"/>
      <c r="EW17" s="51"/>
      <c r="EX17" s="51"/>
      <c r="EY17" s="51"/>
      <c r="EZ17" s="51"/>
      <c r="FA17" s="51"/>
      <c r="FB17" s="51"/>
      <c r="FC17" s="51"/>
      <c r="FD17" s="51"/>
      <c r="FE17" s="51"/>
      <c r="FF17" s="51"/>
      <c r="FG17" s="51"/>
      <c r="FH17" s="51"/>
      <c r="FI17" s="51"/>
      <c r="FJ17" s="51"/>
      <c r="FK17" s="51"/>
      <c r="FL17" s="51"/>
      <c r="FM17" s="51"/>
      <c r="FN17" s="51"/>
      <c r="FO17" s="51"/>
      <c r="FP17" s="51"/>
      <c r="FQ17" s="51"/>
      <c r="FR17" s="51"/>
      <c r="FS17" s="51"/>
      <c r="FT17" s="51"/>
      <c r="FU17" s="51"/>
      <c r="FV17" s="51"/>
      <c r="FW17" s="51"/>
      <c r="FX17" s="51"/>
      <c r="FY17" s="51"/>
      <c r="FZ17" s="51"/>
      <c r="GA17" s="51"/>
      <c r="GB17" s="51"/>
      <c r="GC17" s="51"/>
      <c r="GD17" s="51"/>
      <c r="GE17" s="51"/>
      <c r="GF17" s="51"/>
      <c r="GG17" s="51"/>
      <c r="GH17" s="51"/>
      <c r="GI17" s="51"/>
      <c r="GJ17" s="51"/>
      <c r="GK17" s="51"/>
      <c r="GL17" s="51"/>
      <c r="GM17" s="51"/>
      <c r="GN17" s="51"/>
      <c r="GO17" s="51"/>
      <c r="GP17" s="51"/>
      <c r="GQ17" s="51"/>
      <c r="GR17" s="51"/>
      <c r="GS17" s="51"/>
      <c r="GT17" s="51"/>
      <c r="GU17" s="51"/>
      <c r="GV17" s="51"/>
      <c r="GW17" s="51"/>
      <c r="GX17" s="51"/>
      <c r="GY17" s="51"/>
      <c r="GZ17" s="51"/>
      <c r="HA17" s="51"/>
      <c r="HB17" s="51"/>
      <c r="HC17" s="51"/>
      <c r="HD17" s="51"/>
      <c r="HE17" s="51"/>
      <c r="HF17" s="51"/>
      <c r="HG17" s="51"/>
      <c r="HH17" s="51"/>
      <c r="HI17" s="51"/>
      <c r="HJ17" s="51"/>
      <c r="HK17" s="51"/>
      <c r="HL17" s="51"/>
      <c r="HM17" s="51"/>
      <c r="HN17" s="51"/>
      <c r="HO17" s="51"/>
      <c r="HP17" s="51"/>
      <c r="HQ17" s="51"/>
      <c r="HR17" s="51"/>
      <c r="HS17" s="51"/>
      <c r="HT17" s="51"/>
      <c r="HU17" s="51"/>
      <c r="HV17" s="51"/>
      <c r="HW17" s="51"/>
      <c r="HX17" s="51"/>
      <c r="HY17" s="51"/>
      <c r="HZ17" s="51"/>
      <c r="IA17" s="51"/>
      <c r="IB17" s="51"/>
      <c r="IC17" s="51"/>
      <c r="ID17" s="51"/>
      <c r="IE17" s="51"/>
      <c r="IF17" s="51"/>
      <c r="IG17" s="51"/>
      <c r="IH17" s="51"/>
      <c r="II17" s="51"/>
      <c r="IJ17" s="51"/>
      <c r="IK17" s="51"/>
      <c r="IL17" s="51"/>
      <c r="IM17" s="51"/>
      <c r="IN17" s="51"/>
      <c r="IO17" s="51"/>
      <c r="IP17" s="51"/>
      <c r="IQ17" s="51"/>
      <c r="IR17" s="51"/>
      <c r="IS17" s="51"/>
    </row>
    <row r="18" spans="1:253" ht="15" x14ac:dyDescent="0.25">
      <c r="A18" s="389" t="s">
        <v>135</v>
      </c>
      <c r="B18" s="451">
        <v>4937486</v>
      </c>
      <c r="C18" s="453">
        <v>4937486</v>
      </c>
      <c r="D18" s="451">
        <v>5174209</v>
      </c>
      <c r="E18" s="301">
        <v>5174209</v>
      </c>
      <c r="F18" s="303">
        <v>-95599</v>
      </c>
      <c r="G18" s="451">
        <v>5128610</v>
      </c>
      <c r="H18" s="453">
        <v>5128610</v>
      </c>
      <c r="I18" s="454">
        <v>5210190</v>
      </c>
      <c r="J18" s="455">
        <v>5210190</v>
      </c>
      <c r="K18" s="451">
        <v>5563964</v>
      </c>
      <c r="L18" s="453">
        <v>5563964</v>
      </c>
      <c r="M18" s="445">
        <f>M33+M34</f>
        <v>5770716.0690000001</v>
      </c>
      <c r="N18" s="449">
        <f>M18</f>
        <v>5770716.0690000001</v>
      </c>
      <c r="O18" s="445">
        <f>O33+O34</f>
        <v>6230913.9739999995</v>
      </c>
      <c r="P18" s="449">
        <f>O18</f>
        <v>6230913.9739999995</v>
      </c>
      <c r="Q18" s="445">
        <f>5328597.527+1540165.121</f>
        <v>6868762.648</v>
      </c>
      <c r="R18" s="449">
        <v>6868762.648</v>
      </c>
      <c r="S18" s="447">
        <f>S33+S34</f>
        <v>7653702.648</v>
      </c>
      <c r="T18" s="446">
        <f>T33+T34</f>
        <v>7653702.648</v>
      </c>
      <c r="U18" s="447">
        <f>7252957.5+1940178.133</f>
        <v>9193135.6329999994</v>
      </c>
      <c r="V18" s="446">
        <f t="shared" si="0"/>
        <v>9193135.6329999994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  <c r="BF18" s="51"/>
      <c r="BG18" s="51"/>
      <c r="BH18" s="51"/>
      <c r="BI18" s="51"/>
      <c r="BJ18" s="51"/>
      <c r="BK18" s="51"/>
      <c r="BL18" s="51"/>
      <c r="BM18" s="51"/>
      <c r="BN18" s="51"/>
      <c r="BO18" s="51"/>
      <c r="BP18" s="51"/>
      <c r="BQ18" s="51"/>
      <c r="BR18" s="51"/>
      <c r="BS18" s="51"/>
      <c r="BT18" s="51"/>
      <c r="BU18" s="51"/>
      <c r="BV18" s="51"/>
      <c r="BW18" s="51"/>
      <c r="BX18" s="51"/>
      <c r="BY18" s="51"/>
      <c r="BZ18" s="51"/>
      <c r="CA18" s="51"/>
      <c r="CB18" s="51"/>
      <c r="CC18" s="51"/>
      <c r="CD18" s="51"/>
      <c r="CE18" s="51"/>
      <c r="CF18" s="51"/>
      <c r="CG18" s="51"/>
      <c r="CH18" s="51"/>
      <c r="CI18" s="51"/>
      <c r="CJ18" s="51"/>
      <c r="CK18" s="51"/>
      <c r="CL18" s="51"/>
      <c r="CM18" s="51"/>
      <c r="CN18" s="51"/>
      <c r="CO18" s="51"/>
      <c r="CP18" s="51"/>
      <c r="CQ18" s="51"/>
      <c r="CR18" s="51"/>
      <c r="CS18" s="51"/>
      <c r="CT18" s="51"/>
      <c r="CU18" s="51"/>
      <c r="CV18" s="51"/>
      <c r="CW18" s="51"/>
      <c r="CX18" s="51"/>
      <c r="CY18" s="51"/>
      <c r="CZ18" s="51"/>
      <c r="DA18" s="51"/>
      <c r="DB18" s="51"/>
      <c r="DC18" s="51"/>
      <c r="DD18" s="51"/>
      <c r="DE18" s="51"/>
      <c r="DF18" s="51"/>
      <c r="DG18" s="51"/>
      <c r="DH18" s="51"/>
      <c r="DI18" s="51"/>
      <c r="DJ18" s="51"/>
      <c r="DK18" s="51"/>
      <c r="DL18" s="51"/>
      <c r="DM18" s="51"/>
      <c r="DN18" s="51"/>
      <c r="DO18" s="51"/>
      <c r="DP18" s="51"/>
      <c r="DQ18" s="51"/>
      <c r="DR18" s="51"/>
      <c r="DS18" s="51"/>
      <c r="DT18" s="51"/>
      <c r="DU18" s="51"/>
      <c r="DV18" s="51"/>
      <c r="DW18" s="51"/>
      <c r="DX18" s="51"/>
      <c r="DY18" s="51"/>
      <c r="DZ18" s="51"/>
      <c r="EA18" s="51"/>
      <c r="EB18" s="51"/>
      <c r="EC18" s="51"/>
      <c r="ED18" s="51"/>
      <c r="EE18" s="51"/>
      <c r="EF18" s="51"/>
      <c r="EG18" s="51"/>
      <c r="EH18" s="51"/>
      <c r="EI18" s="51"/>
      <c r="EJ18" s="51"/>
      <c r="EK18" s="51"/>
      <c r="EL18" s="51"/>
      <c r="EM18" s="51"/>
      <c r="EN18" s="51"/>
      <c r="EO18" s="51"/>
      <c r="EP18" s="51"/>
      <c r="EQ18" s="51"/>
      <c r="ER18" s="51"/>
      <c r="ES18" s="51"/>
      <c r="ET18" s="51"/>
      <c r="EU18" s="51"/>
      <c r="EV18" s="51"/>
      <c r="EW18" s="51"/>
      <c r="EX18" s="51"/>
      <c r="EY18" s="51"/>
      <c r="EZ18" s="51"/>
      <c r="FA18" s="51"/>
      <c r="FB18" s="51"/>
      <c r="FC18" s="51"/>
      <c r="FD18" s="51"/>
      <c r="FE18" s="51"/>
      <c r="FF18" s="51"/>
      <c r="FG18" s="51"/>
      <c r="FH18" s="51"/>
      <c r="FI18" s="51"/>
      <c r="FJ18" s="51"/>
      <c r="FK18" s="51"/>
      <c r="FL18" s="51"/>
      <c r="FM18" s="51"/>
      <c r="FN18" s="51"/>
      <c r="FO18" s="51"/>
      <c r="FP18" s="51"/>
      <c r="FQ18" s="51"/>
      <c r="FR18" s="51"/>
      <c r="FS18" s="51"/>
      <c r="FT18" s="51"/>
      <c r="FU18" s="51"/>
      <c r="FV18" s="51"/>
      <c r="FW18" s="51"/>
      <c r="FX18" s="51"/>
      <c r="FY18" s="51"/>
      <c r="FZ18" s="51"/>
      <c r="GA18" s="51"/>
      <c r="GB18" s="51"/>
      <c r="GC18" s="51"/>
      <c r="GD18" s="51"/>
      <c r="GE18" s="51"/>
      <c r="GF18" s="51"/>
      <c r="GG18" s="51"/>
      <c r="GH18" s="51"/>
      <c r="GI18" s="51"/>
      <c r="GJ18" s="51"/>
      <c r="GK18" s="51"/>
      <c r="GL18" s="51"/>
      <c r="GM18" s="51"/>
      <c r="GN18" s="51"/>
      <c r="GO18" s="51"/>
      <c r="GP18" s="51"/>
      <c r="GQ18" s="51"/>
      <c r="GR18" s="51"/>
      <c r="GS18" s="51"/>
      <c r="GT18" s="51"/>
      <c r="GU18" s="51"/>
      <c r="GV18" s="51"/>
      <c r="GW18" s="51"/>
      <c r="GX18" s="51"/>
      <c r="GY18" s="51"/>
      <c r="GZ18" s="51"/>
      <c r="HA18" s="51"/>
      <c r="HB18" s="51"/>
      <c r="HC18" s="51"/>
      <c r="HD18" s="51"/>
      <c r="HE18" s="51"/>
      <c r="HF18" s="51"/>
      <c r="HG18" s="51"/>
      <c r="HH18" s="51"/>
      <c r="HI18" s="51"/>
      <c r="HJ18" s="51"/>
      <c r="HK18" s="51"/>
      <c r="HL18" s="51"/>
      <c r="HM18" s="51"/>
      <c r="HN18" s="51"/>
      <c r="HO18" s="51"/>
      <c r="HP18" s="51"/>
      <c r="HQ18" s="51"/>
      <c r="HR18" s="51"/>
      <c r="HS18" s="51"/>
      <c r="HT18" s="51"/>
      <c r="HU18" s="51"/>
      <c r="HV18" s="51"/>
      <c r="HW18" s="51"/>
      <c r="HX18" s="51"/>
      <c r="HY18" s="51"/>
      <c r="HZ18" s="51"/>
      <c r="IA18" s="51"/>
      <c r="IB18" s="51"/>
      <c r="IC18" s="51"/>
      <c r="ID18" s="51"/>
      <c r="IE18" s="51"/>
      <c r="IF18" s="51"/>
      <c r="IG18" s="51"/>
      <c r="IH18" s="51"/>
      <c r="II18" s="51"/>
      <c r="IJ18" s="51"/>
      <c r="IK18" s="51"/>
      <c r="IL18" s="51"/>
      <c r="IM18" s="51"/>
      <c r="IN18" s="51"/>
      <c r="IO18" s="51"/>
      <c r="IP18" s="51"/>
      <c r="IQ18" s="51"/>
      <c r="IR18" s="51"/>
      <c r="IS18" s="51"/>
    </row>
    <row r="19" spans="1:253" ht="15.75" thickBot="1" x14ac:dyDescent="0.3">
      <c r="A19" s="394" t="s">
        <v>136</v>
      </c>
      <c r="B19" s="451">
        <v>304000</v>
      </c>
      <c r="C19" s="453">
        <v>304000</v>
      </c>
      <c r="D19" s="451">
        <v>104000</v>
      </c>
      <c r="E19" s="301">
        <v>104000</v>
      </c>
      <c r="F19" s="303">
        <v>-13000</v>
      </c>
      <c r="G19" s="451">
        <v>91000</v>
      </c>
      <c r="H19" s="453">
        <v>91000</v>
      </c>
      <c r="I19" s="454">
        <v>206000</v>
      </c>
      <c r="J19" s="455">
        <v>206000</v>
      </c>
      <c r="K19" s="451">
        <v>391000</v>
      </c>
      <c r="L19" s="453">
        <v>391000</v>
      </c>
      <c r="M19" s="445">
        <f>M35+M40</f>
        <v>391000</v>
      </c>
      <c r="N19" s="449">
        <f>M19</f>
        <v>391000</v>
      </c>
      <c r="O19" s="445">
        <f>O35+O40</f>
        <v>711000</v>
      </c>
      <c r="P19" s="449">
        <f>O19</f>
        <v>711000</v>
      </c>
      <c r="Q19" s="445">
        <v>655946.12800000003</v>
      </c>
      <c r="R19" s="449">
        <v>655946.12800000003</v>
      </c>
      <c r="S19" s="447">
        <v>665000</v>
      </c>
      <c r="T19" s="446">
        <v>665000</v>
      </c>
      <c r="U19" s="447">
        <v>555400</v>
      </c>
      <c r="V19" s="446">
        <f t="shared" si="0"/>
        <v>555400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  <c r="BF19" s="51"/>
      <c r="BG19" s="51"/>
      <c r="BH19" s="51"/>
      <c r="BI19" s="51"/>
      <c r="BJ19" s="51"/>
      <c r="BK19" s="51"/>
      <c r="BL19" s="51"/>
      <c r="BM19" s="51"/>
      <c r="BN19" s="51"/>
      <c r="BO19" s="51"/>
      <c r="BP19" s="51"/>
      <c r="BQ19" s="51"/>
      <c r="BR19" s="51"/>
      <c r="BS19" s="51"/>
      <c r="BT19" s="51"/>
      <c r="BU19" s="51"/>
      <c r="BV19" s="51"/>
      <c r="BW19" s="51"/>
      <c r="BX19" s="51"/>
      <c r="BY19" s="51"/>
      <c r="BZ19" s="51"/>
      <c r="CA19" s="51"/>
      <c r="CB19" s="51"/>
      <c r="CC19" s="51"/>
      <c r="CD19" s="51"/>
      <c r="CE19" s="51"/>
      <c r="CF19" s="51"/>
      <c r="CG19" s="51"/>
      <c r="CH19" s="51"/>
      <c r="CI19" s="51"/>
      <c r="CJ19" s="51"/>
      <c r="CK19" s="51"/>
      <c r="CL19" s="51"/>
      <c r="CM19" s="51"/>
      <c r="CN19" s="51"/>
      <c r="CO19" s="51"/>
      <c r="CP19" s="51"/>
      <c r="CQ19" s="51"/>
      <c r="CR19" s="51"/>
      <c r="CS19" s="51"/>
      <c r="CT19" s="51"/>
      <c r="CU19" s="51"/>
      <c r="CV19" s="51"/>
      <c r="CW19" s="51"/>
      <c r="CX19" s="51"/>
      <c r="CY19" s="51"/>
      <c r="CZ19" s="51"/>
      <c r="DA19" s="51"/>
      <c r="DB19" s="51"/>
      <c r="DC19" s="51"/>
      <c r="DD19" s="51"/>
      <c r="DE19" s="51"/>
      <c r="DF19" s="51"/>
      <c r="DG19" s="51"/>
      <c r="DH19" s="51"/>
      <c r="DI19" s="51"/>
      <c r="DJ19" s="51"/>
      <c r="DK19" s="51"/>
      <c r="DL19" s="51"/>
      <c r="DM19" s="51"/>
      <c r="DN19" s="51"/>
      <c r="DO19" s="51"/>
      <c r="DP19" s="51"/>
      <c r="DQ19" s="51"/>
      <c r="DR19" s="51"/>
      <c r="DS19" s="51"/>
      <c r="DT19" s="51"/>
      <c r="DU19" s="51"/>
      <c r="DV19" s="51"/>
      <c r="DW19" s="51"/>
      <c r="DX19" s="51"/>
      <c r="DY19" s="51"/>
      <c r="DZ19" s="51"/>
      <c r="EA19" s="51"/>
      <c r="EB19" s="51"/>
      <c r="EC19" s="51"/>
      <c r="ED19" s="51"/>
      <c r="EE19" s="51"/>
      <c r="EF19" s="51"/>
      <c r="EG19" s="51"/>
      <c r="EH19" s="51"/>
      <c r="EI19" s="51"/>
      <c r="EJ19" s="51"/>
      <c r="EK19" s="51"/>
      <c r="EL19" s="51"/>
      <c r="EM19" s="51"/>
      <c r="EN19" s="51"/>
      <c r="EO19" s="51"/>
      <c r="EP19" s="51"/>
      <c r="EQ19" s="51"/>
      <c r="ER19" s="51"/>
      <c r="ES19" s="51"/>
      <c r="ET19" s="51"/>
      <c r="EU19" s="51"/>
      <c r="EV19" s="51"/>
      <c r="EW19" s="51"/>
      <c r="EX19" s="51"/>
      <c r="EY19" s="51"/>
      <c r="EZ19" s="51"/>
      <c r="FA19" s="51"/>
      <c r="FB19" s="51"/>
      <c r="FC19" s="51"/>
      <c r="FD19" s="51"/>
      <c r="FE19" s="51"/>
      <c r="FF19" s="51"/>
      <c r="FG19" s="51"/>
      <c r="FH19" s="51"/>
      <c r="FI19" s="51"/>
      <c r="FJ19" s="51"/>
      <c r="FK19" s="51"/>
      <c r="FL19" s="51"/>
      <c r="FM19" s="51"/>
      <c r="FN19" s="51"/>
      <c r="FO19" s="51"/>
      <c r="FP19" s="51"/>
      <c r="FQ19" s="51"/>
      <c r="FR19" s="51"/>
      <c r="FS19" s="51"/>
      <c r="FT19" s="51"/>
      <c r="FU19" s="51"/>
      <c r="FV19" s="51"/>
      <c r="FW19" s="51"/>
      <c r="FX19" s="51"/>
      <c r="FY19" s="51"/>
      <c r="FZ19" s="51"/>
      <c r="GA19" s="51"/>
      <c r="GB19" s="51"/>
      <c r="GC19" s="51"/>
      <c r="GD19" s="51"/>
      <c r="GE19" s="51"/>
      <c r="GF19" s="51"/>
      <c r="GG19" s="51"/>
      <c r="GH19" s="51"/>
      <c r="GI19" s="51"/>
      <c r="GJ19" s="51"/>
      <c r="GK19" s="51"/>
      <c r="GL19" s="51"/>
      <c r="GM19" s="51"/>
      <c r="GN19" s="51"/>
      <c r="GO19" s="51"/>
      <c r="GP19" s="51"/>
      <c r="GQ19" s="51"/>
      <c r="GR19" s="51"/>
      <c r="GS19" s="51"/>
      <c r="GT19" s="51"/>
      <c r="GU19" s="51"/>
      <c r="GV19" s="51"/>
      <c r="GW19" s="51"/>
      <c r="GX19" s="51"/>
      <c r="GY19" s="51"/>
      <c r="GZ19" s="51"/>
      <c r="HA19" s="51"/>
      <c r="HB19" s="51"/>
      <c r="HC19" s="51"/>
      <c r="HD19" s="51"/>
      <c r="HE19" s="51"/>
      <c r="HF19" s="51"/>
      <c r="HG19" s="51"/>
      <c r="HH19" s="51"/>
      <c r="HI19" s="51"/>
      <c r="HJ19" s="51"/>
      <c r="HK19" s="51"/>
      <c r="HL19" s="51"/>
      <c r="HM19" s="51"/>
      <c r="HN19" s="51"/>
      <c r="HO19" s="51"/>
      <c r="HP19" s="51"/>
      <c r="HQ19" s="51"/>
      <c r="HR19" s="51"/>
      <c r="HS19" s="51"/>
      <c r="HT19" s="51"/>
      <c r="HU19" s="51"/>
      <c r="HV19" s="51"/>
      <c r="HW19" s="51"/>
      <c r="HX19" s="51"/>
      <c r="HY19" s="51"/>
      <c r="HZ19" s="51"/>
      <c r="IA19" s="51"/>
      <c r="IB19" s="51"/>
      <c r="IC19" s="51"/>
      <c r="ID19" s="51"/>
      <c r="IE19" s="51"/>
      <c r="IF19" s="51"/>
      <c r="IG19" s="51"/>
      <c r="IH19" s="51"/>
      <c r="II19" s="51"/>
      <c r="IJ19" s="51"/>
      <c r="IK19" s="51"/>
      <c r="IL19" s="51"/>
      <c r="IM19" s="51"/>
      <c r="IN19" s="51"/>
      <c r="IO19" s="51"/>
      <c r="IP19" s="51"/>
      <c r="IQ19" s="51"/>
      <c r="IR19" s="51"/>
      <c r="IS19" s="51"/>
    </row>
    <row r="20" spans="1:253" ht="15.75" thickBot="1" x14ac:dyDescent="0.3">
      <c r="A20" s="395" t="s">
        <v>574</v>
      </c>
      <c r="B20" s="207">
        <v>202150</v>
      </c>
      <c r="C20" s="210">
        <v>202150</v>
      </c>
      <c r="D20" s="207">
        <v>197573</v>
      </c>
      <c r="E20" s="208">
        <v>197573</v>
      </c>
      <c r="F20" s="209"/>
      <c r="G20" s="207">
        <v>206073</v>
      </c>
      <c r="H20" s="210">
        <v>206073</v>
      </c>
      <c r="I20" s="211">
        <v>206073</v>
      </c>
      <c r="J20" s="212">
        <v>206073</v>
      </c>
      <c r="K20" s="207">
        <v>206073</v>
      </c>
      <c r="L20" s="210">
        <v>206073</v>
      </c>
      <c r="M20" s="207">
        <v>236557.7</v>
      </c>
      <c r="N20" s="213">
        <v>215053</v>
      </c>
      <c r="O20" s="207">
        <v>231532.391</v>
      </c>
      <c r="P20" s="213">
        <f>O20</f>
        <v>231532.391</v>
      </c>
      <c r="Q20" s="207">
        <v>280782.391</v>
      </c>
      <c r="R20" s="213">
        <v>280782.391</v>
      </c>
      <c r="S20" s="392">
        <v>276266.93800000002</v>
      </c>
      <c r="T20" s="210">
        <v>276266.93800000002</v>
      </c>
      <c r="U20" s="392">
        <v>276266.93800000002</v>
      </c>
      <c r="V20" s="210">
        <f t="shared" si="0"/>
        <v>276266.93800000002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  <c r="BM20" s="51"/>
      <c r="BN20" s="51"/>
      <c r="BO20" s="51"/>
      <c r="BP20" s="51"/>
      <c r="BQ20" s="51"/>
      <c r="BR20" s="51"/>
      <c r="BS20" s="51"/>
      <c r="BT20" s="51"/>
      <c r="BU20" s="51"/>
      <c r="BV20" s="51"/>
      <c r="BW20" s="51"/>
      <c r="BX20" s="51"/>
      <c r="BY20" s="51"/>
      <c r="BZ20" s="51"/>
      <c r="CA20" s="51"/>
      <c r="CB20" s="51"/>
      <c r="CC20" s="51"/>
      <c r="CD20" s="51"/>
      <c r="CE20" s="51"/>
      <c r="CF20" s="51"/>
      <c r="CG20" s="51"/>
      <c r="CH20" s="51"/>
      <c r="CI20" s="51"/>
      <c r="CJ20" s="51"/>
      <c r="CK20" s="51"/>
      <c r="CL20" s="51"/>
      <c r="CM20" s="51"/>
      <c r="CN20" s="51"/>
      <c r="CO20" s="51"/>
      <c r="CP20" s="51"/>
      <c r="CQ20" s="51"/>
      <c r="CR20" s="51"/>
      <c r="CS20" s="51"/>
      <c r="CT20" s="51"/>
      <c r="CU20" s="51"/>
      <c r="CV20" s="51"/>
      <c r="CW20" s="51"/>
      <c r="CX20" s="51"/>
      <c r="CY20" s="51"/>
      <c r="CZ20" s="51"/>
      <c r="DA20" s="51"/>
      <c r="DB20" s="51"/>
      <c r="DC20" s="51"/>
      <c r="DD20" s="51"/>
      <c r="DE20" s="51"/>
      <c r="DF20" s="51"/>
      <c r="DG20" s="51"/>
      <c r="DH20" s="51"/>
      <c r="DI20" s="51"/>
      <c r="DJ20" s="51"/>
      <c r="DK20" s="51"/>
      <c r="DL20" s="51"/>
      <c r="DM20" s="51"/>
      <c r="DN20" s="51"/>
      <c r="DO20" s="51"/>
      <c r="DP20" s="51"/>
      <c r="DQ20" s="51"/>
      <c r="DR20" s="51"/>
      <c r="DS20" s="51"/>
      <c r="DT20" s="51"/>
      <c r="DU20" s="51"/>
      <c r="DV20" s="51"/>
      <c r="DW20" s="51"/>
      <c r="DX20" s="51"/>
      <c r="DY20" s="51"/>
      <c r="DZ20" s="51"/>
      <c r="EA20" s="51"/>
      <c r="EB20" s="51"/>
      <c r="EC20" s="51"/>
      <c r="ED20" s="51"/>
      <c r="EE20" s="51"/>
      <c r="EF20" s="51"/>
      <c r="EG20" s="51"/>
      <c r="EH20" s="51"/>
      <c r="EI20" s="51"/>
      <c r="EJ20" s="51"/>
      <c r="EK20" s="51"/>
      <c r="EL20" s="51"/>
      <c r="EM20" s="51"/>
      <c r="EN20" s="51"/>
      <c r="EO20" s="51"/>
      <c r="EP20" s="51"/>
      <c r="EQ20" s="51"/>
      <c r="ER20" s="51"/>
      <c r="ES20" s="51"/>
      <c r="ET20" s="51"/>
      <c r="EU20" s="51"/>
      <c r="EV20" s="51"/>
      <c r="EW20" s="51"/>
      <c r="EX20" s="51"/>
      <c r="EY20" s="51"/>
      <c r="EZ20" s="51"/>
      <c r="FA20" s="51"/>
      <c r="FB20" s="51"/>
      <c r="FC20" s="51"/>
      <c r="FD20" s="51"/>
      <c r="FE20" s="51"/>
      <c r="FF20" s="51"/>
      <c r="FG20" s="51"/>
      <c r="FH20" s="51"/>
      <c r="FI20" s="51"/>
      <c r="FJ20" s="51"/>
      <c r="FK20" s="51"/>
      <c r="FL20" s="51"/>
      <c r="FM20" s="51"/>
      <c r="FN20" s="51"/>
      <c r="FO20" s="51"/>
      <c r="FP20" s="51"/>
      <c r="FQ20" s="51"/>
      <c r="FR20" s="51"/>
      <c r="FS20" s="51"/>
      <c r="FT20" s="51"/>
      <c r="FU20" s="51"/>
      <c r="FV20" s="51"/>
      <c r="FW20" s="51"/>
      <c r="FX20" s="51"/>
      <c r="FY20" s="51"/>
      <c r="FZ20" s="51"/>
      <c r="GA20" s="51"/>
      <c r="GB20" s="51"/>
      <c r="GC20" s="51"/>
      <c r="GD20" s="51"/>
      <c r="GE20" s="51"/>
      <c r="GF20" s="51"/>
      <c r="GG20" s="51"/>
      <c r="GH20" s="51"/>
      <c r="GI20" s="51"/>
      <c r="GJ20" s="51"/>
      <c r="GK20" s="51"/>
      <c r="GL20" s="51"/>
      <c r="GM20" s="51"/>
      <c r="GN20" s="51"/>
      <c r="GO20" s="51"/>
      <c r="GP20" s="51"/>
      <c r="GQ20" s="51"/>
      <c r="GR20" s="51"/>
      <c r="GS20" s="51"/>
      <c r="GT20" s="51"/>
      <c r="GU20" s="51"/>
      <c r="GV20" s="51"/>
      <c r="GW20" s="51"/>
      <c r="GX20" s="51"/>
      <c r="GY20" s="51"/>
      <c r="GZ20" s="51"/>
      <c r="HA20" s="51"/>
      <c r="HB20" s="51"/>
      <c r="HC20" s="51"/>
      <c r="HD20" s="51"/>
      <c r="HE20" s="51"/>
      <c r="HF20" s="51"/>
      <c r="HG20" s="51"/>
      <c r="HH20" s="51"/>
      <c r="HI20" s="51"/>
      <c r="HJ20" s="51"/>
      <c r="HK20" s="51"/>
      <c r="HL20" s="51"/>
      <c r="HM20" s="51"/>
      <c r="HN20" s="51"/>
      <c r="HO20" s="51"/>
      <c r="HP20" s="51"/>
      <c r="HQ20" s="51"/>
      <c r="HR20" s="51"/>
      <c r="HS20" s="51"/>
      <c r="HT20" s="51"/>
      <c r="HU20" s="51"/>
      <c r="HV20" s="51"/>
      <c r="HW20" s="51"/>
      <c r="HX20" s="51"/>
      <c r="HY20" s="51"/>
      <c r="HZ20" s="51"/>
      <c r="IA20" s="51"/>
      <c r="IB20" s="51"/>
      <c r="IC20" s="51"/>
      <c r="ID20" s="51"/>
      <c r="IE20" s="51"/>
      <c r="IF20" s="51"/>
      <c r="IG20" s="51"/>
      <c r="IH20" s="51"/>
      <c r="II20" s="51"/>
      <c r="IJ20" s="51"/>
      <c r="IK20" s="51"/>
      <c r="IL20" s="51"/>
      <c r="IM20" s="51"/>
      <c r="IN20" s="51"/>
      <c r="IO20" s="51"/>
      <c r="IP20" s="51"/>
      <c r="IQ20" s="51"/>
      <c r="IR20" s="51"/>
      <c r="IS20" s="51"/>
    </row>
    <row r="21" spans="1:253" ht="15.75" thickBot="1" x14ac:dyDescent="0.3">
      <c r="A21" s="395" t="s">
        <v>523</v>
      </c>
      <c r="B21" s="207">
        <v>1899160</v>
      </c>
      <c r="C21" s="210">
        <v>1899160</v>
      </c>
      <c r="D21" s="207">
        <v>2982784</v>
      </c>
      <c r="E21" s="208">
        <v>2982784</v>
      </c>
      <c r="F21" s="209"/>
      <c r="G21" s="207">
        <v>2982784</v>
      </c>
      <c r="H21" s="210">
        <v>2982784</v>
      </c>
      <c r="I21" s="211">
        <v>2979541.3969999999</v>
      </c>
      <c r="J21" s="212">
        <v>2979541.3969999999</v>
      </c>
      <c r="K21" s="207">
        <v>2981136.34</v>
      </c>
      <c r="L21" s="210">
        <v>2981136.34</v>
      </c>
      <c r="M21" s="207">
        <v>3711488.0580000002</v>
      </c>
      <c r="N21" s="213">
        <v>3732992.7579999999</v>
      </c>
      <c r="O21" s="207">
        <v>5644729.2630000003</v>
      </c>
      <c r="P21" s="213">
        <f>O21</f>
        <v>5644729.2630000003</v>
      </c>
      <c r="Q21" s="207">
        <v>5449374.1809999999</v>
      </c>
      <c r="R21" s="213">
        <v>5449374.1809999999</v>
      </c>
      <c r="S21" s="392">
        <v>7000000</v>
      </c>
      <c r="T21" s="210">
        <v>7000000</v>
      </c>
      <c r="U21" s="392">
        <v>7204727.784</v>
      </c>
      <c r="V21" s="210">
        <f t="shared" si="0"/>
        <v>7204727.784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  <c r="BK21" s="51"/>
      <c r="BL21" s="51"/>
      <c r="BM21" s="51"/>
      <c r="BN21" s="51"/>
      <c r="BO21" s="51"/>
      <c r="BP21" s="51"/>
      <c r="BQ21" s="51"/>
      <c r="BR21" s="51"/>
      <c r="BS21" s="51"/>
      <c r="BT21" s="51"/>
      <c r="BU21" s="51"/>
      <c r="BV21" s="51"/>
      <c r="BW21" s="51"/>
      <c r="BX21" s="51"/>
      <c r="BY21" s="51"/>
      <c r="BZ21" s="51"/>
      <c r="CA21" s="51"/>
      <c r="CB21" s="51"/>
      <c r="CC21" s="51"/>
      <c r="CD21" s="51"/>
      <c r="CE21" s="51"/>
      <c r="CF21" s="51"/>
      <c r="CG21" s="51"/>
      <c r="CH21" s="51"/>
      <c r="CI21" s="51"/>
      <c r="CJ21" s="51"/>
      <c r="CK21" s="51"/>
      <c r="CL21" s="51"/>
      <c r="CM21" s="51"/>
      <c r="CN21" s="51"/>
      <c r="CO21" s="51"/>
      <c r="CP21" s="51"/>
      <c r="CQ21" s="51"/>
      <c r="CR21" s="51"/>
      <c r="CS21" s="51"/>
      <c r="CT21" s="51"/>
      <c r="CU21" s="51"/>
      <c r="CV21" s="51"/>
      <c r="CW21" s="51"/>
      <c r="CX21" s="51"/>
      <c r="CY21" s="51"/>
      <c r="CZ21" s="51"/>
      <c r="DA21" s="51"/>
      <c r="DB21" s="51"/>
      <c r="DC21" s="51"/>
      <c r="DD21" s="51"/>
      <c r="DE21" s="51"/>
      <c r="DF21" s="51"/>
      <c r="DG21" s="51"/>
      <c r="DH21" s="51"/>
      <c r="DI21" s="51"/>
      <c r="DJ21" s="51"/>
      <c r="DK21" s="51"/>
      <c r="DL21" s="51"/>
      <c r="DM21" s="51"/>
      <c r="DN21" s="51"/>
      <c r="DO21" s="51"/>
      <c r="DP21" s="51"/>
      <c r="DQ21" s="51"/>
      <c r="DR21" s="51"/>
      <c r="DS21" s="51"/>
      <c r="DT21" s="51"/>
      <c r="DU21" s="51"/>
      <c r="DV21" s="51"/>
      <c r="DW21" s="51"/>
      <c r="DX21" s="51"/>
      <c r="DY21" s="51"/>
      <c r="DZ21" s="51"/>
      <c r="EA21" s="51"/>
      <c r="EB21" s="51"/>
      <c r="EC21" s="51"/>
      <c r="ED21" s="51"/>
      <c r="EE21" s="51"/>
      <c r="EF21" s="51"/>
      <c r="EG21" s="51"/>
      <c r="EH21" s="51"/>
      <c r="EI21" s="51"/>
      <c r="EJ21" s="51"/>
      <c r="EK21" s="51"/>
      <c r="EL21" s="51"/>
      <c r="EM21" s="51"/>
      <c r="EN21" s="51"/>
      <c r="EO21" s="51"/>
      <c r="EP21" s="51"/>
      <c r="EQ21" s="51"/>
      <c r="ER21" s="51"/>
      <c r="ES21" s="51"/>
      <c r="ET21" s="51"/>
      <c r="EU21" s="51"/>
      <c r="EV21" s="51"/>
      <c r="EW21" s="51"/>
      <c r="EX21" s="51"/>
      <c r="EY21" s="51"/>
      <c r="EZ21" s="51"/>
      <c r="FA21" s="51"/>
      <c r="FB21" s="51"/>
      <c r="FC21" s="51"/>
      <c r="FD21" s="51"/>
      <c r="FE21" s="51"/>
      <c r="FF21" s="51"/>
      <c r="FG21" s="51"/>
      <c r="FH21" s="51"/>
      <c r="FI21" s="51"/>
      <c r="FJ21" s="51"/>
      <c r="FK21" s="51"/>
      <c r="FL21" s="51"/>
      <c r="FM21" s="51"/>
      <c r="FN21" s="51"/>
      <c r="FO21" s="51"/>
      <c r="FP21" s="51"/>
      <c r="FQ21" s="51"/>
      <c r="FR21" s="51"/>
      <c r="FS21" s="51"/>
      <c r="FT21" s="51"/>
      <c r="FU21" s="51"/>
      <c r="FV21" s="51"/>
      <c r="FW21" s="51"/>
      <c r="FX21" s="51"/>
      <c r="FY21" s="51"/>
      <c r="FZ21" s="51"/>
      <c r="GA21" s="51"/>
      <c r="GB21" s="51"/>
      <c r="GC21" s="51"/>
      <c r="GD21" s="51"/>
      <c r="GE21" s="51"/>
      <c r="GF21" s="51"/>
      <c r="GG21" s="51"/>
      <c r="GH21" s="51"/>
      <c r="GI21" s="51"/>
      <c r="GJ21" s="51"/>
      <c r="GK21" s="51"/>
      <c r="GL21" s="51"/>
      <c r="GM21" s="51"/>
      <c r="GN21" s="51"/>
      <c r="GO21" s="51"/>
      <c r="GP21" s="51"/>
      <c r="GQ21" s="51"/>
      <c r="GR21" s="51"/>
      <c r="GS21" s="51"/>
      <c r="GT21" s="51"/>
      <c r="GU21" s="51"/>
      <c r="GV21" s="51"/>
      <c r="GW21" s="51"/>
      <c r="GX21" s="51"/>
      <c r="GY21" s="51"/>
      <c r="GZ21" s="51"/>
      <c r="HA21" s="51"/>
      <c r="HB21" s="51"/>
      <c r="HC21" s="51"/>
      <c r="HD21" s="51"/>
      <c r="HE21" s="51"/>
      <c r="HF21" s="51"/>
      <c r="HG21" s="51"/>
      <c r="HH21" s="51"/>
      <c r="HI21" s="51"/>
      <c r="HJ21" s="51"/>
      <c r="HK21" s="51"/>
      <c r="HL21" s="51"/>
      <c r="HM21" s="51"/>
      <c r="HN21" s="51"/>
      <c r="HO21" s="51"/>
      <c r="HP21" s="51"/>
      <c r="HQ21" s="51"/>
      <c r="HR21" s="51"/>
      <c r="HS21" s="51"/>
      <c r="HT21" s="51"/>
      <c r="HU21" s="51"/>
      <c r="HV21" s="51"/>
      <c r="HW21" s="51"/>
      <c r="HX21" s="51"/>
      <c r="HY21" s="51"/>
      <c r="HZ21" s="51"/>
      <c r="IA21" s="51"/>
      <c r="IB21" s="51"/>
      <c r="IC21" s="51"/>
      <c r="ID21" s="51"/>
      <c r="IE21" s="51"/>
      <c r="IF21" s="51"/>
      <c r="IG21" s="51"/>
      <c r="IH21" s="51"/>
      <c r="II21" s="51"/>
      <c r="IJ21" s="51"/>
      <c r="IK21" s="51"/>
      <c r="IL21" s="51"/>
      <c r="IM21" s="51"/>
      <c r="IN21" s="51"/>
      <c r="IO21" s="51"/>
      <c r="IP21" s="51"/>
      <c r="IQ21" s="51"/>
      <c r="IR21" s="51"/>
      <c r="IS21" s="51"/>
    </row>
    <row r="22" spans="1:253" ht="30" x14ac:dyDescent="0.2">
      <c r="A22" s="713" t="s">
        <v>137</v>
      </c>
      <c r="B22" s="200">
        <v>1065501</v>
      </c>
      <c r="C22" s="203">
        <v>4112970</v>
      </c>
      <c r="D22" s="200">
        <v>1057985</v>
      </c>
      <c r="E22" s="201">
        <v>5192268</v>
      </c>
      <c r="F22" s="202"/>
      <c r="G22" s="200">
        <v>1055787</v>
      </c>
      <c r="H22" s="203">
        <v>6829549</v>
      </c>
      <c r="I22" s="204">
        <v>1155183.25</v>
      </c>
      <c r="J22" s="205">
        <v>7469611.9170000004</v>
      </c>
      <c r="K22" s="200">
        <v>150357.7910000002</v>
      </c>
      <c r="L22" s="203">
        <v>2188186.5150000001</v>
      </c>
      <c r="M22" s="200">
        <v>984215.40700000001</v>
      </c>
      <c r="N22" s="206">
        <v>5674219.9560000002</v>
      </c>
      <c r="O22" s="200">
        <v>974409.58600000001</v>
      </c>
      <c r="P22" s="206">
        <v>3136601.4840000002</v>
      </c>
      <c r="Q22" s="200"/>
      <c r="R22" s="206">
        <v>3899260.9309999999</v>
      </c>
      <c r="S22" s="388">
        <v>1319580.733</v>
      </c>
      <c r="T22" s="203">
        <v>6257601.977</v>
      </c>
      <c r="U22" s="388">
        <v>1207424.8149999999</v>
      </c>
      <c r="V22" s="203">
        <v>6884280.2079999996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  <c r="CA22" s="51"/>
      <c r="CB22" s="51"/>
      <c r="CC22" s="51"/>
      <c r="CD22" s="51"/>
      <c r="CE22" s="51"/>
      <c r="CF22" s="51"/>
      <c r="CG22" s="51"/>
      <c r="CH22" s="51"/>
      <c r="CI22" s="51"/>
      <c r="CJ22" s="51"/>
      <c r="CK22" s="51"/>
      <c r="CL22" s="51"/>
      <c r="CM22" s="51"/>
      <c r="CN22" s="51"/>
      <c r="CO22" s="51"/>
      <c r="CP22" s="51"/>
      <c r="CQ22" s="51"/>
      <c r="CR22" s="51"/>
      <c r="CS22" s="51"/>
      <c r="CT22" s="51"/>
      <c r="CU22" s="51"/>
      <c r="CV22" s="51"/>
      <c r="CW22" s="51"/>
      <c r="CX22" s="51"/>
      <c r="CY22" s="51"/>
      <c r="CZ22" s="51"/>
      <c r="DA22" s="51"/>
      <c r="DB22" s="51"/>
      <c r="DC22" s="51"/>
      <c r="DD22" s="51"/>
      <c r="DE22" s="51"/>
      <c r="DF22" s="51"/>
      <c r="DG22" s="51"/>
      <c r="DH22" s="51"/>
      <c r="DI22" s="51"/>
      <c r="DJ22" s="51"/>
      <c r="DK22" s="51"/>
      <c r="DL22" s="51"/>
      <c r="DM22" s="51"/>
      <c r="DN22" s="51"/>
      <c r="DO22" s="51"/>
      <c r="DP22" s="51"/>
      <c r="DQ22" s="51"/>
      <c r="DR22" s="51"/>
      <c r="DS22" s="51"/>
      <c r="DT22" s="51"/>
      <c r="DU22" s="51"/>
      <c r="DV22" s="51"/>
      <c r="DW22" s="51"/>
      <c r="DX22" s="51"/>
      <c r="DY22" s="51"/>
      <c r="DZ22" s="51"/>
      <c r="EA22" s="51"/>
      <c r="EB22" s="51"/>
      <c r="EC22" s="51"/>
      <c r="ED22" s="51"/>
      <c r="EE22" s="51"/>
      <c r="EF22" s="51"/>
      <c r="EG22" s="51"/>
      <c r="EH22" s="51"/>
      <c r="EI22" s="51"/>
      <c r="EJ22" s="51"/>
      <c r="EK22" s="51"/>
      <c r="EL22" s="51"/>
      <c r="EM22" s="51"/>
      <c r="EN22" s="51"/>
      <c r="EO22" s="51"/>
      <c r="EP22" s="51"/>
      <c r="EQ22" s="51"/>
      <c r="ER22" s="51"/>
      <c r="ES22" s="51"/>
      <c r="ET22" s="51"/>
      <c r="EU22" s="51"/>
      <c r="EV22" s="51"/>
      <c r="EW22" s="51"/>
      <c r="EX22" s="51"/>
      <c r="EY22" s="51"/>
      <c r="EZ22" s="51"/>
      <c r="FA22" s="51"/>
      <c r="FB22" s="51"/>
      <c r="FC22" s="51"/>
      <c r="FD22" s="51"/>
      <c r="FE22" s="51"/>
      <c r="FF22" s="51"/>
      <c r="FG22" s="51"/>
      <c r="FH22" s="51"/>
      <c r="FI22" s="51"/>
      <c r="FJ22" s="51"/>
      <c r="FK22" s="51"/>
      <c r="FL22" s="51"/>
      <c r="FM22" s="51"/>
      <c r="FN22" s="51"/>
      <c r="FO22" s="51"/>
      <c r="FP22" s="51"/>
      <c r="FQ22" s="51"/>
      <c r="FR22" s="51"/>
      <c r="FS22" s="51"/>
      <c r="FT22" s="51"/>
      <c r="FU22" s="51"/>
      <c r="FV22" s="51"/>
      <c r="FW22" s="51"/>
      <c r="FX22" s="51"/>
      <c r="FY22" s="51"/>
      <c r="FZ22" s="51"/>
      <c r="GA22" s="51"/>
      <c r="GB22" s="51"/>
      <c r="GC22" s="51"/>
      <c r="GD22" s="51"/>
      <c r="GE22" s="51"/>
      <c r="GF22" s="51"/>
      <c r="GG22" s="51"/>
      <c r="GH22" s="51"/>
      <c r="GI22" s="51"/>
      <c r="GJ22" s="51"/>
      <c r="GK22" s="51"/>
      <c r="GL22" s="51"/>
      <c r="GM22" s="51"/>
      <c r="GN22" s="51"/>
      <c r="GO22" s="51"/>
      <c r="GP22" s="51"/>
      <c r="GQ22" s="51"/>
      <c r="GR22" s="51"/>
      <c r="GS22" s="51"/>
      <c r="GT22" s="51"/>
      <c r="GU22" s="51"/>
      <c r="GV22" s="51"/>
      <c r="GW22" s="51"/>
      <c r="GX22" s="51"/>
      <c r="GY22" s="51"/>
      <c r="GZ22" s="51"/>
      <c r="HA22" s="51"/>
      <c r="HB22" s="51"/>
      <c r="HC22" s="51"/>
      <c r="HD22" s="51"/>
      <c r="HE22" s="51"/>
      <c r="HF22" s="51"/>
      <c r="HG22" s="51"/>
      <c r="HH22" s="51"/>
      <c r="HI22" s="51"/>
      <c r="HJ22" s="51"/>
      <c r="HK22" s="51"/>
      <c r="HL22" s="51"/>
      <c r="HM22" s="51"/>
      <c r="HN22" s="51"/>
      <c r="HO22" s="51"/>
      <c r="HP22" s="51"/>
      <c r="HQ22" s="51"/>
      <c r="HR22" s="51"/>
      <c r="HS22" s="51"/>
      <c r="HT22" s="51"/>
      <c r="HU22" s="51"/>
      <c r="HV22" s="51"/>
      <c r="HW22" s="51"/>
      <c r="HX22" s="51"/>
      <c r="HY22" s="51"/>
      <c r="HZ22" s="51"/>
      <c r="IA22" s="51"/>
      <c r="IB22" s="51"/>
      <c r="IC22" s="51"/>
      <c r="ID22" s="51"/>
      <c r="IE22" s="51"/>
      <c r="IF22" s="51"/>
      <c r="IG22" s="51"/>
      <c r="IH22" s="51"/>
      <c r="II22" s="51"/>
      <c r="IJ22" s="51"/>
      <c r="IK22" s="51"/>
      <c r="IL22" s="51"/>
      <c r="IM22" s="51"/>
      <c r="IN22" s="51"/>
      <c r="IO22" s="51"/>
      <c r="IP22" s="51"/>
      <c r="IQ22" s="51"/>
      <c r="IR22" s="51"/>
      <c r="IS22" s="51"/>
    </row>
    <row r="23" spans="1:253" ht="15" x14ac:dyDescent="0.25">
      <c r="A23" s="396" t="s">
        <v>130</v>
      </c>
      <c r="B23" s="331"/>
      <c r="C23" s="335"/>
      <c r="D23" s="331"/>
      <c r="E23" s="336"/>
      <c r="F23" s="337"/>
      <c r="G23" s="331"/>
      <c r="H23" s="335"/>
      <c r="I23" s="338"/>
      <c r="J23" s="339"/>
      <c r="K23" s="331"/>
      <c r="L23" s="335"/>
      <c r="M23" s="331"/>
      <c r="N23" s="332"/>
      <c r="O23" s="331"/>
      <c r="P23" s="332"/>
      <c r="Q23" s="331"/>
      <c r="R23" s="332">
        <v>3051507.216</v>
      </c>
      <c r="S23" s="397">
        <v>1157730.017</v>
      </c>
      <c r="T23" s="335">
        <v>5412056.9989999998</v>
      </c>
      <c r="U23" s="397">
        <f>U22-U24</f>
        <v>1138954.5519999999</v>
      </c>
      <c r="V23" s="335">
        <v>5643033.4749999996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1"/>
      <c r="BJ23" s="51"/>
      <c r="BK23" s="51"/>
      <c r="BL23" s="51"/>
      <c r="BM23" s="51"/>
      <c r="BN23" s="51"/>
      <c r="BO23" s="51"/>
      <c r="BP23" s="51"/>
      <c r="BQ23" s="51"/>
      <c r="BR23" s="51"/>
      <c r="BS23" s="51"/>
      <c r="BT23" s="51"/>
      <c r="BU23" s="51"/>
      <c r="BV23" s="51"/>
      <c r="BW23" s="51"/>
      <c r="BX23" s="51"/>
      <c r="BY23" s="51"/>
      <c r="BZ23" s="51"/>
      <c r="CA23" s="51"/>
      <c r="CB23" s="51"/>
      <c r="CC23" s="51"/>
      <c r="CD23" s="51"/>
      <c r="CE23" s="51"/>
      <c r="CF23" s="51"/>
      <c r="CG23" s="51"/>
      <c r="CH23" s="51"/>
      <c r="CI23" s="51"/>
      <c r="CJ23" s="51"/>
      <c r="CK23" s="51"/>
      <c r="CL23" s="51"/>
      <c r="CM23" s="51"/>
      <c r="CN23" s="51"/>
      <c r="CO23" s="51"/>
      <c r="CP23" s="51"/>
      <c r="CQ23" s="51"/>
      <c r="CR23" s="51"/>
      <c r="CS23" s="51"/>
      <c r="CT23" s="51"/>
      <c r="CU23" s="51"/>
      <c r="CV23" s="51"/>
      <c r="CW23" s="51"/>
      <c r="CX23" s="51"/>
      <c r="CY23" s="51"/>
      <c r="CZ23" s="51"/>
      <c r="DA23" s="51"/>
      <c r="DB23" s="51"/>
      <c r="DC23" s="51"/>
      <c r="DD23" s="51"/>
      <c r="DE23" s="51"/>
      <c r="DF23" s="51"/>
      <c r="DG23" s="51"/>
      <c r="DH23" s="51"/>
      <c r="DI23" s="51"/>
      <c r="DJ23" s="51"/>
      <c r="DK23" s="51"/>
      <c r="DL23" s="51"/>
      <c r="DM23" s="51"/>
      <c r="DN23" s="51"/>
      <c r="DO23" s="51"/>
      <c r="DP23" s="51"/>
      <c r="DQ23" s="51"/>
      <c r="DR23" s="51"/>
      <c r="DS23" s="51"/>
      <c r="DT23" s="51"/>
      <c r="DU23" s="51"/>
      <c r="DV23" s="51"/>
      <c r="DW23" s="51"/>
      <c r="DX23" s="51"/>
      <c r="DY23" s="51"/>
      <c r="DZ23" s="51"/>
      <c r="EA23" s="51"/>
      <c r="EB23" s="51"/>
      <c r="EC23" s="51"/>
      <c r="ED23" s="51"/>
      <c r="EE23" s="51"/>
      <c r="EF23" s="51"/>
      <c r="EG23" s="51"/>
      <c r="EH23" s="51"/>
      <c r="EI23" s="51"/>
      <c r="EJ23" s="51"/>
      <c r="EK23" s="51"/>
      <c r="EL23" s="51"/>
      <c r="EM23" s="51"/>
      <c r="EN23" s="51"/>
      <c r="EO23" s="51"/>
      <c r="EP23" s="51"/>
      <c r="EQ23" s="51"/>
      <c r="ER23" s="51"/>
      <c r="ES23" s="51"/>
      <c r="ET23" s="51"/>
      <c r="EU23" s="51"/>
      <c r="EV23" s="51"/>
      <c r="EW23" s="51"/>
      <c r="EX23" s="51"/>
      <c r="EY23" s="51"/>
      <c r="EZ23" s="51"/>
      <c r="FA23" s="51"/>
      <c r="FB23" s="51"/>
      <c r="FC23" s="51"/>
      <c r="FD23" s="51"/>
      <c r="FE23" s="51"/>
      <c r="FF23" s="51"/>
      <c r="FG23" s="51"/>
      <c r="FH23" s="51"/>
      <c r="FI23" s="51"/>
      <c r="FJ23" s="51"/>
      <c r="FK23" s="51"/>
      <c r="FL23" s="51"/>
      <c r="FM23" s="51"/>
      <c r="FN23" s="51"/>
      <c r="FO23" s="51"/>
      <c r="FP23" s="51"/>
      <c r="FQ23" s="51"/>
      <c r="FR23" s="51"/>
      <c r="FS23" s="51"/>
      <c r="FT23" s="51"/>
      <c r="FU23" s="51"/>
      <c r="FV23" s="51"/>
      <c r="FW23" s="51"/>
      <c r="FX23" s="51"/>
      <c r="FY23" s="51"/>
      <c r="FZ23" s="51"/>
      <c r="GA23" s="51"/>
      <c r="GB23" s="51"/>
      <c r="GC23" s="51"/>
      <c r="GD23" s="51"/>
      <c r="GE23" s="51"/>
      <c r="GF23" s="51"/>
      <c r="GG23" s="51"/>
      <c r="GH23" s="51"/>
      <c r="GI23" s="51"/>
      <c r="GJ23" s="51"/>
      <c r="GK23" s="51"/>
      <c r="GL23" s="51"/>
      <c r="GM23" s="51"/>
      <c r="GN23" s="51"/>
      <c r="GO23" s="51"/>
      <c r="GP23" s="51"/>
      <c r="GQ23" s="51"/>
      <c r="GR23" s="51"/>
      <c r="GS23" s="51"/>
      <c r="GT23" s="51"/>
      <c r="GU23" s="51"/>
      <c r="GV23" s="51"/>
      <c r="GW23" s="51"/>
      <c r="GX23" s="51"/>
      <c r="GY23" s="51"/>
      <c r="GZ23" s="51"/>
      <c r="HA23" s="51"/>
      <c r="HB23" s="51"/>
      <c r="HC23" s="51"/>
      <c r="HD23" s="51"/>
      <c r="HE23" s="51"/>
      <c r="HF23" s="51"/>
      <c r="HG23" s="51"/>
      <c r="HH23" s="51"/>
      <c r="HI23" s="51"/>
      <c r="HJ23" s="51"/>
      <c r="HK23" s="51"/>
      <c r="HL23" s="51"/>
      <c r="HM23" s="51"/>
      <c r="HN23" s="51"/>
      <c r="HO23" s="51"/>
      <c r="HP23" s="51"/>
      <c r="HQ23" s="51"/>
      <c r="HR23" s="51"/>
      <c r="HS23" s="51"/>
      <c r="HT23" s="51"/>
      <c r="HU23" s="51"/>
      <c r="HV23" s="51"/>
      <c r="HW23" s="51"/>
      <c r="HX23" s="51"/>
      <c r="HY23" s="51"/>
      <c r="HZ23" s="51"/>
      <c r="IA23" s="51"/>
      <c r="IB23" s="51"/>
      <c r="IC23" s="51"/>
      <c r="ID23" s="51"/>
      <c r="IE23" s="51"/>
      <c r="IF23" s="51"/>
      <c r="IG23" s="51"/>
      <c r="IH23" s="51"/>
      <c r="II23" s="51"/>
      <c r="IJ23" s="51"/>
      <c r="IK23" s="51"/>
      <c r="IL23" s="51"/>
      <c r="IM23" s="51"/>
      <c r="IN23" s="51"/>
      <c r="IO23" s="51"/>
      <c r="IP23" s="51"/>
      <c r="IQ23" s="51"/>
      <c r="IR23" s="51"/>
      <c r="IS23" s="51"/>
    </row>
    <row r="24" spans="1:253" ht="15.75" thickBot="1" x14ac:dyDescent="0.3">
      <c r="A24" s="390" t="s">
        <v>131</v>
      </c>
      <c r="B24" s="333"/>
      <c r="C24" s="340"/>
      <c r="D24" s="333"/>
      <c r="E24" s="341"/>
      <c r="F24" s="342"/>
      <c r="G24" s="333"/>
      <c r="H24" s="340"/>
      <c r="I24" s="343"/>
      <c r="J24" s="344"/>
      <c r="K24" s="333"/>
      <c r="L24" s="340"/>
      <c r="M24" s="333"/>
      <c r="N24" s="334"/>
      <c r="O24" s="333"/>
      <c r="P24" s="334"/>
      <c r="Q24" s="333"/>
      <c r="R24" s="334">
        <v>847753.71499999997</v>
      </c>
      <c r="S24" s="398">
        <v>161850.71599999999</v>
      </c>
      <c r="T24" s="340">
        <v>845545.37800000003</v>
      </c>
      <c r="U24" s="398">
        <v>68470.263000000006</v>
      </c>
      <c r="V24" s="340">
        <v>1241246.733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  <c r="BF24" s="51"/>
      <c r="BG24" s="51"/>
      <c r="BH24" s="51"/>
      <c r="BI24" s="51"/>
      <c r="BJ24" s="51"/>
      <c r="BK24" s="51"/>
      <c r="BL24" s="51"/>
      <c r="BM24" s="51"/>
      <c r="BN24" s="51"/>
      <c r="BO24" s="51"/>
      <c r="BP24" s="51"/>
      <c r="BQ24" s="51"/>
      <c r="BR24" s="51"/>
      <c r="BS24" s="51"/>
      <c r="BT24" s="51"/>
      <c r="BU24" s="51"/>
      <c r="BV24" s="51"/>
      <c r="BW24" s="51"/>
      <c r="BX24" s="51"/>
      <c r="BY24" s="51"/>
      <c r="BZ24" s="51"/>
      <c r="CA24" s="51"/>
      <c r="CB24" s="51"/>
      <c r="CC24" s="51"/>
      <c r="CD24" s="51"/>
      <c r="CE24" s="51"/>
      <c r="CF24" s="51"/>
      <c r="CG24" s="51"/>
      <c r="CH24" s="51"/>
      <c r="CI24" s="51"/>
      <c r="CJ24" s="51"/>
      <c r="CK24" s="51"/>
      <c r="CL24" s="51"/>
      <c r="CM24" s="51"/>
      <c r="CN24" s="51"/>
      <c r="CO24" s="51"/>
      <c r="CP24" s="51"/>
      <c r="CQ24" s="51"/>
      <c r="CR24" s="51"/>
      <c r="CS24" s="51"/>
      <c r="CT24" s="51"/>
      <c r="CU24" s="51"/>
      <c r="CV24" s="51"/>
      <c r="CW24" s="51"/>
      <c r="CX24" s="51"/>
      <c r="CY24" s="51"/>
      <c r="CZ24" s="51"/>
      <c r="DA24" s="51"/>
      <c r="DB24" s="51"/>
      <c r="DC24" s="51"/>
      <c r="DD24" s="51"/>
      <c r="DE24" s="51"/>
      <c r="DF24" s="51"/>
      <c r="DG24" s="51"/>
      <c r="DH24" s="51"/>
      <c r="DI24" s="51"/>
      <c r="DJ24" s="51"/>
      <c r="DK24" s="51"/>
      <c r="DL24" s="51"/>
      <c r="DM24" s="51"/>
      <c r="DN24" s="51"/>
      <c r="DO24" s="51"/>
      <c r="DP24" s="51"/>
      <c r="DQ24" s="51"/>
      <c r="DR24" s="51"/>
      <c r="DS24" s="51"/>
      <c r="DT24" s="51"/>
      <c r="DU24" s="51"/>
      <c r="DV24" s="51"/>
      <c r="DW24" s="51"/>
      <c r="DX24" s="51"/>
      <c r="DY24" s="51"/>
      <c r="DZ24" s="51"/>
      <c r="EA24" s="51"/>
      <c r="EB24" s="51"/>
      <c r="EC24" s="51"/>
      <c r="ED24" s="51"/>
      <c r="EE24" s="51"/>
      <c r="EF24" s="51"/>
      <c r="EG24" s="51"/>
      <c r="EH24" s="51"/>
      <c r="EI24" s="51"/>
      <c r="EJ24" s="51"/>
      <c r="EK24" s="51"/>
      <c r="EL24" s="51"/>
      <c r="EM24" s="51"/>
      <c r="EN24" s="51"/>
      <c r="EO24" s="51"/>
      <c r="EP24" s="51"/>
      <c r="EQ24" s="51"/>
      <c r="ER24" s="51"/>
      <c r="ES24" s="51"/>
      <c r="ET24" s="51"/>
      <c r="EU24" s="51"/>
      <c r="EV24" s="51"/>
      <c r="EW24" s="51"/>
      <c r="EX24" s="51"/>
      <c r="EY24" s="51"/>
      <c r="EZ24" s="51"/>
      <c r="FA24" s="51"/>
      <c r="FB24" s="51"/>
      <c r="FC24" s="51"/>
      <c r="FD24" s="51"/>
      <c r="FE24" s="51"/>
      <c r="FF24" s="51"/>
      <c r="FG24" s="51"/>
      <c r="FH24" s="51"/>
      <c r="FI24" s="51"/>
      <c r="FJ24" s="51"/>
      <c r="FK24" s="51"/>
      <c r="FL24" s="51"/>
      <c r="FM24" s="51"/>
      <c r="FN24" s="51"/>
      <c r="FO24" s="51"/>
      <c r="FP24" s="51"/>
      <c r="FQ24" s="51"/>
      <c r="FR24" s="51"/>
      <c r="FS24" s="51"/>
      <c r="FT24" s="51"/>
      <c r="FU24" s="51"/>
      <c r="FV24" s="51"/>
      <c r="FW24" s="51"/>
      <c r="FX24" s="51"/>
      <c r="FY24" s="51"/>
      <c r="FZ24" s="51"/>
      <c r="GA24" s="51"/>
      <c r="GB24" s="51"/>
      <c r="GC24" s="51"/>
      <c r="GD24" s="51"/>
      <c r="GE24" s="51"/>
      <c r="GF24" s="51"/>
      <c r="GG24" s="51"/>
      <c r="GH24" s="51"/>
      <c r="GI24" s="51"/>
      <c r="GJ24" s="51"/>
      <c r="GK24" s="51"/>
      <c r="GL24" s="51"/>
      <c r="GM24" s="51"/>
      <c r="GN24" s="51"/>
      <c r="GO24" s="51"/>
      <c r="GP24" s="51"/>
      <c r="GQ24" s="51"/>
      <c r="GR24" s="51"/>
      <c r="GS24" s="51"/>
      <c r="GT24" s="51"/>
      <c r="GU24" s="51"/>
      <c r="GV24" s="51"/>
      <c r="GW24" s="51"/>
      <c r="GX24" s="51"/>
      <c r="GY24" s="51"/>
      <c r="GZ24" s="51"/>
      <c r="HA24" s="51"/>
      <c r="HB24" s="51"/>
      <c r="HC24" s="51"/>
      <c r="HD24" s="51"/>
      <c r="HE24" s="51"/>
      <c r="HF24" s="51"/>
      <c r="HG24" s="51"/>
      <c r="HH24" s="51"/>
      <c r="HI24" s="51"/>
      <c r="HJ24" s="51"/>
      <c r="HK24" s="51"/>
      <c r="HL24" s="51"/>
      <c r="HM24" s="51"/>
      <c r="HN24" s="51"/>
      <c r="HO24" s="51"/>
      <c r="HP24" s="51"/>
      <c r="HQ24" s="51"/>
      <c r="HR24" s="51"/>
      <c r="HS24" s="51"/>
      <c r="HT24" s="51"/>
      <c r="HU24" s="51"/>
      <c r="HV24" s="51"/>
      <c r="HW24" s="51"/>
      <c r="HX24" s="51"/>
      <c r="HY24" s="51"/>
      <c r="HZ24" s="51"/>
      <c r="IA24" s="51"/>
      <c r="IB24" s="51"/>
      <c r="IC24" s="51"/>
      <c r="ID24" s="51"/>
      <c r="IE24" s="51"/>
      <c r="IF24" s="51"/>
      <c r="IG24" s="51"/>
      <c r="IH24" s="51"/>
      <c r="II24" s="51"/>
      <c r="IJ24" s="51"/>
      <c r="IK24" s="51"/>
      <c r="IL24" s="51"/>
      <c r="IM24" s="51"/>
      <c r="IN24" s="51"/>
      <c r="IO24" s="51"/>
      <c r="IP24" s="51"/>
      <c r="IQ24" s="51"/>
      <c r="IR24" s="51"/>
      <c r="IS24" s="51"/>
    </row>
    <row r="25" spans="1:253" ht="15" x14ac:dyDescent="0.25">
      <c r="A25" s="387" t="s">
        <v>102</v>
      </c>
      <c r="B25" s="399">
        <v>2168511</v>
      </c>
      <c r="C25" s="400">
        <v>2168511</v>
      </c>
      <c r="D25" s="399">
        <v>1681367</v>
      </c>
      <c r="E25" s="401">
        <v>1681367</v>
      </c>
      <c r="F25" s="402">
        <v>-79336</v>
      </c>
      <c r="G25" s="399">
        <v>1599705</v>
      </c>
      <c r="H25" s="400">
        <v>1599705</v>
      </c>
      <c r="I25" s="403">
        <v>1576127.4739999999</v>
      </c>
      <c r="J25" s="404">
        <v>1576127.4739999999</v>
      </c>
      <c r="K25" s="399">
        <v>1616387.608</v>
      </c>
      <c r="L25" s="400">
        <v>1616387.608</v>
      </c>
      <c r="M25" s="399">
        <v>1785065.1359999999</v>
      </c>
      <c r="N25" s="405">
        <v>1695968.142</v>
      </c>
      <c r="O25" s="399">
        <v>1899471.98</v>
      </c>
      <c r="P25" s="405">
        <f>O25</f>
        <v>1899471.98</v>
      </c>
      <c r="Q25" s="399">
        <v>2201601.5460000001</v>
      </c>
      <c r="R25" s="405">
        <v>2201601.5460000001</v>
      </c>
      <c r="S25" s="406">
        <v>2239152.9479999999</v>
      </c>
      <c r="T25" s="400">
        <v>2239152.9479999999</v>
      </c>
      <c r="U25" s="406">
        <v>2249516.5389999999</v>
      </c>
      <c r="V25" s="400">
        <f>U25</f>
        <v>2249516.5389999999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  <c r="BM25" s="51"/>
      <c r="BN25" s="51"/>
      <c r="BO25" s="51"/>
      <c r="BP25" s="51"/>
      <c r="BQ25" s="51"/>
      <c r="BR25" s="51"/>
      <c r="BS25" s="51"/>
      <c r="BT25" s="51"/>
      <c r="BU25" s="51"/>
      <c r="BV25" s="51"/>
      <c r="BW25" s="51"/>
      <c r="BX25" s="51"/>
      <c r="BY25" s="51"/>
      <c r="BZ25" s="51"/>
      <c r="CA25" s="51"/>
      <c r="CB25" s="51"/>
      <c r="CC25" s="51"/>
      <c r="CD25" s="51"/>
      <c r="CE25" s="51"/>
      <c r="CF25" s="51"/>
      <c r="CG25" s="51"/>
      <c r="CH25" s="51"/>
      <c r="CI25" s="51"/>
      <c r="CJ25" s="51"/>
      <c r="CK25" s="51"/>
      <c r="CL25" s="51"/>
      <c r="CM25" s="51"/>
      <c r="CN25" s="51"/>
      <c r="CO25" s="51"/>
      <c r="CP25" s="51"/>
      <c r="CQ25" s="51"/>
      <c r="CR25" s="51"/>
      <c r="CS25" s="51"/>
      <c r="CT25" s="51"/>
      <c r="CU25" s="51"/>
      <c r="CV25" s="51"/>
      <c r="CW25" s="51"/>
      <c r="CX25" s="51"/>
      <c r="CY25" s="51"/>
      <c r="CZ25" s="51"/>
      <c r="DA25" s="51"/>
      <c r="DB25" s="51"/>
      <c r="DC25" s="51"/>
      <c r="DD25" s="51"/>
      <c r="DE25" s="51"/>
      <c r="DF25" s="51"/>
      <c r="DG25" s="51"/>
      <c r="DH25" s="51"/>
      <c r="DI25" s="51"/>
      <c r="DJ25" s="51"/>
      <c r="DK25" s="51"/>
      <c r="DL25" s="51"/>
      <c r="DM25" s="51"/>
      <c r="DN25" s="51"/>
      <c r="DO25" s="51"/>
      <c r="DP25" s="51"/>
      <c r="DQ25" s="51"/>
      <c r="DR25" s="51"/>
      <c r="DS25" s="51"/>
      <c r="DT25" s="51"/>
      <c r="DU25" s="51"/>
      <c r="DV25" s="51"/>
      <c r="DW25" s="51"/>
      <c r="DX25" s="51"/>
      <c r="DY25" s="51"/>
      <c r="DZ25" s="51"/>
      <c r="EA25" s="51"/>
      <c r="EB25" s="51"/>
      <c r="EC25" s="51"/>
      <c r="ED25" s="51"/>
      <c r="EE25" s="51"/>
      <c r="EF25" s="51"/>
      <c r="EG25" s="51"/>
      <c r="EH25" s="51"/>
      <c r="EI25" s="51"/>
      <c r="EJ25" s="51"/>
      <c r="EK25" s="51"/>
      <c r="EL25" s="51"/>
      <c r="EM25" s="51"/>
      <c r="EN25" s="51"/>
      <c r="EO25" s="51"/>
      <c r="EP25" s="51"/>
      <c r="EQ25" s="51"/>
      <c r="ER25" s="51"/>
      <c r="ES25" s="51"/>
      <c r="ET25" s="51"/>
      <c r="EU25" s="51"/>
      <c r="EV25" s="51"/>
      <c r="EW25" s="51"/>
      <c r="EX25" s="51"/>
      <c r="EY25" s="51"/>
      <c r="EZ25" s="51"/>
      <c r="FA25" s="51"/>
      <c r="FB25" s="51"/>
      <c r="FC25" s="51"/>
      <c r="FD25" s="51"/>
      <c r="FE25" s="51"/>
      <c r="FF25" s="51"/>
      <c r="FG25" s="51"/>
      <c r="FH25" s="51"/>
      <c r="FI25" s="51"/>
      <c r="FJ25" s="51"/>
      <c r="FK25" s="51"/>
      <c r="FL25" s="51"/>
      <c r="FM25" s="51"/>
      <c r="FN25" s="51"/>
      <c r="FO25" s="51"/>
      <c r="FP25" s="51"/>
      <c r="FQ25" s="51"/>
      <c r="FR25" s="51"/>
      <c r="FS25" s="51"/>
      <c r="FT25" s="51"/>
      <c r="FU25" s="51"/>
      <c r="FV25" s="51"/>
      <c r="FW25" s="51"/>
      <c r="FX25" s="51"/>
      <c r="FY25" s="51"/>
      <c r="FZ25" s="51"/>
      <c r="GA25" s="51"/>
      <c r="GB25" s="51"/>
      <c r="GC25" s="51"/>
      <c r="GD25" s="51"/>
      <c r="GE25" s="51"/>
      <c r="GF25" s="51"/>
      <c r="GG25" s="51"/>
      <c r="GH25" s="51"/>
      <c r="GI25" s="51"/>
      <c r="GJ25" s="51"/>
      <c r="GK25" s="51"/>
      <c r="GL25" s="51"/>
      <c r="GM25" s="51"/>
      <c r="GN25" s="51"/>
      <c r="GO25" s="51"/>
      <c r="GP25" s="51"/>
      <c r="GQ25" s="51"/>
      <c r="GR25" s="51"/>
      <c r="GS25" s="51"/>
      <c r="GT25" s="51"/>
      <c r="GU25" s="51"/>
      <c r="GV25" s="51"/>
      <c r="GW25" s="51"/>
      <c r="GX25" s="51"/>
      <c r="GY25" s="51"/>
      <c r="GZ25" s="51"/>
      <c r="HA25" s="51"/>
      <c r="HB25" s="51"/>
      <c r="HC25" s="51"/>
      <c r="HD25" s="51"/>
      <c r="HE25" s="51"/>
      <c r="HF25" s="51"/>
      <c r="HG25" s="51"/>
      <c r="HH25" s="51"/>
      <c r="HI25" s="51"/>
      <c r="HJ25" s="51"/>
      <c r="HK25" s="51"/>
      <c r="HL25" s="51"/>
      <c r="HM25" s="51"/>
      <c r="HN25" s="51"/>
      <c r="HO25" s="51"/>
      <c r="HP25" s="51"/>
      <c r="HQ25" s="51"/>
      <c r="HR25" s="51"/>
      <c r="HS25" s="51"/>
      <c r="HT25" s="51"/>
      <c r="HU25" s="51"/>
      <c r="HV25" s="51"/>
      <c r="HW25" s="51"/>
      <c r="HX25" s="51"/>
      <c r="HY25" s="51"/>
      <c r="HZ25" s="51"/>
      <c r="IA25" s="51"/>
      <c r="IB25" s="51"/>
      <c r="IC25" s="51"/>
      <c r="ID25" s="51"/>
      <c r="IE25" s="51"/>
      <c r="IF25" s="51"/>
      <c r="IG25" s="51"/>
      <c r="IH25" s="51"/>
      <c r="II25" s="51"/>
      <c r="IJ25" s="51"/>
      <c r="IK25" s="51"/>
      <c r="IL25" s="51"/>
      <c r="IM25" s="51"/>
      <c r="IN25" s="51"/>
      <c r="IO25" s="51"/>
      <c r="IP25" s="51"/>
      <c r="IQ25" s="51"/>
      <c r="IR25" s="51"/>
      <c r="IS25" s="51"/>
    </row>
    <row r="26" spans="1:253" ht="15" x14ac:dyDescent="0.25">
      <c r="A26" s="218"/>
      <c r="B26" s="219"/>
      <c r="C26" s="219"/>
      <c r="D26" s="219"/>
      <c r="E26" s="219"/>
      <c r="F26" s="219"/>
      <c r="G26" s="219"/>
      <c r="H26" s="219"/>
      <c r="I26" s="220"/>
      <c r="J26" s="220"/>
      <c r="K26" s="219"/>
      <c r="L26" s="219"/>
      <c r="M26" s="219"/>
      <c r="N26" s="219"/>
      <c r="O26" s="219"/>
      <c r="P26" s="219"/>
      <c r="Q26" s="219"/>
      <c r="R26" s="219"/>
      <c r="S26" s="219"/>
      <c r="T26" s="219"/>
      <c r="U26" s="219"/>
      <c r="V26" s="219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  <c r="BF26" s="51"/>
      <c r="BG26" s="51"/>
      <c r="BH26" s="51"/>
      <c r="BI26" s="51"/>
      <c r="BJ26" s="51"/>
      <c r="BK26" s="51"/>
      <c r="BL26" s="51"/>
      <c r="BM26" s="51"/>
      <c r="BN26" s="51"/>
      <c r="BO26" s="51"/>
      <c r="BP26" s="51"/>
      <c r="BQ26" s="51"/>
      <c r="BR26" s="51"/>
      <c r="BS26" s="51"/>
      <c r="BT26" s="51"/>
      <c r="BU26" s="51"/>
      <c r="BV26" s="51"/>
      <c r="BW26" s="51"/>
      <c r="BX26" s="51"/>
      <c r="BY26" s="51"/>
      <c r="BZ26" s="51"/>
      <c r="CA26" s="51"/>
      <c r="CB26" s="51"/>
      <c r="CC26" s="51"/>
      <c r="CD26" s="51"/>
      <c r="CE26" s="51"/>
      <c r="CF26" s="51"/>
      <c r="CG26" s="51"/>
      <c r="CH26" s="51"/>
      <c r="CI26" s="51"/>
      <c r="CJ26" s="51"/>
      <c r="CK26" s="51"/>
      <c r="CL26" s="51"/>
      <c r="CM26" s="51"/>
      <c r="CN26" s="51"/>
      <c r="CO26" s="51"/>
      <c r="CP26" s="51"/>
      <c r="CQ26" s="51"/>
      <c r="CR26" s="51"/>
      <c r="CS26" s="51"/>
      <c r="CT26" s="51"/>
      <c r="CU26" s="51"/>
      <c r="CV26" s="51"/>
      <c r="CW26" s="51"/>
      <c r="CX26" s="51"/>
      <c r="CY26" s="51"/>
      <c r="CZ26" s="51"/>
      <c r="DA26" s="51"/>
      <c r="DB26" s="51"/>
      <c r="DC26" s="51"/>
      <c r="DD26" s="51"/>
      <c r="DE26" s="51"/>
      <c r="DF26" s="51"/>
      <c r="DG26" s="51"/>
      <c r="DH26" s="51"/>
      <c r="DI26" s="51"/>
      <c r="DJ26" s="51"/>
      <c r="DK26" s="51"/>
      <c r="DL26" s="51"/>
      <c r="DM26" s="51"/>
      <c r="DN26" s="51"/>
      <c r="DO26" s="51"/>
      <c r="DP26" s="51"/>
      <c r="DQ26" s="51"/>
      <c r="DR26" s="51"/>
      <c r="DS26" s="51"/>
      <c r="DT26" s="51"/>
      <c r="DU26" s="51"/>
      <c r="DV26" s="51"/>
      <c r="DW26" s="51"/>
      <c r="DX26" s="51"/>
      <c r="DY26" s="51"/>
      <c r="DZ26" s="51"/>
      <c r="EA26" s="51"/>
      <c r="EB26" s="51"/>
      <c r="EC26" s="51"/>
      <c r="ED26" s="51"/>
      <c r="EE26" s="51"/>
      <c r="EF26" s="51"/>
      <c r="EG26" s="51"/>
      <c r="EH26" s="51"/>
      <c r="EI26" s="51"/>
      <c r="EJ26" s="51"/>
      <c r="EK26" s="51"/>
      <c r="EL26" s="51"/>
      <c r="EM26" s="51"/>
      <c r="EN26" s="51"/>
      <c r="EO26" s="51"/>
      <c r="EP26" s="51"/>
      <c r="EQ26" s="51"/>
      <c r="ER26" s="51"/>
      <c r="ES26" s="51"/>
      <c r="ET26" s="51"/>
      <c r="EU26" s="51"/>
      <c r="EV26" s="51"/>
      <c r="EW26" s="51"/>
      <c r="EX26" s="51"/>
      <c r="EY26" s="51"/>
      <c r="EZ26" s="51"/>
      <c r="FA26" s="51"/>
      <c r="FB26" s="51"/>
      <c r="FC26" s="51"/>
      <c r="FD26" s="51"/>
      <c r="FE26" s="51"/>
      <c r="FF26" s="51"/>
      <c r="FG26" s="51"/>
      <c r="FH26" s="51"/>
      <c r="FI26" s="51"/>
      <c r="FJ26" s="51"/>
      <c r="FK26" s="51"/>
      <c r="FL26" s="51"/>
      <c r="FM26" s="51"/>
      <c r="FN26" s="51"/>
      <c r="FO26" s="51"/>
      <c r="FP26" s="51"/>
      <c r="FQ26" s="51"/>
      <c r="FR26" s="51"/>
      <c r="FS26" s="51"/>
      <c r="FT26" s="51"/>
      <c r="FU26" s="51"/>
      <c r="FV26" s="51"/>
      <c r="FW26" s="51"/>
      <c r="FX26" s="51"/>
      <c r="FY26" s="51"/>
      <c r="FZ26" s="51"/>
      <c r="GA26" s="51"/>
      <c r="GB26" s="51"/>
      <c r="GC26" s="51"/>
      <c r="GD26" s="51"/>
      <c r="GE26" s="51"/>
      <c r="GF26" s="51"/>
      <c r="GG26" s="51"/>
      <c r="GH26" s="51"/>
      <c r="GI26" s="51"/>
      <c r="GJ26" s="51"/>
      <c r="GK26" s="51"/>
      <c r="GL26" s="51"/>
      <c r="GM26" s="51"/>
      <c r="GN26" s="51"/>
      <c r="GO26" s="51"/>
      <c r="GP26" s="51"/>
      <c r="GQ26" s="51"/>
      <c r="GR26" s="51"/>
      <c r="GS26" s="51"/>
      <c r="GT26" s="51"/>
      <c r="GU26" s="51"/>
      <c r="GV26" s="51"/>
      <c r="GW26" s="51"/>
      <c r="GX26" s="51"/>
      <c r="GY26" s="51"/>
      <c r="GZ26" s="51"/>
      <c r="HA26" s="51"/>
      <c r="HB26" s="51"/>
      <c r="HC26" s="51"/>
      <c r="HD26" s="51"/>
      <c r="HE26" s="51"/>
      <c r="HF26" s="51"/>
      <c r="HG26" s="51"/>
      <c r="HH26" s="51"/>
      <c r="HI26" s="51"/>
      <c r="HJ26" s="51"/>
      <c r="HK26" s="51"/>
      <c r="HL26" s="51"/>
      <c r="HM26" s="51"/>
      <c r="HN26" s="51"/>
      <c r="HO26" s="51"/>
      <c r="HP26" s="51"/>
      <c r="HQ26" s="51"/>
      <c r="HR26" s="51"/>
      <c r="HS26" s="51"/>
      <c r="HT26" s="51"/>
      <c r="HU26" s="51"/>
      <c r="HV26" s="51"/>
      <c r="HW26" s="51"/>
      <c r="HX26" s="51"/>
      <c r="HY26" s="51"/>
      <c r="HZ26" s="51"/>
      <c r="IA26" s="51"/>
      <c r="IB26" s="51"/>
      <c r="IC26" s="51"/>
      <c r="ID26" s="51"/>
      <c r="IE26" s="51"/>
      <c r="IF26" s="51"/>
      <c r="IG26" s="51"/>
      <c r="IH26" s="51"/>
      <c r="II26" s="51"/>
      <c r="IJ26" s="51"/>
      <c r="IK26" s="51"/>
      <c r="IL26" s="51"/>
      <c r="IM26" s="51"/>
      <c r="IN26" s="51"/>
      <c r="IO26" s="51"/>
      <c r="IP26" s="51"/>
      <c r="IQ26" s="51"/>
      <c r="IR26" s="51"/>
      <c r="IS26" s="51"/>
    </row>
    <row r="27" spans="1:253" ht="15" x14ac:dyDescent="0.25">
      <c r="A27" s="221"/>
      <c r="B27" s="222"/>
      <c r="C27" s="222"/>
      <c r="D27" s="222"/>
      <c r="E27" s="222"/>
      <c r="F27" s="222"/>
      <c r="G27" s="222"/>
      <c r="H27" s="222"/>
      <c r="I27" s="223"/>
      <c r="J27" s="223"/>
      <c r="K27" s="222"/>
      <c r="L27" s="222"/>
      <c r="M27" s="222"/>
      <c r="N27" s="222"/>
      <c r="O27" s="222"/>
      <c r="P27" s="222"/>
      <c r="Q27" s="222"/>
      <c r="R27" s="222"/>
      <c r="S27" s="222"/>
      <c r="T27" s="222"/>
      <c r="U27" s="222"/>
      <c r="V27" s="222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  <c r="BF27" s="51"/>
      <c r="BG27" s="51"/>
      <c r="BH27" s="51"/>
      <c r="BI27" s="51"/>
      <c r="BJ27" s="51"/>
      <c r="BK27" s="51"/>
      <c r="BL27" s="51"/>
      <c r="BM27" s="51"/>
      <c r="BN27" s="51"/>
      <c r="BO27" s="51"/>
      <c r="BP27" s="51"/>
      <c r="BQ27" s="51"/>
      <c r="BR27" s="51"/>
      <c r="BS27" s="51"/>
      <c r="BT27" s="51"/>
      <c r="BU27" s="51"/>
      <c r="BV27" s="51"/>
      <c r="BW27" s="51"/>
      <c r="BX27" s="51"/>
      <c r="BY27" s="51"/>
      <c r="BZ27" s="51"/>
      <c r="CA27" s="51"/>
      <c r="CB27" s="51"/>
      <c r="CC27" s="51"/>
      <c r="CD27" s="51"/>
      <c r="CE27" s="51"/>
      <c r="CF27" s="51"/>
      <c r="CG27" s="51"/>
      <c r="CH27" s="51"/>
      <c r="CI27" s="51"/>
      <c r="CJ27" s="51"/>
      <c r="CK27" s="51"/>
      <c r="CL27" s="51"/>
      <c r="CM27" s="51"/>
      <c r="CN27" s="51"/>
      <c r="CO27" s="51"/>
      <c r="CP27" s="51"/>
      <c r="CQ27" s="51"/>
      <c r="CR27" s="51"/>
      <c r="CS27" s="51"/>
      <c r="CT27" s="51"/>
      <c r="CU27" s="51"/>
      <c r="CV27" s="51"/>
      <c r="CW27" s="51"/>
      <c r="CX27" s="51"/>
      <c r="CY27" s="51"/>
      <c r="CZ27" s="51"/>
      <c r="DA27" s="51"/>
      <c r="DB27" s="51"/>
      <c r="DC27" s="51"/>
      <c r="DD27" s="51"/>
      <c r="DE27" s="51"/>
      <c r="DF27" s="51"/>
      <c r="DG27" s="51"/>
      <c r="DH27" s="51"/>
      <c r="DI27" s="51"/>
      <c r="DJ27" s="51"/>
      <c r="DK27" s="51"/>
      <c r="DL27" s="51"/>
      <c r="DM27" s="51"/>
      <c r="DN27" s="51"/>
      <c r="DO27" s="51"/>
      <c r="DP27" s="51"/>
      <c r="DQ27" s="51"/>
      <c r="DR27" s="51"/>
      <c r="DS27" s="51"/>
      <c r="DT27" s="51"/>
      <c r="DU27" s="51"/>
      <c r="DV27" s="51"/>
      <c r="DW27" s="51"/>
      <c r="DX27" s="51"/>
      <c r="DY27" s="51"/>
      <c r="DZ27" s="51"/>
      <c r="EA27" s="51"/>
      <c r="EB27" s="51"/>
      <c r="EC27" s="51"/>
      <c r="ED27" s="51"/>
      <c r="EE27" s="51"/>
      <c r="EF27" s="51"/>
      <c r="EG27" s="51"/>
      <c r="EH27" s="51"/>
      <c r="EI27" s="51"/>
      <c r="EJ27" s="51"/>
      <c r="EK27" s="51"/>
      <c r="EL27" s="51"/>
      <c r="EM27" s="51"/>
      <c r="EN27" s="51"/>
      <c r="EO27" s="51"/>
      <c r="EP27" s="51"/>
      <c r="EQ27" s="51"/>
      <c r="ER27" s="51"/>
      <c r="ES27" s="51"/>
      <c r="ET27" s="51"/>
      <c r="EU27" s="51"/>
      <c r="EV27" s="51"/>
      <c r="EW27" s="51"/>
      <c r="EX27" s="51"/>
      <c r="EY27" s="51"/>
      <c r="EZ27" s="51"/>
      <c r="FA27" s="51"/>
      <c r="FB27" s="51"/>
      <c r="FC27" s="51"/>
      <c r="FD27" s="51"/>
      <c r="FE27" s="51"/>
      <c r="FF27" s="51"/>
      <c r="FG27" s="51"/>
      <c r="FH27" s="51"/>
      <c r="FI27" s="51"/>
      <c r="FJ27" s="51"/>
      <c r="FK27" s="51"/>
      <c r="FL27" s="51"/>
      <c r="FM27" s="51"/>
      <c r="FN27" s="51"/>
      <c r="FO27" s="51"/>
      <c r="FP27" s="51"/>
      <c r="FQ27" s="51"/>
      <c r="FR27" s="51"/>
      <c r="FS27" s="51"/>
      <c r="FT27" s="51"/>
      <c r="FU27" s="51"/>
      <c r="FV27" s="51"/>
      <c r="FW27" s="51"/>
      <c r="FX27" s="51"/>
      <c r="FY27" s="51"/>
      <c r="FZ27" s="51"/>
      <c r="GA27" s="51"/>
      <c r="GB27" s="51"/>
      <c r="GC27" s="51"/>
      <c r="GD27" s="51"/>
      <c r="GE27" s="51"/>
      <c r="GF27" s="51"/>
      <c r="GG27" s="51"/>
      <c r="GH27" s="51"/>
      <c r="GI27" s="51"/>
      <c r="GJ27" s="51"/>
      <c r="GK27" s="51"/>
      <c r="GL27" s="51"/>
      <c r="GM27" s="51"/>
      <c r="GN27" s="51"/>
      <c r="GO27" s="51"/>
      <c r="GP27" s="51"/>
      <c r="GQ27" s="51"/>
      <c r="GR27" s="51"/>
      <c r="GS27" s="51"/>
      <c r="GT27" s="51"/>
      <c r="GU27" s="51"/>
      <c r="GV27" s="51"/>
      <c r="GW27" s="51"/>
      <c r="GX27" s="51"/>
      <c r="GY27" s="51"/>
      <c r="GZ27" s="51"/>
      <c r="HA27" s="51"/>
      <c r="HB27" s="51"/>
      <c r="HC27" s="51"/>
      <c r="HD27" s="51"/>
      <c r="HE27" s="51"/>
      <c r="HF27" s="51"/>
      <c r="HG27" s="51"/>
      <c r="HH27" s="51"/>
      <c r="HI27" s="51"/>
      <c r="HJ27" s="51"/>
      <c r="HK27" s="51"/>
      <c r="HL27" s="51"/>
      <c r="HM27" s="51"/>
      <c r="HN27" s="51"/>
      <c r="HO27" s="51"/>
      <c r="HP27" s="51"/>
      <c r="HQ27" s="51"/>
      <c r="HR27" s="51"/>
      <c r="HS27" s="51"/>
      <c r="HT27" s="51"/>
      <c r="HU27" s="51"/>
      <c r="HV27" s="51"/>
      <c r="HW27" s="51"/>
      <c r="HX27" s="51"/>
      <c r="HY27" s="51"/>
      <c r="HZ27" s="51"/>
      <c r="IA27" s="51"/>
      <c r="IB27" s="51"/>
      <c r="IC27" s="51"/>
      <c r="ID27" s="51"/>
      <c r="IE27" s="51"/>
      <c r="IF27" s="51"/>
      <c r="IG27" s="51"/>
      <c r="IH27" s="51"/>
      <c r="II27" s="51"/>
      <c r="IJ27" s="51"/>
      <c r="IK27" s="51"/>
      <c r="IL27" s="51"/>
      <c r="IM27" s="51"/>
      <c r="IN27" s="51"/>
      <c r="IO27" s="51"/>
      <c r="IP27" s="51"/>
      <c r="IQ27" s="51"/>
      <c r="IR27" s="51"/>
      <c r="IS27" s="51"/>
    </row>
    <row r="28" spans="1:253" ht="15" x14ac:dyDescent="0.25">
      <c r="A28" s="221" t="s">
        <v>138</v>
      </c>
      <c r="B28" s="222"/>
      <c r="C28" s="222"/>
      <c r="D28" s="222"/>
      <c r="E28" s="222"/>
      <c r="F28" s="222"/>
      <c r="G28" s="222"/>
      <c r="H28" s="222"/>
      <c r="I28" s="223"/>
      <c r="J28" s="223"/>
      <c r="K28" s="222"/>
      <c r="L28" s="222"/>
      <c r="M28" s="222"/>
      <c r="N28" s="222"/>
      <c r="O28" s="222"/>
      <c r="P28" s="222"/>
      <c r="Q28" s="222"/>
      <c r="R28" s="222"/>
      <c r="S28" s="222"/>
      <c r="T28" s="222"/>
      <c r="U28" s="222"/>
      <c r="V28" s="222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  <c r="BF28" s="51"/>
      <c r="BG28" s="51"/>
      <c r="BH28" s="51"/>
      <c r="BI28" s="51"/>
      <c r="BJ28" s="51"/>
      <c r="BK28" s="51"/>
      <c r="BL28" s="51"/>
      <c r="BM28" s="51"/>
      <c r="BN28" s="51"/>
      <c r="BO28" s="51"/>
      <c r="BP28" s="51"/>
      <c r="BQ28" s="51"/>
      <c r="BR28" s="51"/>
      <c r="BS28" s="51"/>
      <c r="BT28" s="51"/>
      <c r="BU28" s="51"/>
      <c r="BV28" s="51"/>
      <c r="BW28" s="51"/>
      <c r="BX28" s="51"/>
      <c r="BY28" s="51"/>
      <c r="BZ28" s="51"/>
      <c r="CA28" s="51"/>
      <c r="CB28" s="51"/>
      <c r="CC28" s="51"/>
      <c r="CD28" s="51"/>
      <c r="CE28" s="51"/>
      <c r="CF28" s="51"/>
      <c r="CG28" s="51"/>
      <c r="CH28" s="51"/>
      <c r="CI28" s="51"/>
      <c r="CJ28" s="51"/>
      <c r="CK28" s="51"/>
      <c r="CL28" s="51"/>
      <c r="CM28" s="51"/>
      <c r="CN28" s="51"/>
      <c r="CO28" s="51"/>
      <c r="CP28" s="51"/>
      <c r="CQ28" s="51"/>
      <c r="CR28" s="51"/>
      <c r="CS28" s="51"/>
      <c r="CT28" s="51"/>
      <c r="CU28" s="51"/>
      <c r="CV28" s="51"/>
      <c r="CW28" s="51"/>
      <c r="CX28" s="51"/>
      <c r="CY28" s="51"/>
      <c r="CZ28" s="51"/>
      <c r="DA28" s="51"/>
      <c r="DB28" s="51"/>
      <c r="DC28" s="51"/>
      <c r="DD28" s="51"/>
      <c r="DE28" s="51"/>
      <c r="DF28" s="51"/>
      <c r="DG28" s="51"/>
      <c r="DH28" s="51"/>
      <c r="DI28" s="51"/>
      <c r="DJ28" s="51"/>
      <c r="DK28" s="51"/>
      <c r="DL28" s="51"/>
      <c r="DM28" s="51"/>
      <c r="DN28" s="51"/>
      <c r="DO28" s="51"/>
      <c r="DP28" s="51"/>
      <c r="DQ28" s="51"/>
      <c r="DR28" s="51"/>
      <c r="DS28" s="51"/>
      <c r="DT28" s="51"/>
      <c r="DU28" s="51"/>
      <c r="DV28" s="51"/>
      <c r="DW28" s="51"/>
      <c r="DX28" s="51"/>
      <c r="DY28" s="51"/>
      <c r="DZ28" s="51"/>
      <c r="EA28" s="51"/>
      <c r="EB28" s="51"/>
      <c r="EC28" s="51"/>
      <c r="ED28" s="51"/>
      <c r="EE28" s="51"/>
      <c r="EF28" s="51"/>
      <c r="EG28" s="51"/>
      <c r="EH28" s="51"/>
      <c r="EI28" s="51"/>
      <c r="EJ28" s="51"/>
      <c r="EK28" s="51"/>
      <c r="EL28" s="51"/>
      <c r="EM28" s="51"/>
      <c r="EN28" s="51"/>
      <c r="EO28" s="51"/>
      <c r="EP28" s="51"/>
      <c r="EQ28" s="51"/>
      <c r="ER28" s="51"/>
      <c r="ES28" s="51"/>
      <c r="ET28" s="51"/>
      <c r="EU28" s="51"/>
      <c r="EV28" s="51"/>
      <c r="EW28" s="51"/>
      <c r="EX28" s="51"/>
      <c r="EY28" s="51"/>
      <c r="EZ28" s="51"/>
      <c r="FA28" s="51"/>
      <c r="FB28" s="51"/>
      <c r="FC28" s="51"/>
      <c r="FD28" s="51"/>
      <c r="FE28" s="51"/>
      <c r="FF28" s="51"/>
      <c r="FG28" s="51"/>
      <c r="FH28" s="51"/>
      <c r="FI28" s="51"/>
      <c r="FJ28" s="51"/>
      <c r="FK28" s="51"/>
      <c r="FL28" s="51"/>
      <c r="FM28" s="51"/>
      <c r="FN28" s="51"/>
      <c r="FO28" s="51"/>
      <c r="FP28" s="51"/>
      <c r="FQ28" s="51"/>
      <c r="FR28" s="51"/>
      <c r="FS28" s="51"/>
      <c r="FT28" s="51"/>
      <c r="FU28" s="51"/>
      <c r="FV28" s="51"/>
      <c r="FW28" s="51"/>
      <c r="FX28" s="51"/>
      <c r="FY28" s="51"/>
      <c r="FZ28" s="51"/>
      <c r="GA28" s="51"/>
      <c r="GB28" s="51"/>
      <c r="GC28" s="51"/>
      <c r="GD28" s="51"/>
      <c r="GE28" s="51"/>
      <c r="GF28" s="51"/>
      <c r="GG28" s="51"/>
      <c r="GH28" s="51"/>
      <c r="GI28" s="51"/>
      <c r="GJ28" s="51"/>
      <c r="GK28" s="51"/>
      <c r="GL28" s="51"/>
      <c r="GM28" s="51"/>
      <c r="GN28" s="51"/>
      <c r="GO28" s="51"/>
      <c r="GP28" s="51"/>
      <c r="GQ28" s="51"/>
      <c r="GR28" s="51"/>
      <c r="GS28" s="51"/>
      <c r="GT28" s="51"/>
      <c r="GU28" s="51"/>
      <c r="GV28" s="51"/>
      <c r="GW28" s="51"/>
      <c r="GX28" s="51"/>
      <c r="GY28" s="51"/>
      <c r="GZ28" s="51"/>
      <c r="HA28" s="51"/>
      <c r="HB28" s="51"/>
      <c r="HC28" s="51"/>
      <c r="HD28" s="51"/>
      <c r="HE28" s="51"/>
      <c r="HF28" s="51"/>
      <c r="HG28" s="51"/>
      <c r="HH28" s="51"/>
      <c r="HI28" s="51"/>
      <c r="HJ28" s="51"/>
      <c r="HK28" s="51"/>
      <c r="HL28" s="51"/>
      <c r="HM28" s="51"/>
      <c r="HN28" s="51"/>
      <c r="HO28" s="51"/>
      <c r="HP28" s="51"/>
      <c r="HQ28" s="51"/>
      <c r="HR28" s="51"/>
      <c r="HS28" s="51"/>
      <c r="HT28" s="51"/>
      <c r="HU28" s="51"/>
      <c r="HV28" s="51"/>
      <c r="HW28" s="51"/>
      <c r="HX28" s="51"/>
      <c r="HY28" s="51"/>
      <c r="HZ28" s="51"/>
      <c r="IA28" s="51"/>
      <c r="IB28" s="51"/>
      <c r="IC28" s="51"/>
      <c r="ID28" s="51"/>
      <c r="IE28" s="51"/>
      <c r="IF28" s="51"/>
      <c r="IG28" s="51"/>
      <c r="IH28" s="51"/>
      <c r="II28" s="51"/>
      <c r="IJ28" s="51"/>
      <c r="IK28" s="51"/>
      <c r="IL28" s="51"/>
      <c r="IM28" s="51"/>
      <c r="IN28" s="51"/>
      <c r="IO28" s="51"/>
      <c r="IP28" s="51"/>
      <c r="IQ28" s="51"/>
      <c r="IR28" s="51"/>
      <c r="IS28" s="51"/>
    </row>
    <row r="29" spans="1:253" ht="15" x14ac:dyDescent="0.25">
      <c r="A29" s="407" t="s">
        <v>139</v>
      </c>
      <c r="B29" s="408">
        <v>80506242</v>
      </c>
      <c r="C29" s="409">
        <v>80506242</v>
      </c>
      <c r="D29" s="408">
        <v>83234084</v>
      </c>
      <c r="E29" s="409">
        <v>83234084</v>
      </c>
      <c r="F29" s="410">
        <v>-1749782</v>
      </c>
      <c r="G29" s="408">
        <v>83010616</v>
      </c>
      <c r="H29" s="409">
        <v>83010616</v>
      </c>
      <c r="I29" s="411">
        <v>84444774.015000001</v>
      </c>
      <c r="J29" s="412">
        <v>84444774.015000001</v>
      </c>
      <c r="K29" s="408">
        <v>88064806</v>
      </c>
      <c r="L29" s="409">
        <v>88064806</v>
      </c>
      <c r="M29" s="408">
        <v>92590963.219999999</v>
      </c>
      <c r="N29" s="413">
        <v>92590963.219999999</v>
      </c>
      <c r="O29" s="408">
        <v>101127107.358</v>
      </c>
      <c r="P29" s="414">
        <f>O29</f>
        <v>101127107.358</v>
      </c>
      <c r="Q29" s="408">
        <f>Q30+Q32+Q33+Q34+Q35</f>
        <v>117801904.71600001</v>
      </c>
      <c r="R29" s="414">
        <v>117171844.71600001</v>
      </c>
      <c r="S29" s="408">
        <f>S30+S32+S33+S34+S35</f>
        <v>140607789.71799999</v>
      </c>
      <c r="T29" s="409">
        <v>140607789.71799999</v>
      </c>
      <c r="U29" s="408">
        <f>U30+U32+U33+U34+U35</f>
        <v>158086832.21299997</v>
      </c>
      <c r="V29" s="409">
        <f>U29</f>
        <v>158086832.21299997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1"/>
      <c r="BM29" s="51"/>
      <c r="BN29" s="51"/>
      <c r="BO29" s="51"/>
      <c r="BP29" s="51"/>
      <c r="BQ29" s="51"/>
      <c r="BR29" s="51"/>
      <c r="BS29" s="51"/>
      <c r="BT29" s="51"/>
      <c r="BU29" s="51"/>
      <c r="BV29" s="51"/>
      <c r="BW29" s="51"/>
      <c r="BX29" s="51"/>
      <c r="BY29" s="51"/>
      <c r="BZ29" s="51"/>
      <c r="CA29" s="51"/>
      <c r="CB29" s="51"/>
      <c r="CC29" s="51"/>
      <c r="CD29" s="51"/>
      <c r="CE29" s="51"/>
      <c r="CF29" s="51"/>
      <c r="CG29" s="51"/>
      <c r="CH29" s="51"/>
      <c r="CI29" s="51"/>
      <c r="CJ29" s="51"/>
      <c r="CK29" s="51"/>
      <c r="CL29" s="51"/>
      <c r="CM29" s="51"/>
      <c r="CN29" s="51"/>
      <c r="CO29" s="51"/>
      <c r="CP29" s="51"/>
      <c r="CQ29" s="51"/>
      <c r="CR29" s="51"/>
      <c r="CS29" s="51"/>
      <c r="CT29" s="51"/>
      <c r="CU29" s="51"/>
      <c r="CV29" s="51"/>
      <c r="CW29" s="51"/>
      <c r="CX29" s="51"/>
      <c r="CY29" s="51"/>
      <c r="CZ29" s="51"/>
      <c r="DA29" s="51"/>
      <c r="DB29" s="51"/>
      <c r="DC29" s="51"/>
      <c r="DD29" s="51"/>
      <c r="DE29" s="51"/>
      <c r="DF29" s="51"/>
      <c r="DG29" s="51"/>
      <c r="DH29" s="51"/>
      <c r="DI29" s="51"/>
      <c r="DJ29" s="51"/>
      <c r="DK29" s="51"/>
      <c r="DL29" s="51"/>
      <c r="DM29" s="51"/>
      <c r="DN29" s="51"/>
      <c r="DO29" s="51"/>
      <c r="DP29" s="51"/>
      <c r="DQ29" s="51"/>
      <c r="DR29" s="51"/>
      <c r="DS29" s="51"/>
      <c r="DT29" s="51"/>
      <c r="DU29" s="51"/>
      <c r="DV29" s="51"/>
      <c r="DW29" s="51"/>
      <c r="DX29" s="51"/>
      <c r="DY29" s="51"/>
      <c r="DZ29" s="51"/>
      <c r="EA29" s="51"/>
      <c r="EB29" s="51"/>
      <c r="EC29" s="51"/>
      <c r="ED29" s="51"/>
      <c r="EE29" s="51"/>
      <c r="EF29" s="51"/>
      <c r="EG29" s="51"/>
      <c r="EH29" s="51"/>
      <c r="EI29" s="51"/>
      <c r="EJ29" s="51"/>
      <c r="EK29" s="51"/>
      <c r="EL29" s="51"/>
      <c r="EM29" s="51"/>
      <c r="EN29" s="51"/>
      <c r="EO29" s="51"/>
      <c r="EP29" s="51"/>
      <c r="EQ29" s="51"/>
      <c r="ER29" s="51"/>
      <c r="ES29" s="51"/>
      <c r="ET29" s="51"/>
      <c r="EU29" s="51"/>
      <c r="EV29" s="51"/>
      <c r="EW29" s="51"/>
      <c r="EX29" s="51"/>
      <c r="EY29" s="51"/>
      <c r="EZ29" s="51"/>
      <c r="FA29" s="51"/>
      <c r="FB29" s="51"/>
      <c r="FC29" s="51"/>
      <c r="FD29" s="51"/>
      <c r="FE29" s="51"/>
      <c r="FF29" s="51"/>
      <c r="FG29" s="51"/>
      <c r="FH29" s="51"/>
      <c r="FI29" s="51"/>
      <c r="FJ29" s="51"/>
      <c r="FK29" s="51"/>
      <c r="FL29" s="51"/>
      <c r="FM29" s="51"/>
      <c r="FN29" s="51"/>
      <c r="FO29" s="51"/>
      <c r="FP29" s="51"/>
      <c r="FQ29" s="51"/>
      <c r="FR29" s="51"/>
      <c r="FS29" s="51"/>
      <c r="FT29" s="51"/>
      <c r="FU29" s="51"/>
      <c r="FV29" s="51"/>
      <c r="FW29" s="51"/>
      <c r="FX29" s="51"/>
      <c r="FY29" s="51"/>
      <c r="FZ29" s="51"/>
      <c r="GA29" s="51"/>
      <c r="GB29" s="51"/>
      <c r="GC29" s="51"/>
      <c r="GD29" s="51"/>
      <c r="GE29" s="51"/>
      <c r="GF29" s="51"/>
      <c r="GG29" s="51"/>
      <c r="GH29" s="51"/>
      <c r="GI29" s="51"/>
      <c r="GJ29" s="51"/>
      <c r="GK29" s="51"/>
      <c r="GL29" s="51"/>
      <c r="GM29" s="51"/>
      <c r="GN29" s="51"/>
      <c r="GO29" s="51"/>
      <c r="GP29" s="51"/>
      <c r="GQ29" s="51"/>
      <c r="GR29" s="51"/>
      <c r="GS29" s="51"/>
      <c r="GT29" s="51"/>
      <c r="GU29" s="51"/>
      <c r="GV29" s="51"/>
      <c r="GW29" s="51"/>
      <c r="GX29" s="51"/>
      <c r="GY29" s="51"/>
      <c r="GZ29" s="51"/>
      <c r="HA29" s="51"/>
      <c r="HB29" s="51"/>
      <c r="HC29" s="51"/>
      <c r="HD29" s="51"/>
      <c r="HE29" s="51"/>
      <c r="HF29" s="51"/>
      <c r="HG29" s="51"/>
      <c r="HH29" s="51"/>
      <c r="HI29" s="51"/>
      <c r="HJ29" s="51"/>
      <c r="HK29" s="51"/>
      <c r="HL29" s="51"/>
      <c r="HM29" s="51"/>
      <c r="HN29" s="51"/>
      <c r="HO29" s="51"/>
      <c r="HP29" s="51"/>
      <c r="HQ29" s="51"/>
      <c r="HR29" s="51"/>
      <c r="HS29" s="51"/>
      <c r="HT29" s="51"/>
      <c r="HU29" s="51"/>
      <c r="HV29" s="51"/>
      <c r="HW29" s="51"/>
      <c r="HX29" s="51"/>
      <c r="HY29" s="51"/>
      <c r="HZ29" s="51"/>
      <c r="IA29" s="51"/>
      <c r="IB29" s="51"/>
      <c r="IC29" s="51"/>
      <c r="ID29" s="51"/>
      <c r="IE29" s="51"/>
      <c r="IF29" s="51"/>
      <c r="IG29" s="51"/>
      <c r="IH29" s="51"/>
      <c r="II29" s="51"/>
      <c r="IJ29" s="51"/>
      <c r="IK29" s="51"/>
      <c r="IL29" s="51"/>
      <c r="IM29" s="51"/>
      <c r="IN29" s="51"/>
      <c r="IO29" s="51"/>
      <c r="IP29" s="51"/>
      <c r="IQ29" s="51"/>
      <c r="IR29" s="51"/>
      <c r="IS29" s="51"/>
    </row>
    <row r="30" spans="1:253" ht="15" x14ac:dyDescent="0.25">
      <c r="A30" s="393" t="s">
        <v>132</v>
      </c>
      <c r="B30" s="214">
        <v>59865045</v>
      </c>
      <c r="C30" s="217">
        <v>59865045</v>
      </c>
      <c r="D30" s="214">
        <v>62941681</v>
      </c>
      <c r="E30" s="217">
        <v>62941681</v>
      </c>
      <c r="F30" s="224">
        <v>-1344674</v>
      </c>
      <c r="G30" s="214">
        <v>62206507</v>
      </c>
      <c r="H30" s="217">
        <v>62206507</v>
      </c>
      <c r="I30" s="647">
        <v>77671041.015000001</v>
      </c>
      <c r="J30" s="649">
        <v>77671041.015000001</v>
      </c>
      <c r="K30" s="657">
        <v>80530619.341999993</v>
      </c>
      <c r="L30" s="659">
        <v>80530619.341999993</v>
      </c>
      <c r="M30" s="633">
        <v>84833135.722000003</v>
      </c>
      <c r="N30" s="661">
        <v>84833135.722000003</v>
      </c>
      <c r="O30" s="633">
        <v>92304543.390999988</v>
      </c>
      <c r="P30" s="635">
        <f t="shared" ref="P30:P40" si="1">O30</f>
        <v>92304543.390999988</v>
      </c>
      <c r="Q30" s="633">
        <f>110303142.068-2153517.639</f>
        <v>108149624.42900001</v>
      </c>
      <c r="R30" s="635">
        <v>108149624.42900001</v>
      </c>
      <c r="S30" s="633">
        <v>130330406.088</v>
      </c>
      <c r="T30" s="663">
        <v>130330406.088</v>
      </c>
      <c r="U30" s="633">
        <v>146184137.12599999</v>
      </c>
      <c r="V30" s="663">
        <f>U30</f>
        <v>146184137.12599999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1"/>
      <c r="BM30" s="51"/>
      <c r="BN30" s="51"/>
      <c r="BO30" s="51"/>
      <c r="BP30" s="51"/>
      <c r="BQ30" s="51"/>
      <c r="BR30" s="51"/>
      <c r="BS30" s="51"/>
      <c r="BT30" s="51"/>
      <c r="BU30" s="51"/>
      <c r="BV30" s="51"/>
      <c r="BW30" s="51"/>
      <c r="BX30" s="51"/>
      <c r="BY30" s="51"/>
      <c r="BZ30" s="51"/>
      <c r="CA30" s="51"/>
      <c r="CB30" s="51"/>
      <c r="CC30" s="51"/>
      <c r="CD30" s="51"/>
      <c r="CE30" s="51"/>
      <c r="CF30" s="51"/>
      <c r="CG30" s="51"/>
      <c r="CH30" s="51"/>
      <c r="CI30" s="51"/>
      <c r="CJ30" s="51"/>
      <c r="CK30" s="51"/>
      <c r="CL30" s="51"/>
      <c r="CM30" s="51"/>
      <c r="CN30" s="51"/>
      <c r="CO30" s="51"/>
      <c r="CP30" s="51"/>
      <c r="CQ30" s="51"/>
      <c r="CR30" s="51"/>
      <c r="CS30" s="51"/>
      <c r="CT30" s="51"/>
      <c r="CU30" s="51"/>
      <c r="CV30" s="51"/>
      <c r="CW30" s="51"/>
      <c r="CX30" s="51"/>
      <c r="CY30" s="51"/>
      <c r="CZ30" s="51"/>
      <c r="DA30" s="51"/>
      <c r="DB30" s="51"/>
      <c r="DC30" s="51"/>
      <c r="DD30" s="51"/>
      <c r="DE30" s="51"/>
      <c r="DF30" s="51"/>
      <c r="DG30" s="51"/>
      <c r="DH30" s="51"/>
      <c r="DI30" s="51"/>
      <c r="DJ30" s="51"/>
      <c r="DK30" s="51"/>
      <c r="DL30" s="51"/>
      <c r="DM30" s="51"/>
      <c r="DN30" s="51"/>
      <c r="DO30" s="51"/>
      <c r="DP30" s="51"/>
      <c r="DQ30" s="51"/>
      <c r="DR30" s="51"/>
      <c r="DS30" s="51"/>
      <c r="DT30" s="51"/>
      <c r="DU30" s="51"/>
      <c r="DV30" s="51"/>
      <c r="DW30" s="51"/>
      <c r="DX30" s="51"/>
      <c r="DY30" s="51"/>
      <c r="DZ30" s="51"/>
      <c r="EA30" s="51"/>
      <c r="EB30" s="51"/>
      <c r="EC30" s="51"/>
      <c r="ED30" s="51"/>
      <c r="EE30" s="51"/>
      <c r="EF30" s="51"/>
      <c r="EG30" s="51"/>
      <c r="EH30" s="51"/>
      <c r="EI30" s="51"/>
      <c r="EJ30" s="51"/>
      <c r="EK30" s="51"/>
      <c r="EL30" s="51"/>
      <c r="EM30" s="51"/>
      <c r="EN30" s="51"/>
      <c r="EO30" s="51"/>
      <c r="EP30" s="51"/>
      <c r="EQ30" s="51"/>
      <c r="ER30" s="51"/>
      <c r="ES30" s="51"/>
      <c r="ET30" s="51"/>
      <c r="EU30" s="51"/>
      <c r="EV30" s="51"/>
      <c r="EW30" s="51"/>
      <c r="EX30" s="51"/>
      <c r="EY30" s="51"/>
      <c r="EZ30" s="51"/>
      <c r="FA30" s="51"/>
      <c r="FB30" s="51"/>
      <c r="FC30" s="51"/>
      <c r="FD30" s="51"/>
      <c r="FE30" s="51"/>
      <c r="FF30" s="51"/>
      <c r="FG30" s="51"/>
      <c r="FH30" s="51"/>
      <c r="FI30" s="51"/>
      <c r="FJ30" s="51"/>
      <c r="FK30" s="51"/>
      <c r="FL30" s="51"/>
      <c r="FM30" s="51"/>
      <c r="FN30" s="51"/>
      <c r="FO30" s="51"/>
      <c r="FP30" s="51"/>
      <c r="FQ30" s="51"/>
      <c r="FR30" s="51"/>
      <c r="FS30" s="51"/>
      <c r="FT30" s="51"/>
      <c r="FU30" s="51"/>
      <c r="FV30" s="51"/>
      <c r="FW30" s="51"/>
      <c r="FX30" s="51"/>
      <c r="FY30" s="51"/>
      <c r="FZ30" s="51"/>
      <c r="GA30" s="51"/>
      <c r="GB30" s="51"/>
      <c r="GC30" s="51"/>
      <c r="GD30" s="51"/>
      <c r="GE30" s="51"/>
      <c r="GF30" s="51"/>
      <c r="GG30" s="51"/>
      <c r="GH30" s="51"/>
      <c r="GI30" s="51"/>
      <c r="GJ30" s="51"/>
      <c r="GK30" s="51"/>
      <c r="GL30" s="51"/>
      <c r="GM30" s="51"/>
      <c r="GN30" s="51"/>
      <c r="GO30" s="51"/>
      <c r="GP30" s="51"/>
      <c r="GQ30" s="51"/>
      <c r="GR30" s="51"/>
      <c r="GS30" s="51"/>
      <c r="GT30" s="51"/>
      <c r="GU30" s="51"/>
      <c r="GV30" s="51"/>
      <c r="GW30" s="51"/>
      <c r="GX30" s="51"/>
      <c r="GY30" s="51"/>
      <c r="GZ30" s="51"/>
      <c r="HA30" s="51"/>
      <c r="HB30" s="51"/>
      <c r="HC30" s="51"/>
      <c r="HD30" s="51"/>
      <c r="HE30" s="51"/>
      <c r="HF30" s="51"/>
      <c r="HG30" s="51"/>
      <c r="HH30" s="51"/>
      <c r="HI30" s="51"/>
      <c r="HJ30" s="51"/>
      <c r="HK30" s="51"/>
      <c r="HL30" s="51"/>
      <c r="HM30" s="51"/>
      <c r="HN30" s="51"/>
      <c r="HO30" s="51"/>
      <c r="HP30" s="51"/>
      <c r="HQ30" s="51"/>
      <c r="HR30" s="51"/>
      <c r="HS30" s="51"/>
      <c r="HT30" s="51"/>
      <c r="HU30" s="51"/>
      <c r="HV30" s="51"/>
      <c r="HW30" s="51"/>
      <c r="HX30" s="51"/>
      <c r="HY30" s="51"/>
      <c r="HZ30" s="51"/>
      <c r="IA30" s="51"/>
      <c r="IB30" s="51"/>
      <c r="IC30" s="51"/>
      <c r="ID30" s="51"/>
      <c r="IE30" s="51"/>
      <c r="IF30" s="51"/>
      <c r="IG30" s="51"/>
      <c r="IH30" s="51"/>
      <c r="II30" s="51"/>
      <c r="IJ30" s="51"/>
      <c r="IK30" s="51"/>
      <c r="IL30" s="51"/>
      <c r="IM30" s="51"/>
      <c r="IN30" s="51"/>
      <c r="IO30" s="51"/>
      <c r="IP30" s="51"/>
      <c r="IQ30" s="51"/>
      <c r="IR30" s="51"/>
      <c r="IS30" s="51"/>
    </row>
    <row r="31" spans="1:253" ht="15" x14ac:dyDescent="0.25">
      <c r="A31" s="394" t="s">
        <v>133</v>
      </c>
      <c r="B31" s="451">
        <v>14593302</v>
      </c>
      <c r="C31" s="453">
        <v>14593302</v>
      </c>
      <c r="D31" s="451">
        <v>14421465</v>
      </c>
      <c r="E31" s="453">
        <v>14421465</v>
      </c>
      <c r="F31" s="225">
        <v>-309509</v>
      </c>
      <c r="G31" s="451">
        <v>14111956</v>
      </c>
      <c r="H31" s="453">
        <v>14111956</v>
      </c>
      <c r="I31" s="648"/>
      <c r="J31" s="650"/>
      <c r="K31" s="658"/>
      <c r="L31" s="660">
        <v>0</v>
      </c>
      <c r="M31" s="634"/>
      <c r="N31" s="662"/>
      <c r="O31" s="634"/>
      <c r="P31" s="636">
        <f t="shared" si="1"/>
        <v>0</v>
      </c>
      <c r="Q31" s="634"/>
      <c r="R31" s="636">
        <v>0</v>
      </c>
      <c r="S31" s="634"/>
      <c r="T31" s="664"/>
      <c r="U31" s="634"/>
      <c r="V31" s="664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  <c r="BF31" s="51"/>
      <c r="BG31" s="51"/>
      <c r="BH31" s="51"/>
      <c r="BI31" s="51"/>
      <c r="BJ31" s="51"/>
      <c r="BK31" s="51"/>
      <c r="BL31" s="51"/>
      <c r="BM31" s="51"/>
      <c r="BN31" s="51"/>
      <c r="BO31" s="51"/>
      <c r="BP31" s="51"/>
      <c r="BQ31" s="51"/>
      <c r="BR31" s="51"/>
      <c r="BS31" s="51"/>
      <c r="BT31" s="51"/>
      <c r="BU31" s="51"/>
      <c r="BV31" s="51"/>
      <c r="BW31" s="51"/>
      <c r="BX31" s="51"/>
      <c r="BY31" s="51"/>
      <c r="BZ31" s="51"/>
      <c r="CA31" s="51"/>
      <c r="CB31" s="51"/>
      <c r="CC31" s="51"/>
      <c r="CD31" s="51"/>
      <c r="CE31" s="51"/>
      <c r="CF31" s="51"/>
      <c r="CG31" s="51"/>
      <c r="CH31" s="51"/>
      <c r="CI31" s="51"/>
      <c r="CJ31" s="51"/>
      <c r="CK31" s="51"/>
      <c r="CL31" s="51"/>
      <c r="CM31" s="51"/>
      <c r="CN31" s="51"/>
      <c r="CO31" s="51"/>
      <c r="CP31" s="51"/>
      <c r="CQ31" s="51"/>
      <c r="CR31" s="51"/>
      <c r="CS31" s="51"/>
      <c r="CT31" s="51"/>
      <c r="CU31" s="51"/>
      <c r="CV31" s="51"/>
      <c r="CW31" s="51"/>
      <c r="CX31" s="51"/>
      <c r="CY31" s="51"/>
      <c r="CZ31" s="51"/>
      <c r="DA31" s="51"/>
      <c r="DB31" s="51"/>
      <c r="DC31" s="51"/>
      <c r="DD31" s="51"/>
      <c r="DE31" s="51"/>
      <c r="DF31" s="51"/>
      <c r="DG31" s="51"/>
      <c r="DH31" s="51"/>
      <c r="DI31" s="51"/>
      <c r="DJ31" s="51"/>
      <c r="DK31" s="51"/>
      <c r="DL31" s="51"/>
      <c r="DM31" s="51"/>
      <c r="DN31" s="51"/>
      <c r="DO31" s="51"/>
      <c r="DP31" s="51"/>
      <c r="DQ31" s="51"/>
      <c r="DR31" s="51"/>
      <c r="DS31" s="51"/>
      <c r="DT31" s="51"/>
      <c r="DU31" s="51"/>
      <c r="DV31" s="51"/>
      <c r="DW31" s="51"/>
      <c r="DX31" s="51"/>
      <c r="DY31" s="51"/>
      <c r="DZ31" s="51"/>
      <c r="EA31" s="51"/>
      <c r="EB31" s="51"/>
      <c r="EC31" s="51"/>
      <c r="ED31" s="51"/>
      <c r="EE31" s="51"/>
      <c r="EF31" s="51"/>
      <c r="EG31" s="51"/>
      <c r="EH31" s="51"/>
      <c r="EI31" s="51"/>
      <c r="EJ31" s="51"/>
      <c r="EK31" s="51"/>
      <c r="EL31" s="51"/>
      <c r="EM31" s="51"/>
      <c r="EN31" s="51"/>
      <c r="EO31" s="51"/>
      <c r="EP31" s="51"/>
      <c r="EQ31" s="51"/>
      <c r="ER31" s="51"/>
      <c r="ES31" s="51"/>
      <c r="ET31" s="51"/>
      <c r="EU31" s="51"/>
      <c r="EV31" s="51"/>
      <c r="EW31" s="51"/>
      <c r="EX31" s="51"/>
      <c r="EY31" s="51"/>
      <c r="EZ31" s="51"/>
      <c r="FA31" s="51"/>
      <c r="FB31" s="51"/>
      <c r="FC31" s="51"/>
      <c r="FD31" s="51"/>
      <c r="FE31" s="51"/>
      <c r="FF31" s="51"/>
      <c r="FG31" s="51"/>
      <c r="FH31" s="51"/>
      <c r="FI31" s="51"/>
      <c r="FJ31" s="51"/>
      <c r="FK31" s="51"/>
      <c r="FL31" s="51"/>
      <c r="FM31" s="51"/>
      <c r="FN31" s="51"/>
      <c r="FO31" s="51"/>
      <c r="FP31" s="51"/>
      <c r="FQ31" s="51"/>
      <c r="FR31" s="51"/>
      <c r="FS31" s="51"/>
      <c r="FT31" s="51"/>
      <c r="FU31" s="51"/>
      <c r="FV31" s="51"/>
      <c r="FW31" s="51"/>
      <c r="FX31" s="51"/>
      <c r="FY31" s="51"/>
      <c r="FZ31" s="51"/>
      <c r="GA31" s="51"/>
      <c r="GB31" s="51"/>
      <c r="GC31" s="51"/>
      <c r="GD31" s="51"/>
      <c r="GE31" s="51"/>
      <c r="GF31" s="51"/>
      <c r="GG31" s="51"/>
      <c r="GH31" s="51"/>
      <c r="GI31" s="51"/>
      <c r="GJ31" s="51"/>
      <c r="GK31" s="51"/>
      <c r="GL31" s="51"/>
      <c r="GM31" s="51"/>
      <c r="GN31" s="51"/>
      <c r="GO31" s="51"/>
      <c r="GP31" s="51"/>
      <c r="GQ31" s="51"/>
      <c r="GR31" s="51"/>
      <c r="GS31" s="51"/>
      <c r="GT31" s="51"/>
      <c r="GU31" s="51"/>
      <c r="GV31" s="51"/>
      <c r="GW31" s="51"/>
      <c r="GX31" s="51"/>
      <c r="GY31" s="51"/>
      <c r="GZ31" s="51"/>
      <c r="HA31" s="51"/>
      <c r="HB31" s="51"/>
      <c r="HC31" s="51"/>
      <c r="HD31" s="51"/>
      <c r="HE31" s="51"/>
      <c r="HF31" s="51"/>
      <c r="HG31" s="51"/>
      <c r="HH31" s="51"/>
      <c r="HI31" s="51"/>
      <c r="HJ31" s="51"/>
      <c r="HK31" s="51"/>
      <c r="HL31" s="51"/>
      <c r="HM31" s="51"/>
      <c r="HN31" s="51"/>
      <c r="HO31" s="51"/>
      <c r="HP31" s="51"/>
      <c r="HQ31" s="51"/>
      <c r="HR31" s="51"/>
      <c r="HS31" s="51"/>
      <c r="HT31" s="51"/>
      <c r="HU31" s="51"/>
      <c r="HV31" s="51"/>
      <c r="HW31" s="51"/>
      <c r="HX31" s="51"/>
      <c r="HY31" s="51"/>
      <c r="HZ31" s="51"/>
      <c r="IA31" s="51"/>
      <c r="IB31" s="51"/>
      <c r="IC31" s="51"/>
      <c r="ID31" s="51"/>
      <c r="IE31" s="51"/>
      <c r="IF31" s="51"/>
      <c r="IG31" s="51"/>
      <c r="IH31" s="51"/>
      <c r="II31" s="51"/>
      <c r="IJ31" s="51"/>
      <c r="IK31" s="51"/>
      <c r="IL31" s="51"/>
      <c r="IM31" s="51"/>
      <c r="IN31" s="51"/>
      <c r="IO31" s="51"/>
      <c r="IP31" s="51"/>
      <c r="IQ31" s="51"/>
      <c r="IR31" s="51"/>
      <c r="IS31" s="51"/>
    </row>
    <row r="32" spans="1:253" ht="15" x14ac:dyDescent="0.25">
      <c r="A32" s="389" t="s">
        <v>378</v>
      </c>
      <c r="B32" s="451">
        <v>1110409</v>
      </c>
      <c r="C32" s="453">
        <v>1110409</v>
      </c>
      <c r="D32" s="451">
        <v>696729</v>
      </c>
      <c r="E32" s="453">
        <v>696729</v>
      </c>
      <c r="F32" s="225">
        <v>0</v>
      </c>
      <c r="G32" s="451">
        <v>1563543</v>
      </c>
      <c r="H32" s="453">
        <v>1563543</v>
      </c>
      <c r="I32" s="454">
        <v>1553543</v>
      </c>
      <c r="J32" s="455">
        <v>1553543</v>
      </c>
      <c r="K32" s="451">
        <v>1670223</v>
      </c>
      <c r="L32" s="453">
        <v>1670223</v>
      </c>
      <c r="M32" s="445">
        <v>1687111.429</v>
      </c>
      <c r="N32" s="450">
        <f>M32</f>
        <v>1687111.429</v>
      </c>
      <c r="O32" s="445">
        <f>1971589.993+60</f>
        <v>1971649.993</v>
      </c>
      <c r="P32" s="448">
        <f t="shared" si="1"/>
        <v>1971649.993</v>
      </c>
      <c r="Q32" s="445">
        <v>2153577.639</v>
      </c>
      <c r="R32" s="448">
        <v>2153577.639</v>
      </c>
      <c r="S32" s="445">
        <v>2023680.9820000001</v>
      </c>
      <c r="T32" s="446">
        <v>2023680.9820000001</v>
      </c>
      <c r="U32" s="445">
        <v>2219159.4539999999</v>
      </c>
      <c r="V32" s="446">
        <f t="shared" ref="V32:V37" si="2">U32</f>
        <v>2219159.4539999999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  <c r="BF32" s="51"/>
      <c r="BG32" s="51"/>
      <c r="BH32" s="51"/>
      <c r="BI32" s="51"/>
      <c r="BJ32" s="51"/>
      <c r="BK32" s="51"/>
      <c r="BL32" s="51"/>
      <c r="BM32" s="51"/>
      <c r="BN32" s="51"/>
      <c r="BO32" s="51"/>
      <c r="BP32" s="51"/>
      <c r="BQ32" s="51"/>
      <c r="BR32" s="51"/>
      <c r="BS32" s="51"/>
      <c r="BT32" s="51"/>
      <c r="BU32" s="51"/>
      <c r="BV32" s="51"/>
      <c r="BW32" s="51"/>
      <c r="BX32" s="51"/>
      <c r="BY32" s="51"/>
      <c r="BZ32" s="51"/>
      <c r="CA32" s="51"/>
      <c r="CB32" s="51"/>
      <c r="CC32" s="51"/>
      <c r="CD32" s="51"/>
      <c r="CE32" s="51"/>
      <c r="CF32" s="51"/>
      <c r="CG32" s="51"/>
      <c r="CH32" s="51"/>
      <c r="CI32" s="51"/>
      <c r="CJ32" s="51"/>
      <c r="CK32" s="51"/>
      <c r="CL32" s="51"/>
      <c r="CM32" s="51"/>
      <c r="CN32" s="51"/>
      <c r="CO32" s="51"/>
      <c r="CP32" s="51"/>
      <c r="CQ32" s="51"/>
      <c r="CR32" s="51"/>
      <c r="CS32" s="51"/>
      <c r="CT32" s="51"/>
      <c r="CU32" s="51"/>
      <c r="CV32" s="51"/>
      <c r="CW32" s="51"/>
      <c r="CX32" s="51"/>
      <c r="CY32" s="51"/>
      <c r="CZ32" s="51"/>
      <c r="DA32" s="51"/>
      <c r="DB32" s="51"/>
      <c r="DC32" s="51"/>
      <c r="DD32" s="51"/>
      <c r="DE32" s="51"/>
      <c r="DF32" s="51"/>
      <c r="DG32" s="51"/>
      <c r="DH32" s="51"/>
      <c r="DI32" s="51"/>
      <c r="DJ32" s="51"/>
      <c r="DK32" s="51"/>
      <c r="DL32" s="51"/>
      <c r="DM32" s="51"/>
      <c r="DN32" s="51"/>
      <c r="DO32" s="51"/>
      <c r="DP32" s="51"/>
      <c r="DQ32" s="51"/>
      <c r="DR32" s="51"/>
      <c r="DS32" s="51"/>
      <c r="DT32" s="51"/>
      <c r="DU32" s="51"/>
      <c r="DV32" s="51"/>
      <c r="DW32" s="51"/>
      <c r="DX32" s="51"/>
      <c r="DY32" s="51"/>
      <c r="DZ32" s="51"/>
      <c r="EA32" s="51"/>
      <c r="EB32" s="51"/>
      <c r="EC32" s="51"/>
      <c r="ED32" s="51"/>
      <c r="EE32" s="51"/>
      <c r="EF32" s="51"/>
      <c r="EG32" s="51"/>
      <c r="EH32" s="51"/>
      <c r="EI32" s="51"/>
      <c r="EJ32" s="51"/>
      <c r="EK32" s="51"/>
      <c r="EL32" s="51"/>
      <c r="EM32" s="51"/>
      <c r="EN32" s="51"/>
      <c r="EO32" s="51"/>
      <c r="EP32" s="51"/>
      <c r="EQ32" s="51"/>
      <c r="ER32" s="51"/>
      <c r="ES32" s="51"/>
      <c r="ET32" s="51"/>
      <c r="EU32" s="51"/>
      <c r="EV32" s="51"/>
      <c r="EW32" s="51"/>
      <c r="EX32" s="51"/>
      <c r="EY32" s="51"/>
      <c r="EZ32" s="51"/>
      <c r="FA32" s="51"/>
      <c r="FB32" s="51"/>
      <c r="FC32" s="51"/>
      <c r="FD32" s="51"/>
      <c r="FE32" s="51"/>
      <c r="FF32" s="51"/>
      <c r="FG32" s="51"/>
      <c r="FH32" s="51"/>
      <c r="FI32" s="51"/>
      <c r="FJ32" s="51"/>
      <c r="FK32" s="51"/>
      <c r="FL32" s="51"/>
      <c r="FM32" s="51"/>
      <c r="FN32" s="51"/>
      <c r="FO32" s="51"/>
      <c r="FP32" s="51"/>
      <c r="FQ32" s="51"/>
      <c r="FR32" s="51"/>
      <c r="FS32" s="51"/>
      <c r="FT32" s="51"/>
      <c r="FU32" s="51"/>
      <c r="FV32" s="51"/>
      <c r="FW32" s="51"/>
      <c r="FX32" s="51"/>
      <c r="FY32" s="51"/>
      <c r="FZ32" s="51"/>
      <c r="GA32" s="51"/>
      <c r="GB32" s="51"/>
      <c r="GC32" s="51"/>
      <c r="GD32" s="51"/>
      <c r="GE32" s="51"/>
      <c r="GF32" s="51"/>
      <c r="GG32" s="51"/>
      <c r="GH32" s="51"/>
      <c r="GI32" s="51"/>
      <c r="GJ32" s="51"/>
      <c r="GK32" s="51"/>
      <c r="GL32" s="51"/>
      <c r="GM32" s="51"/>
      <c r="GN32" s="51"/>
      <c r="GO32" s="51"/>
      <c r="GP32" s="51"/>
      <c r="GQ32" s="51"/>
      <c r="GR32" s="51"/>
      <c r="GS32" s="51"/>
      <c r="GT32" s="51"/>
      <c r="GU32" s="51"/>
      <c r="GV32" s="51"/>
      <c r="GW32" s="51"/>
      <c r="GX32" s="51"/>
      <c r="GY32" s="51"/>
      <c r="GZ32" s="51"/>
      <c r="HA32" s="51"/>
      <c r="HB32" s="51"/>
      <c r="HC32" s="51"/>
      <c r="HD32" s="51"/>
      <c r="HE32" s="51"/>
      <c r="HF32" s="51"/>
      <c r="HG32" s="51"/>
      <c r="HH32" s="51"/>
      <c r="HI32" s="51"/>
      <c r="HJ32" s="51"/>
      <c r="HK32" s="51"/>
      <c r="HL32" s="51"/>
      <c r="HM32" s="51"/>
      <c r="HN32" s="51"/>
      <c r="HO32" s="51"/>
      <c r="HP32" s="51"/>
      <c r="HQ32" s="51"/>
      <c r="HR32" s="51"/>
      <c r="HS32" s="51"/>
      <c r="HT32" s="51"/>
      <c r="HU32" s="51"/>
      <c r="HV32" s="51"/>
      <c r="HW32" s="51"/>
      <c r="HX32" s="51"/>
      <c r="HY32" s="51"/>
      <c r="HZ32" s="51"/>
      <c r="IA32" s="51"/>
      <c r="IB32" s="51"/>
      <c r="IC32" s="51"/>
      <c r="ID32" s="51"/>
      <c r="IE32" s="51"/>
      <c r="IF32" s="51"/>
      <c r="IG32" s="51"/>
      <c r="IH32" s="51"/>
      <c r="II32" s="51"/>
      <c r="IJ32" s="51"/>
      <c r="IK32" s="51"/>
      <c r="IL32" s="51"/>
      <c r="IM32" s="51"/>
      <c r="IN32" s="51"/>
      <c r="IO32" s="51"/>
      <c r="IP32" s="51"/>
      <c r="IQ32" s="51"/>
      <c r="IR32" s="51"/>
      <c r="IS32" s="51"/>
    </row>
    <row r="33" spans="1:253" ht="15" x14ac:dyDescent="0.25">
      <c r="A33" s="389" t="s">
        <v>140</v>
      </c>
      <c r="B33" s="451">
        <v>3920888</v>
      </c>
      <c r="C33" s="453">
        <v>3920888</v>
      </c>
      <c r="D33" s="451">
        <v>4093451</v>
      </c>
      <c r="E33" s="453">
        <v>4093451</v>
      </c>
      <c r="F33" s="225">
        <v>-75631</v>
      </c>
      <c r="G33" s="451">
        <v>4017820</v>
      </c>
      <c r="H33" s="453">
        <v>4017820</v>
      </c>
      <c r="I33" s="454">
        <v>4028000</v>
      </c>
      <c r="J33" s="455">
        <v>4028000</v>
      </c>
      <c r="K33" s="451">
        <v>4256040</v>
      </c>
      <c r="L33" s="453">
        <v>4256040</v>
      </c>
      <c r="M33" s="445">
        <v>4410038.0949999997</v>
      </c>
      <c r="N33" s="450">
        <v>4410038.0949999997</v>
      </c>
      <c r="O33" s="445">
        <v>4802496</v>
      </c>
      <c r="P33" s="448">
        <f t="shared" si="1"/>
        <v>4802496</v>
      </c>
      <c r="Q33" s="445">
        <v>5328597.5269999998</v>
      </c>
      <c r="R33" s="448">
        <v>5328597.5269999998</v>
      </c>
      <c r="S33" s="445">
        <v>5936176.5269999998</v>
      </c>
      <c r="T33" s="446">
        <v>5936176.5269999998</v>
      </c>
      <c r="U33" s="445">
        <v>7252957.5</v>
      </c>
      <c r="V33" s="446">
        <f t="shared" si="2"/>
        <v>7252957.5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  <c r="BF33" s="51"/>
      <c r="BG33" s="51"/>
      <c r="BH33" s="51"/>
      <c r="BI33" s="51"/>
      <c r="BJ33" s="51"/>
      <c r="BK33" s="51"/>
      <c r="BL33" s="51"/>
      <c r="BM33" s="51"/>
      <c r="BN33" s="51"/>
      <c r="BO33" s="51"/>
      <c r="BP33" s="51"/>
      <c r="BQ33" s="51"/>
      <c r="BR33" s="51"/>
      <c r="BS33" s="51"/>
      <c r="BT33" s="51"/>
      <c r="BU33" s="51"/>
      <c r="BV33" s="51"/>
      <c r="BW33" s="51"/>
      <c r="BX33" s="51"/>
      <c r="BY33" s="51"/>
      <c r="BZ33" s="51"/>
      <c r="CA33" s="51"/>
      <c r="CB33" s="51"/>
      <c r="CC33" s="51"/>
      <c r="CD33" s="51"/>
      <c r="CE33" s="51"/>
      <c r="CF33" s="51"/>
      <c r="CG33" s="51"/>
      <c r="CH33" s="51"/>
      <c r="CI33" s="51"/>
      <c r="CJ33" s="51"/>
      <c r="CK33" s="51"/>
      <c r="CL33" s="51"/>
      <c r="CM33" s="51"/>
      <c r="CN33" s="51"/>
      <c r="CO33" s="51"/>
      <c r="CP33" s="51"/>
      <c r="CQ33" s="51"/>
      <c r="CR33" s="51"/>
      <c r="CS33" s="51"/>
      <c r="CT33" s="51"/>
      <c r="CU33" s="51"/>
      <c r="CV33" s="51"/>
      <c r="CW33" s="51"/>
      <c r="CX33" s="51"/>
      <c r="CY33" s="51"/>
      <c r="CZ33" s="51"/>
      <c r="DA33" s="51"/>
      <c r="DB33" s="51"/>
      <c r="DC33" s="51"/>
      <c r="DD33" s="51"/>
      <c r="DE33" s="51"/>
      <c r="DF33" s="51"/>
      <c r="DG33" s="51"/>
      <c r="DH33" s="51"/>
      <c r="DI33" s="51"/>
      <c r="DJ33" s="51"/>
      <c r="DK33" s="51"/>
      <c r="DL33" s="51"/>
      <c r="DM33" s="51"/>
      <c r="DN33" s="51"/>
      <c r="DO33" s="51"/>
      <c r="DP33" s="51"/>
      <c r="DQ33" s="51"/>
      <c r="DR33" s="51"/>
      <c r="DS33" s="51"/>
      <c r="DT33" s="51"/>
      <c r="DU33" s="51"/>
      <c r="DV33" s="51"/>
      <c r="DW33" s="51"/>
      <c r="DX33" s="51"/>
      <c r="DY33" s="51"/>
      <c r="DZ33" s="51"/>
      <c r="EA33" s="51"/>
      <c r="EB33" s="51"/>
      <c r="EC33" s="51"/>
      <c r="ED33" s="51"/>
      <c r="EE33" s="51"/>
      <c r="EF33" s="51"/>
      <c r="EG33" s="51"/>
      <c r="EH33" s="51"/>
      <c r="EI33" s="51"/>
      <c r="EJ33" s="51"/>
      <c r="EK33" s="51"/>
      <c r="EL33" s="51"/>
      <c r="EM33" s="51"/>
      <c r="EN33" s="51"/>
      <c r="EO33" s="51"/>
      <c r="EP33" s="51"/>
      <c r="EQ33" s="51"/>
      <c r="ER33" s="51"/>
      <c r="ES33" s="51"/>
      <c r="ET33" s="51"/>
      <c r="EU33" s="51"/>
      <c r="EV33" s="51"/>
      <c r="EW33" s="51"/>
      <c r="EX33" s="51"/>
      <c r="EY33" s="51"/>
      <c r="EZ33" s="51"/>
      <c r="FA33" s="51"/>
      <c r="FB33" s="51"/>
      <c r="FC33" s="51"/>
      <c r="FD33" s="51"/>
      <c r="FE33" s="51"/>
      <c r="FF33" s="51"/>
      <c r="FG33" s="51"/>
      <c r="FH33" s="51"/>
      <c r="FI33" s="51"/>
      <c r="FJ33" s="51"/>
      <c r="FK33" s="51"/>
      <c r="FL33" s="51"/>
      <c r="FM33" s="51"/>
      <c r="FN33" s="51"/>
      <c r="FO33" s="51"/>
      <c r="FP33" s="51"/>
      <c r="FQ33" s="51"/>
      <c r="FR33" s="51"/>
      <c r="FS33" s="51"/>
      <c r="FT33" s="51"/>
      <c r="FU33" s="51"/>
      <c r="FV33" s="51"/>
      <c r="FW33" s="51"/>
      <c r="FX33" s="51"/>
      <c r="FY33" s="51"/>
      <c r="FZ33" s="51"/>
      <c r="GA33" s="51"/>
      <c r="GB33" s="51"/>
      <c r="GC33" s="51"/>
      <c r="GD33" s="51"/>
      <c r="GE33" s="51"/>
      <c r="GF33" s="51"/>
      <c r="GG33" s="51"/>
      <c r="GH33" s="51"/>
      <c r="GI33" s="51"/>
      <c r="GJ33" s="51"/>
      <c r="GK33" s="51"/>
      <c r="GL33" s="51"/>
      <c r="GM33" s="51"/>
      <c r="GN33" s="51"/>
      <c r="GO33" s="51"/>
      <c r="GP33" s="51"/>
      <c r="GQ33" s="51"/>
      <c r="GR33" s="51"/>
      <c r="GS33" s="51"/>
      <c r="GT33" s="51"/>
      <c r="GU33" s="51"/>
      <c r="GV33" s="51"/>
      <c r="GW33" s="51"/>
      <c r="GX33" s="51"/>
      <c r="GY33" s="51"/>
      <c r="GZ33" s="51"/>
      <c r="HA33" s="51"/>
      <c r="HB33" s="51"/>
      <c r="HC33" s="51"/>
      <c r="HD33" s="51"/>
      <c r="HE33" s="51"/>
      <c r="HF33" s="51"/>
      <c r="HG33" s="51"/>
      <c r="HH33" s="51"/>
      <c r="HI33" s="51"/>
      <c r="HJ33" s="51"/>
      <c r="HK33" s="51"/>
      <c r="HL33" s="51"/>
      <c r="HM33" s="51"/>
      <c r="HN33" s="51"/>
      <c r="HO33" s="51"/>
      <c r="HP33" s="51"/>
      <c r="HQ33" s="51"/>
      <c r="HR33" s="51"/>
      <c r="HS33" s="51"/>
      <c r="HT33" s="51"/>
      <c r="HU33" s="51"/>
      <c r="HV33" s="51"/>
      <c r="HW33" s="51"/>
      <c r="HX33" s="51"/>
      <c r="HY33" s="51"/>
      <c r="HZ33" s="51"/>
      <c r="IA33" s="51"/>
      <c r="IB33" s="51"/>
      <c r="IC33" s="51"/>
      <c r="ID33" s="51"/>
      <c r="IE33" s="51"/>
      <c r="IF33" s="51"/>
      <c r="IG33" s="51"/>
      <c r="IH33" s="51"/>
      <c r="II33" s="51"/>
      <c r="IJ33" s="51"/>
      <c r="IK33" s="51"/>
      <c r="IL33" s="51"/>
      <c r="IM33" s="51"/>
      <c r="IN33" s="51"/>
      <c r="IO33" s="51"/>
      <c r="IP33" s="51"/>
      <c r="IQ33" s="51"/>
      <c r="IR33" s="51"/>
      <c r="IS33" s="51"/>
    </row>
    <row r="34" spans="1:253" ht="15" x14ac:dyDescent="0.25">
      <c r="A34" s="389" t="s">
        <v>196</v>
      </c>
      <c r="B34" s="451">
        <v>1016598</v>
      </c>
      <c r="C34" s="453">
        <v>1016598</v>
      </c>
      <c r="D34" s="451">
        <v>1080758</v>
      </c>
      <c r="E34" s="453">
        <v>1080758</v>
      </c>
      <c r="F34" s="225">
        <v>-19968</v>
      </c>
      <c r="G34" s="451">
        <v>1110790</v>
      </c>
      <c r="H34" s="453">
        <v>1110790</v>
      </c>
      <c r="I34" s="454">
        <v>1192190</v>
      </c>
      <c r="J34" s="455">
        <v>1192190</v>
      </c>
      <c r="K34" s="451">
        <v>1307924</v>
      </c>
      <c r="L34" s="453">
        <v>1307924</v>
      </c>
      <c r="M34" s="445">
        <v>1360677.9739999999</v>
      </c>
      <c r="N34" s="450">
        <v>1360677.9739999999</v>
      </c>
      <c r="O34" s="445">
        <f>1428477.974-60</f>
        <v>1428417.9739999999</v>
      </c>
      <c r="P34" s="448">
        <f t="shared" si="1"/>
        <v>1428417.9739999999</v>
      </c>
      <c r="Q34" s="445">
        <v>1540105.121</v>
      </c>
      <c r="R34" s="448">
        <v>1540105.121</v>
      </c>
      <c r="S34" s="445">
        <v>1717526.121</v>
      </c>
      <c r="T34" s="446">
        <v>1717526.121</v>
      </c>
      <c r="U34" s="445">
        <v>1940178.1329999999</v>
      </c>
      <c r="V34" s="446">
        <f t="shared" si="2"/>
        <v>1940178.1329999999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  <c r="BF34" s="51"/>
      <c r="BG34" s="51"/>
      <c r="BH34" s="51"/>
      <c r="BI34" s="51"/>
      <c r="BJ34" s="51"/>
      <c r="BK34" s="51"/>
      <c r="BL34" s="51"/>
      <c r="BM34" s="51"/>
      <c r="BN34" s="51"/>
      <c r="BO34" s="51"/>
      <c r="BP34" s="51"/>
      <c r="BQ34" s="51"/>
      <c r="BR34" s="51"/>
      <c r="BS34" s="51"/>
      <c r="BT34" s="51"/>
      <c r="BU34" s="51"/>
      <c r="BV34" s="51"/>
      <c r="BW34" s="51"/>
      <c r="BX34" s="51"/>
      <c r="BY34" s="51"/>
      <c r="BZ34" s="51"/>
      <c r="CA34" s="51"/>
      <c r="CB34" s="51"/>
      <c r="CC34" s="51"/>
      <c r="CD34" s="51"/>
      <c r="CE34" s="51"/>
      <c r="CF34" s="51"/>
      <c r="CG34" s="51"/>
      <c r="CH34" s="51"/>
      <c r="CI34" s="51"/>
      <c r="CJ34" s="51"/>
      <c r="CK34" s="51"/>
      <c r="CL34" s="51"/>
      <c r="CM34" s="51"/>
      <c r="CN34" s="51"/>
      <c r="CO34" s="51"/>
      <c r="CP34" s="51"/>
      <c r="CQ34" s="51"/>
      <c r="CR34" s="51"/>
      <c r="CS34" s="51"/>
      <c r="CT34" s="51"/>
      <c r="CU34" s="51"/>
      <c r="CV34" s="51"/>
      <c r="CW34" s="51"/>
      <c r="CX34" s="51"/>
      <c r="CY34" s="51"/>
      <c r="CZ34" s="51"/>
      <c r="DA34" s="51"/>
      <c r="DB34" s="51"/>
      <c r="DC34" s="51"/>
      <c r="DD34" s="51"/>
      <c r="DE34" s="51"/>
      <c r="DF34" s="51"/>
      <c r="DG34" s="51"/>
      <c r="DH34" s="51"/>
      <c r="DI34" s="51"/>
      <c r="DJ34" s="51"/>
      <c r="DK34" s="51"/>
      <c r="DL34" s="51"/>
      <c r="DM34" s="51"/>
      <c r="DN34" s="51"/>
      <c r="DO34" s="51"/>
      <c r="DP34" s="51"/>
      <c r="DQ34" s="51"/>
      <c r="DR34" s="51"/>
      <c r="DS34" s="51"/>
      <c r="DT34" s="51"/>
      <c r="DU34" s="51"/>
      <c r="DV34" s="51"/>
      <c r="DW34" s="51"/>
      <c r="DX34" s="51"/>
      <c r="DY34" s="51"/>
      <c r="DZ34" s="51"/>
      <c r="EA34" s="51"/>
      <c r="EB34" s="51"/>
      <c r="EC34" s="51"/>
      <c r="ED34" s="51"/>
      <c r="EE34" s="51"/>
      <c r="EF34" s="51"/>
      <c r="EG34" s="51"/>
      <c r="EH34" s="51"/>
      <c r="EI34" s="51"/>
      <c r="EJ34" s="51"/>
      <c r="EK34" s="51"/>
      <c r="EL34" s="51"/>
      <c r="EM34" s="51"/>
      <c r="EN34" s="51"/>
      <c r="EO34" s="51"/>
      <c r="EP34" s="51"/>
      <c r="EQ34" s="51"/>
      <c r="ER34" s="51"/>
      <c r="ES34" s="51"/>
      <c r="ET34" s="51"/>
      <c r="EU34" s="51"/>
      <c r="EV34" s="51"/>
      <c r="EW34" s="51"/>
      <c r="EX34" s="51"/>
      <c r="EY34" s="51"/>
      <c r="EZ34" s="51"/>
      <c r="FA34" s="51"/>
      <c r="FB34" s="51"/>
      <c r="FC34" s="51"/>
      <c r="FD34" s="51"/>
      <c r="FE34" s="51"/>
      <c r="FF34" s="51"/>
      <c r="FG34" s="51"/>
      <c r="FH34" s="51"/>
      <c r="FI34" s="51"/>
      <c r="FJ34" s="51"/>
      <c r="FK34" s="51"/>
      <c r="FL34" s="51"/>
      <c r="FM34" s="51"/>
      <c r="FN34" s="51"/>
      <c r="FO34" s="51"/>
      <c r="FP34" s="51"/>
      <c r="FQ34" s="51"/>
      <c r="FR34" s="51"/>
      <c r="FS34" s="51"/>
      <c r="FT34" s="51"/>
      <c r="FU34" s="51"/>
      <c r="FV34" s="51"/>
      <c r="FW34" s="51"/>
      <c r="FX34" s="51"/>
      <c r="FY34" s="51"/>
      <c r="FZ34" s="51"/>
      <c r="GA34" s="51"/>
      <c r="GB34" s="51"/>
      <c r="GC34" s="51"/>
      <c r="GD34" s="51"/>
      <c r="GE34" s="51"/>
      <c r="GF34" s="51"/>
      <c r="GG34" s="51"/>
      <c r="GH34" s="51"/>
      <c r="GI34" s="51"/>
      <c r="GJ34" s="51"/>
      <c r="GK34" s="51"/>
      <c r="GL34" s="51"/>
      <c r="GM34" s="51"/>
      <c r="GN34" s="51"/>
      <c r="GO34" s="51"/>
      <c r="GP34" s="51"/>
      <c r="GQ34" s="51"/>
      <c r="GR34" s="51"/>
      <c r="GS34" s="51"/>
      <c r="GT34" s="51"/>
      <c r="GU34" s="51"/>
      <c r="GV34" s="51"/>
      <c r="GW34" s="51"/>
      <c r="GX34" s="51"/>
      <c r="GY34" s="51"/>
      <c r="GZ34" s="51"/>
      <c r="HA34" s="51"/>
      <c r="HB34" s="51"/>
      <c r="HC34" s="51"/>
      <c r="HD34" s="51"/>
      <c r="HE34" s="51"/>
      <c r="HF34" s="51"/>
      <c r="HG34" s="51"/>
      <c r="HH34" s="51"/>
      <c r="HI34" s="51"/>
      <c r="HJ34" s="51"/>
      <c r="HK34" s="51"/>
      <c r="HL34" s="51"/>
      <c r="HM34" s="51"/>
      <c r="HN34" s="51"/>
      <c r="HO34" s="51"/>
      <c r="HP34" s="51"/>
      <c r="HQ34" s="51"/>
      <c r="HR34" s="51"/>
      <c r="HS34" s="51"/>
      <c r="HT34" s="51"/>
      <c r="HU34" s="51"/>
      <c r="HV34" s="51"/>
      <c r="HW34" s="51"/>
      <c r="HX34" s="51"/>
      <c r="HY34" s="51"/>
      <c r="HZ34" s="51"/>
      <c r="IA34" s="51"/>
      <c r="IB34" s="51"/>
      <c r="IC34" s="51"/>
      <c r="ID34" s="51"/>
      <c r="IE34" s="51"/>
      <c r="IF34" s="51"/>
      <c r="IG34" s="51"/>
      <c r="IH34" s="51"/>
      <c r="II34" s="51"/>
      <c r="IJ34" s="51"/>
      <c r="IK34" s="51"/>
      <c r="IL34" s="51"/>
      <c r="IM34" s="51"/>
      <c r="IN34" s="51"/>
      <c r="IO34" s="51"/>
      <c r="IP34" s="51"/>
      <c r="IQ34" s="51"/>
      <c r="IR34" s="51"/>
      <c r="IS34" s="51"/>
    </row>
    <row r="35" spans="1:253" ht="15.75" thickBot="1" x14ac:dyDescent="0.3">
      <c r="A35" s="714" t="s">
        <v>575</v>
      </c>
      <c r="B35" s="451"/>
      <c r="C35" s="453"/>
      <c r="D35" s="451"/>
      <c r="E35" s="453"/>
      <c r="F35" s="225"/>
      <c r="G35" s="451"/>
      <c r="H35" s="453"/>
      <c r="I35" s="454"/>
      <c r="J35" s="455"/>
      <c r="K35" s="451">
        <v>300000</v>
      </c>
      <c r="L35" s="453">
        <v>300000</v>
      </c>
      <c r="M35" s="445">
        <v>300000</v>
      </c>
      <c r="N35" s="450">
        <v>300000</v>
      </c>
      <c r="O35" s="445">
        <v>620000</v>
      </c>
      <c r="P35" s="448">
        <f t="shared" si="1"/>
        <v>620000</v>
      </c>
      <c r="Q35" s="445">
        <v>630000</v>
      </c>
      <c r="R35" s="448">
        <v>630000</v>
      </c>
      <c r="S35" s="445">
        <v>600000</v>
      </c>
      <c r="T35" s="446">
        <v>600000</v>
      </c>
      <c r="U35" s="445">
        <v>490400</v>
      </c>
      <c r="V35" s="446">
        <f t="shared" si="2"/>
        <v>490400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  <c r="BF35" s="51"/>
      <c r="BG35" s="51"/>
      <c r="BH35" s="51"/>
      <c r="BI35" s="51"/>
      <c r="BJ35" s="51"/>
      <c r="BK35" s="51"/>
      <c r="BL35" s="51"/>
      <c r="BM35" s="51"/>
      <c r="BN35" s="51"/>
      <c r="BO35" s="51"/>
      <c r="BP35" s="51"/>
      <c r="BQ35" s="51"/>
      <c r="BR35" s="51"/>
      <c r="BS35" s="51"/>
      <c r="BT35" s="51"/>
      <c r="BU35" s="51"/>
      <c r="BV35" s="51"/>
      <c r="BW35" s="51"/>
      <c r="BX35" s="51"/>
      <c r="BY35" s="51"/>
      <c r="BZ35" s="51"/>
      <c r="CA35" s="51"/>
      <c r="CB35" s="51"/>
      <c r="CC35" s="51"/>
      <c r="CD35" s="51"/>
      <c r="CE35" s="51"/>
      <c r="CF35" s="51"/>
      <c r="CG35" s="51"/>
      <c r="CH35" s="51"/>
      <c r="CI35" s="51"/>
      <c r="CJ35" s="51"/>
      <c r="CK35" s="51"/>
      <c r="CL35" s="51"/>
      <c r="CM35" s="51"/>
      <c r="CN35" s="51"/>
      <c r="CO35" s="51"/>
      <c r="CP35" s="51"/>
      <c r="CQ35" s="51"/>
      <c r="CR35" s="51"/>
      <c r="CS35" s="51"/>
      <c r="CT35" s="51"/>
      <c r="CU35" s="51"/>
      <c r="CV35" s="51"/>
      <c r="CW35" s="51"/>
      <c r="CX35" s="51"/>
      <c r="CY35" s="51"/>
      <c r="CZ35" s="51"/>
      <c r="DA35" s="51"/>
      <c r="DB35" s="51"/>
      <c r="DC35" s="51"/>
      <c r="DD35" s="51"/>
      <c r="DE35" s="51"/>
      <c r="DF35" s="51"/>
      <c r="DG35" s="51"/>
      <c r="DH35" s="51"/>
      <c r="DI35" s="51"/>
      <c r="DJ35" s="51"/>
      <c r="DK35" s="51"/>
      <c r="DL35" s="51"/>
      <c r="DM35" s="51"/>
      <c r="DN35" s="51"/>
      <c r="DO35" s="51"/>
      <c r="DP35" s="51"/>
      <c r="DQ35" s="51"/>
      <c r="DR35" s="51"/>
      <c r="DS35" s="51"/>
      <c r="DT35" s="51"/>
      <c r="DU35" s="51"/>
      <c r="DV35" s="51"/>
      <c r="DW35" s="51"/>
      <c r="DX35" s="51"/>
      <c r="DY35" s="51"/>
      <c r="DZ35" s="51"/>
      <c r="EA35" s="51"/>
      <c r="EB35" s="51"/>
      <c r="EC35" s="51"/>
      <c r="ED35" s="51"/>
      <c r="EE35" s="51"/>
      <c r="EF35" s="51"/>
      <c r="EG35" s="51"/>
      <c r="EH35" s="51"/>
      <c r="EI35" s="51"/>
      <c r="EJ35" s="51"/>
      <c r="EK35" s="51"/>
      <c r="EL35" s="51"/>
      <c r="EM35" s="51"/>
      <c r="EN35" s="51"/>
      <c r="EO35" s="51"/>
      <c r="EP35" s="51"/>
      <c r="EQ35" s="51"/>
      <c r="ER35" s="51"/>
      <c r="ES35" s="51"/>
      <c r="ET35" s="51"/>
      <c r="EU35" s="51"/>
      <c r="EV35" s="51"/>
      <c r="EW35" s="51"/>
      <c r="EX35" s="51"/>
      <c r="EY35" s="51"/>
      <c r="EZ35" s="51"/>
      <c r="FA35" s="51"/>
      <c r="FB35" s="51"/>
      <c r="FC35" s="51"/>
      <c r="FD35" s="51"/>
      <c r="FE35" s="51"/>
      <c r="FF35" s="51"/>
      <c r="FG35" s="51"/>
      <c r="FH35" s="51"/>
      <c r="FI35" s="51"/>
      <c r="FJ35" s="51"/>
      <c r="FK35" s="51"/>
      <c r="FL35" s="51"/>
      <c r="FM35" s="51"/>
      <c r="FN35" s="51"/>
      <c r="FO35" s="51"/>
      <c r="FP35" s="51"/>
      <c r="FQ35" s="51"/>
      <c r="FR35" s="51"/>
      <c r="FS35" s="51"/>
      <c r="FT35" s="51"/>
      <c r="FU35" s="51"/>
      <c r="FV35" s="51"/>
      <c r="FW35" s="51"/>
      <c r="FX35" s="51"/>
      <c r="FY35" s="51"/>
      <c r="FZ35" s="51"/>
      <c r="GA35" s="51"/>
      <c r="GB35" s="51"/>
      <c r="GC35" s="51"/>
      <c r="GD35" s="51"/>
      <c r="GE35" s="51"/>
      <c r="GF35" s="51"/>
      <c r="GG35" s="51"/>
      <c r="GH35" s="51"/>
      <c r="GI35" s="51"/>
      <c r="GJ35" s="51"/>
      <c r="GK35" s="51"/>
      <c r="GL35" s="51"/>
      <c r="GM35" s="51"/>
      <c r="GN35" s="51"/>
      <c r="GO35" s="51"/>
      <c r="GP35" s="51"/>
      <c r="GQ35" s="51"/>
      <c r="GR35" s="51"/>
      <c r="GS35" s="51"/>
      <c r="GT35" s="51"/>
      <c r="GU35" s="51"/>
      <c r="GV35" s="51"/>
      <c r="GW35" s="51"/>
      <c r="GX35" s="51"/>
      <c r="GY35" s="51"/>
      <c r="GZ35" s="51"/>
      <c r="HA35" s="51"/>
      <c r="HB35" s="51"/>
      <c r="HC35" s="51"/>
      <c r="HD35" s="51"/>
      <c r="HE35" s="51"/>
      <c r="HF35" s="51"/>
      <c r="HG35" s="51"/>
      <c r="HH35" s="51"/>
      <c r="HI35" s="51"/>
      <c r="HJ35" s="51"/>
      <c r="HK35" s="51"/>
      <c r="HL35" s="51"/>
      <c r="HM35" s="51"/>
      <c r="HN35" s="51"/>
      <c r="HO35" s="51"/>
      <c r="HP35" s="51"/>
      <c r="HQ35" s="51"/>
      <c r="HR35" s="51"/>
      <c r="HS35" s="51"/>
      <c r="HT35" s="51"/>
      <c r="HU35" s="51"/>
      <c r="HV35" s="51"/>
      <c r="HW35" s="51"/>
      <c r="HX35" s="51"/>
      <c r="HY35" s="51"/>
      <c r="HZ35" s="51"/>
      <c r="IA35" s="51"/>
      <c r="IB35" s="51"/>
      <c r="IC35" s="51"/>
      <c r="ID35" s="51"/>
      <c r="IE35" s="51"/>
      <c r="IF35" s="51"/>
      <c r="IG35" s="51"/>
      <c r="IH35" s="51"/>
      <c r="II35" s="51"/>
      <c r="IJ35" s="51"/>
      <c r="IK35" s="51"/>
      <c r="IL35" s="51"/>
      <c r="IM35" s="51"/>
      <c r="IN35" s="51"/>
      <c r="IO35" s="51"/>
      <c r="IP35" s="51"/>
      <c r="IQ35" s="51"/>
      <c r="IR35" s="51"/>
      <c r="IS35" s="51"/>
    </row>
    <row r="36" spans="1:253" ht="15" x14ac:dyDescent="0.25">
      <c r="A36" s="387" t="s">
        <v>141</v>
      </c>
      <c r="B36" s="200">
        <v>2326448</v>
      </c>
      <c r="C36" s="203">
        <v>2326448</v>
      </c>
      <c r="D36" s="200">
        <v>2286263</v>
      </c>
      <c r="E36" s="203">
        <v>2286263</v>
      </c>
      <c r="F36" s="226">
        <v>-48218</v>
      </c>
      <c r="G36" s="200">
        <v>2221910</v>
      </c>
      <c r="H36" s="203">
        <v>2221910</v>
      </c>
      <c r="I36" s="204">
        <v>2328665</v>
      </c>
      <c r="J36" s="205">
        <v>2328665</v>
      </c>
      <c r="K36" s="200">
        <v>2269536.8530000001</v>
      </c>
      <c r="L36" s="203">
        <v>2269536.8530000001</v>
      </c>
      <c r="M36" s="200">
        <v>2341312.8459999999</v>
      </c>
      <c r="N36" s="227">
        <v>2341312.8459999999</v>
      </c>
      <c r="O36" s="200">
        <v>2518136.8029999998</v>
      </c>
      <c r="P36" s="201">
        <f t="shared" si="1"/>
        <v>2518136.8029999998</v>
      </c>
      <c r="Q36" s="200">
        <f>Q37+Q39+Q40</f>
        <v>2745223.5979999998</v>
      </c>
      <c r="R36" s="201">
        <v>2745223.5989999999</v>
      </c>
      <c r="S36" s="200">
        <v>3115337.844</v>
      </c>
      <c r="T36" s="203">
        <v>3115337.844</v>
      </c>
      <c r="U36" s="200">
        <f>U37+U39+U40</f>
        <v>3395251.6040000003</v>
      </c>
      <c r="V36" s="203">
        <f t="shared" si="2"/>
        <v>3395251.6040000003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  <c r="BF36" s="51"/>
      <c r="BG36" s="51"/>
      <c r="BH36" s="51"/>
      <c r="BI36" s="51"/>
      <c r="BJ36" s="51"/>
      <c r="BK36" s="51"/>
      <c r="BL36" s="51"/>
      <c r="BM36" s="51"/>
      <c r="BN36" s="51"/>
      <c r="BO36" s="51"/>
      <c r="BP36" s="51"/>
      <c r="BQ36" s="51"/>
      <c r="BR36" s="51"/>
      <c r="BS36" s="51"/>
      <c r="BT36" s="51"/>
      <c r="BU36" s="51"/>
      <c r="BV36" s="51"/>
      <c r="BW36" s="51"/>
      <c r="BX36" s="51"/>
      <c r="BY36" s="51"/>
      <c r="BZ36" s="51"/>
      <c r="CA36" s="51"/>
      <c r="CB36" s="51"/>
      <c r="CC36" s="51"/>
      <c r="CD36" s="51"/>
      <c r="CE36" s="51"/>
      <c r="CF36" s="51"/>
      <c r="CG36" s="51"/>
      <c r="CH36" s="51"/>
      <c r="CI36" s="51"/>
      <c r="CJ36" s="51"/>
      <c r="CK36" s="51"/>
      <c r="CL36" s="51"/>
      <c r="CM36" s="51"/>
      <c r="CN36" s="51"/>
      <c r="CO36" s="51"/>
      <c r="CP36" s="51"/>
      <c r="CQ36" s="51"/>
      <c r="CR36" s="51"/>
      <c r="CS36" s="51"/>
      <c r="CT36" s="51"/>
      <c r="CU36" s="51"/>
      <c r="CV36" s="51"/>
      <c r="CW36" s="51"/>
      <c r="CX36" s="51"/>
      <c r="CY36" s="51"/>
      <c r="CZ36" s="51"/>
      <c r="DA36" s="51"/>
      <c r="DB36" s="51"/>
      <c r="DC36" s="51"/>
      <c r="DD36" s="51"/>
      <c r="DE36" s="51"/>
      <c r="DF36" s="51"/>
      <c r="DG36" s="51"/>
      <c r="DH36" s="51"/>
      <c r="DI36" s="51"/>
      <c r="DJ36" s="51"/>
      <c r="DK36" s="51"/>
      <c r="DL36" s="51"/>
      <c r="DM36" s="51"/>
      <c r="DN36" s="51"/>
      <c r="DO36" s="51"/>
      <c r="DP36" s="51"/>
      <c r="DQ36" s="51"/>
      <c r="DR36" s="51"/>
      <c r="DS36" s="51"/>
      <c r="DT36" s="51"/>
      <c r="DU36" s="51"/>
      <c r="DV36" s="51"/>
      <c r="DW36" s="51"/>
      <c r="DX36" s="51"/>
      <c r="DY36" s="51"/>
      <c r="DZ36" s="51"/>
      <c r="EA36" s="51"/>
      <c r="EB36" s="51"/>
      <c r="EC36" s="51"/>
      <c r="ED36" s="51"/>
      <c r="EE36" s="51"/>
      <c r="EF36" s="51"/>
      <c r="EG36" s="51"/>
      <c r="EH36" s="51"/>
      <c r="EI36" s="51"/>
      <c r="EJ36" s="51"/>
      <c r="EK36" s="51"/>
      <c r="EL36" s="51"/>
      <c r="EM36" s="51"/>
      <c r="EN36" s="51"/>
      <c r="EO36" s="51"/>
      <c r="EP36" s="51"/>
      <c r="EQ36" s="51"/>
      <c r="ER36" s="51"/>
      <c r="ES36" s="51"/>
      <c r="ET36" s="51"/>
      <c r="EU36" s="51"/>
      <c r="EV36" s="51"/>
      <c r="EW36" s="51"/>
      <c r="EX36" s="51"/>
      <c r="EY36" s="51"/>
      <c r="EZ36" s="51"/>
      <c r="FA36" s="51"/>
      <c r="FB36" s="51"/>
      <c r="FC36" s="51"/>
      <c r="FD36" s="51"/>
      <c r="FE36" s="51"/>
      <c r="FF36" s="51"/>
      <c r="FG36" s="51"/>
      <c r="FH36" s="51"/>
      <c r="FI36" s="51"/>
      <c r="FJ36" s="51"/>
      <c r="FK36" s="51"/>
      <c r="FL36" s="51"/>
      <c r="FM36" s="51"/>
      <c r="FN36" s="51"/>
      <c r="FO36" s="51"/>
      <c r="FP36" s="51"/>
      <c r="FQ36" s="51"/>
      <c r="FR36" s="51"/>
      <c r="FS36" s="51"/>
      <c r="FT36" s="51"/>
      <c r="FU36" s="51"/>
      <c r="FV36" s="51"/>
      <c r="FW36" s="51"/>
      <c r="FX36" s="51"/>
      <c r="FY36" s="51"/>
      <c r="FZ36" s="51"/>
      <c r="GA36" s="51"/>
      <c r="GB36" s="51"/>
      <c r="GC36" s="51"/>
      <c r="GD36" s="51"/>
      <c r="GE36" s="51"/>
      <c r="GF36" s="51"/>
      <c r="GG36" s="51"/>
      <c r="GH36" s="51"/>
      <c r="GI36" s="51"/>
      <c r="GJ36" s="51"/>
      <c r="GK36" s="51"/>
      <c r="GL36" s="51"/>
      <c r="GM36" s="51"/>
      <c r="GN36" s="51"/>
      <c r="GO36" s="51"/>
      <c r="GP36" s="51"/>
      <c r="GQ36" s="51"/>
      <c r="GR36" s="51"/>
      <c r="GS36" s="51"/>
      <c r="GT36" s="51"/>
      <c r="GU36" s="51"/>
      <c r="GV36" s="51"/>
      <c r="GW36" s="51"/>
      <c r="GX36" s="51"/>
      <c r="GY36" s="51"/>
      <c r="GZ36" s="51"/>
      <c r="HA36" s="51"/>
      <c r="HB36" s="51"/>
      <c r="HC36" s="51"/>
      <c r="HD36" s="51"/>
      <c r="HE36" s="51"/>
      <c r="HF36" s="51"/>
      <c r="HG36" s="51"/>
      <c r="HH36" s="51"/>
      <c r="HI36" s="51"/>
      <c r="HJ36" s="51"/>
      <c r="HK36" s="51"/>
      <c r="HL36" s="51"/>
      <c r="HM36" s="51"/>
      <c r="HN36" s="51"/>
      <c r="HO36" s="51"/>
      <c r="HP36" s="51"/>
      <c r="HQ36" s="51"/>
      <c r="HR36" s="51"/>
      <c r="HS36" s="51"/>
      <c r="HT36" s="51"/>
      <c r="HU36" s="51"/>
      <c r="HV36" s="51"/>
      <c r="HW36" s="51"/>
      <c r="HX36" s="51"/>
      <c r="HY36" s="51"/>
      <c r="HZ36" s="51"/>
      <c r="IA36" s="51"/>
      <c r="IB36" s="51"/>
      <c r="IC36" s="51"/>
      <c r="ID36" s="51"/>
      <c r="IE36" s="51"/>
      <c r="IF36" s="51"/>
      <c r="IG36" s="51"/>
      <c r="IH36" s="51"/>
      <c r="II36" s="51"/>
      <c r="IJ36" s="51"/>
      <c r="IK36" s="51"/>
      <c r="IL36" s="51"/>
      <c r="IM36" s="51"/>
      <c r="IN36" s="51"/>
      <c r="IO36" s="51"/>
      <c r="IP36" s="51"/>
      <c r="IQ36" s="51"/>
      <c r="IR36" s="51"/>
      <c r="IS36" s="51"/>
    </row>
    <row r="37" spans="1:253" ht="15" x14ac:dyDescent="0.25">
      <c r="A37" s="393" t="s">
        <v>132</v>
      </c>
      <c r="B37" s="214">
        <v>1671098</v>
      </c>
      <c r="C37" s="217">
        <v>1671098</v>
      </c>
      <c r="D37" s="214">
        <v>1420389</v>
      </c>
      <c r="E37" s="217">
        <v>1420389</v>
      </c>
      <c r="F37" s="224">
        <v>-27026</v>
      </c>
      <c r="G37" s="214">
        <v>1377228</v>
      </c>
      <c r="H37" s="217">
        <v>1377228</v>
      </c>
      <c r="I37" s="647">
        <v>1799745</v>
      </c>
      <c r="J37" s="649">
        <v>1799745</v>
      </c>
      <c r="K37" s="657">
        <v>1864351.5110000074</v>
      </c>
      <c r="L37" s="659">
        <v>1864351.5110000074</v>
      </c>
      <c r="M37" s="633">
        <v>1925898.8459999999</v>
      </c>
      <c r="N37" s="661">
        <v>1925898.8459999999</v>
      </c>
      <c r="O37" s="633">
        <v>2101969.827</v>
      </c>
      <c r="P37" s="635">
        <f t="shared" si="1"/>
        <v>2101969.827</v>
      </c>
      <c r="Q37" s="633">
        <f>2719277.47-325042.976</f>
        <v>2394234.4939999999</v>
      </c>
      <c r="R37" s="635">
        <v>2394234.4950000001</v>
      </c>
      <c r="S37" s="633">
        <v>2725294.8679999998</v>
      </c>
      <c r="T37" s="663">
        <v>2725295.8679999998</v>
      </c>
      <c r="U37" s="633">
        <v>3005138.628</v>
      </c>
      <c r="V37" s="663">
        <f t="shared" si="2"/>
        <v>3005138.628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  <c r="BF37" s="51"/>
      <c r="BG37" s="51"/>
      <c r="BH37" s="51"/>
      <c r="BI37" s="51"/>
      <c r="BJ37" s="51"/>
      <c r="BK37" s="51"/>
      <c r="BL37" s="51"/>
      <c r="BM37" s="51"/>
      <c r="BN37" s="51"/>
      <c r="BO37" s="51"/>
      <c r="BP37" s="51"/>
      <c r="BQ37" s="51"/>
      <c r="BR37" s="51"/>
      <c r="BS37" s="51"/>
      <c r="BT37" s="51"/>
      <c r="BU37" s="51"/>
      <c r="BV37" s="51"/>
      <c r="BW37" s="51"/>
      <c r="BX37" s="51"/>
      <c r="BY37" s="51"/>
      <c r="BZ37" s="51"/>
      <c r="CA37" s="51"/>
      <c r="CB37" s="51"/>
      <c r="CC37" s="51"/>
      <c r="CD37" s="51"/>
      <c r="CE37" s="51"/>
      <c r="CF37" s="51"/>
      <c r="CG37" s="51"/>
      <c r="CH37" s="51"/>
      <c r="CI37" s="51"/>
      <c r="CJ37" s="51"/>
      <c r="CK37" s="51"/>
      <c r="CL37" s="51"/>
      <c r="CM37" s="51"/>
      <c r="CN37" s="51"/>
      <c r="CO37" s="51"/>
      <c r="CP37" s="51"/>
      <c r="CQ37" s="51"/>
      <c r="CR37" s="51"/>
      <c r="CS37" s="51"/>
      <c r="CT37" s="51"/>
      <c r="CU37" s="51"/>
      <c r="CV37" s="51"/>
      <c r="CW37" s="51"/>
      <c r="CX37" s="51"/>
      <c r="CY37" s="51"/>
      <c r="CZ37" s="51"/>
      <c r="DA37" s="51"/>
      <c r="DB37" s="51"/>
      <c r="DC37" s="51"/>
      <c r="DD37" s="51"/>
      <c r="DE37" s="51"/>
      <c r="DF37" s="51"/>
      <c r="DG37" s="51"/>
      <c r="DH37" s="51"/>
      <c r="DI37" s="51"/>
      <c r="DJ37" s="51"/>
      <c r="DK37" s="51"/>
      <c r="DL37" s="51"/>
      <c r="DM37" s="51"/>
      <c r="DN37" s="51"/>
      <c r="DO37" s="51"/>
      <c r="DP37" s="51"/>
      <c r="DQ37" s="51"/>
      <c r="DR37" s="51"/>
      <c r="DS37" s="51"/>
      <c r="DT37" s="51"/>
      <c r="DU37" s="51"/>
      <c r="DV37" s="51"/>
      <c r="DW37" s="51"/>
      <c r="DX37" s="51"/>
      <c r="DY37" s="51"/>
      <c r="DZ37" s="51"/>
      <c r="EA37" s="51"/>
      <c r="EB37" s="51"/>
      <c r="EC37" s="51"/>
      <c r="ED37" s="51"/>
      <c r="EE37" s="51"/>
      <c r="EF37" s="51"/>
      <c r="EG37" s="51"/>
      <c r="EH37" s="51"/>
      <c r="EI37" s="51"/>
      <c r="EJ37" s="51"/>
      <c r="EK37" s="51"/>
      <c r="EL37" s="51"/>
      <c r="EM37" s="51"/>
      <c r="EN37" s="51"/>
      <c r="EO37" s="51"/>
      <c r="EP37" s="51"/>
      <c r="EQ37" s="51"/>
      <c r="ER37" s="51"/>
      <c r="ES37" s="51"/>
      <c r="ET37" s="51"/>
      <c r="EU37" s="51"/>
      <c r="EV37" s="51"/>
      <c r="EW37" s="51"/>
      <c r="EX37" s="51"/>
      <c r="EY37" s="51"/>
      <c r="EZ37" s="51"/>
      <c r="FA37" s="51"/>
      <c r="FB37" s="51"/>
      <c r="FC37" s="51"/>
      <c r="FD37" s="51"/>
      <c r="FE37" s="51"/>
      <c r="FF37" s="51"/>
      <c r="FG37" s="51"/>
      <c r="FH37" s="51"/>
      <c r="FI37" s="51"/>
      <c r="FJ37" s="51"/>
      <c r="FK37" s="51"/>
      <c r="FL37" s="51"/>
      <c r="FM37" s="51"/>
      <c r="FN37" s="51"/>
      <c r="FO37" s="51"/>
      <c r="FP37" s="51"/>
      <c r="FQ37" s="51"/>
      <c r="FR37" s="51"/>
      <c r="FS37" s="51"/>
      <c r="FT37" s="51"/>
      <c r="FU37" s="51"/>
      <c r="FV37" s="51"/>
      <c r="FW37" s="51"/>
      <c r="FX37" s="51"/>
      <c r="FY37" s="51"/>
      <c r="FZ37" s="51"/>
      <c r="GA37" s="51"/>
      <c r="GB37" s="51"/>
      <c r="GC37" s="51"/>
      <c r="GD37" s="51"/>
      <c r="GE37" s="51"/>
      <c r="GF37" s="51"/>
      <c r="GG37" s="51"/>
      <c r="GH37" s="51"/>
      <c r="GI37" s="51"/>
      <c r="GJ37" s="51"/>
      <c r="GK37" s="51"/>
      <c r="GL37" s="51"/>
      <c r="GM37" s="51"/>
      <c r="GN37" s="51"/>
      <c r="GO37" s="51"/>
      <c r="GP37" s="51"/>
      <c r="GQ37" s="51"/>
      <c r="GR37" s="51"/>
      <c r="GS37" s="51"/>
      <c r="GT37" s="51"/>
      <c r="GU37" s="51"/>
      <c r="GV37" s="51"/>
      <c r="GW37" s="51"/>
      <c r="GX37" s="51"/>
      <c r="GY37" s="51"/>
      <c r="GZ37" s="51"/>
      <c r="HA37" s="51"/>
      <c r="HB37" s="51"/>
      <c r="HC37" s="51"/>
      <c r="HD37" s="51"/>
      <c r="HE37" s="51"/>
      <c r="HF37" s="51"/>
      <c r="HG37" s="51"/>
      <c r="HH37" s="51"/>
      <c r="HI37" s="51"/>
      <c r="HJ37" s="51"/>
      <c r="HK37" s="51"/>
      <c r="HL37" s="51"/>
      <c r="HM37" s="51"/>
      <c r="HN37" s="51"/>
      <c r="HO37" s="51"/>
      <c r="HP37" s="51"/>
      <c r="HQ37" s="51"/>
      <c r="HR37" s="51"/>
      <c r="HS37" s="51"/>
      <c r="HT37" s="51"/>
      <c r="HU37" s="51"/>
      <c r="HV37" s="51"/>
      <c r="HW37" s="51"/>
      <c r="HX37" s="51"/>
      <c r="HY37" s="51"/>
      <c r="HZ37" s="51"/>
      <c r="IA37" s="51"/>
      <c r="IB37" s="51"/>
      <c r="IC37" s="51"/>
      <c r="ID37" s="51"/>
      <c r="IE37" s="51"/>
      <c r="IF37" s="51"/>
      <c r="IG37" s="51"/>
      <c r="IH37" s="51"/>
      <c r="II37" s="51"/>
      <c r="IJ37" s="51"/>
      <c r="IK37" s="51"/>
      <c r="IL37" s="51"/>
      <c r="IM37" s="51"/>
      <c r="IN37" s="51"/>
      <c r="IO37" s="51"/>
      <c r="IP37" s="51"/>
      <c r="IQ37" s="51"/>
      <c r="IR37" s="51"/>
      <c r="IS37" s="51"/>
    </row>
    <row r="38" spans="1:253" ht="15" x14ac:dyDescent="0.25">
      <c r="A38" s="394" t="s">
        <v>133</v>
      </c>
      <c r="B38" s="451">
        <v>655350</v>
      </c>
      <c r="C38" s="453">
        <v>655350</v>
      </c>
      <c r="D38" s="451">
        <v>430709</v>
      </c>
      <c r="E38" s="453">
        <v>430709</v>
      </c>
      <c r="F38" s="225">
        <v>-8192</v>
      </c>
      <c r="G38" s="451">
        <v>422517</v>
      </c>
      <c r="H38" s="453">
        <v>422517</v>
      </c>
      <c r="I38" s="648"/>
      <c r="J38" s="650"/>
      <c r="K38" s="658"/>
      <c r="L38" s="660">
        <v>0</v>
      </c>
      <c r="M38" s="634"/>
      <c r="N38" s="662"/>
      <c r="O38" s="634"/>
      <c r="P38" s="636">
        <f t="shared" si="1"/>
        <v>0</v>
      </c>
      <c r="Q38" s="634"/>
      <c r="R38" s="636">
        <v>0</v>
      </c>
      <c r="S38" s="634"/>
      <c r="T38" s="664"/>
      <c r="U38" s="634"/>
      <c r="V38" s="664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1"/>
      <c r="BM38" s="51"/>
      <c r="BN38" s="51"/>
      <c r="BO38" s="51"/>
      <c r="BP38" s="51"/>
      <c r="BQ38" s="51"/>
      <c r="BR38" s="51"/>
      <c r="BS38" s="51"/>
      <c r="BT38" s="51"/>
      <c r="BU38" s="51"/>
      <c r="BV38" s="51"/>
      <c r="BW38" s="51"/>
      <c r="BX38" s="51"/>
      <c r="BY38" s="51"/>
      <c r="BZ38" s="51"/>
      <c r="CA38" s="51"/>
      <c r="CB38" s="51"/>
      <c r="CC38" s="51"/>
      <c r="CD38" s="51"/>
      <c r="CE38" s="51"/>
      <c r="CF38" s="51"/>
      <c r="CG38" s="51"/>
      <c r="CH38" s="51"/>
      <c r="CI38" s="51"/>
      <c r="CJ38" s="51"/>
      <c r="CK38" s="51"/>
      <c r="CL38" s="51"/>
      <c r="CM38" s="51"/>
      <c r="CN38" s="51"/>
      <c r="CO38" s="51"/>
      <c r="CP38" s="51"/>
      <c r="CQ38" s="51"/>
      <c r="CR38" s="51"/>
      <c r="CS38" s="51"/>
      <c r="CT38" s="51"/>
      <c r="CU38" s="51"/>
      <c r="CV38" s="51"/>
      <c r="CW38" s="51"/>
      <c r="CX38" s="51"/>
      <c r="CY38" s="51"/>
      <c r="CZ38" s="51"/>
      <c r="DA38" s="51"/>
      <c r="DB38" s="51"/>
      <c r="DC38" s="51"/>
      <c r="DD38" s="51"/>
      <c r="DE38" s="51"/>
      <c r="DF38" s="51"/>
      <c r="DG38" s="51"/>
      <c r="DH38" s="51"/>
      <c r="DI38" s="51"/>
      <c r="DJ38" s="51"/>
      <c r="DK38" s="51"/>
      <c r="DL38" s="51"/>
      <c r="DM38" s="51"/>
      <c r="DN38" s="51"/>
      <c r="DO38" s="51"/>
      <c r="DP38" s="51"/>
      <c r="DQ38" s="51"/>
      <c r="DR38" s="51"/>
      <c r="DS38" s="51"/>
      <c r="DT38" s="51"/>
      <c r="DU38" s="51"/>
      <c r="DV38" s="51"/>
      <c r="DW38" s="51"/>
      <c r="DX38" s="51"/>
      <c r="DY38" s="51"/>
      <c r="DZ38" s="51"/>
      <c r="EA38" s="51"/>
      <c r="EB38" s="51"/>
      <c r="EC38" s="51"/>
      <c r="ED38" s="51"/>
      <c r="EE38" s="51"/>
      <c r="EF38" s="51"/>
      <c r="EG38" s="51"/>
      <c r="EH38" s="51"/>
      <c r="EI38" s="51"/>
      <c r="EJ38" s="51"/>
      <c r="EK38" s="51"/>
      <c r="EL38" s="51"/>
      <c r="EM38" s="51"/>
      <c r="EN38" s="51"/>
      <c r="EO38" s="51"/>
      <c r="EP38" s="51"/>
      <c r="EQ38" s="51"/>
      <c r="ER38" s="51"/>
      <c r="ES38" s="51"/>
      <c r="ET38" s="51"/>
      <c r="EU38" s="51"/>
      <c r="EV38" s="51"/>
      <c r="EW38" s="51"/>
      <c r="EX38" s="51"/>
      <c r="EY38" s="51"/>
      <c r="EZ38" s="51"/>
      <c r="FA38" s="51"/>
      <c r="FB38" s="51"/>
      <c r="FC38" s="51"/>
      <c r="FD38" s="51"/>
      <c r="FE38" s="51"/>
      <c r="FF38" s="51"/>
      <c r="FG38" s="51"/>
      <c r="FH38" s="51"/>
      <c r="FI38" s="51"/>
      <c r="FJ38" s="51"/>
      <c r="FK38" s="51"/>
      <c r="FL38" s="51"/>
      <c r="FM38" s="51"/>
      <c r="FN38" s="51"/>
      <c r="FO38" s="51"/>
      <c r="FP38" s="51"/>
      <c r="FQ38" s="51"/>
      <c r="FR38" s="51"/>
      <c r="FS38" s="51"/>
      <c r="FT38" s="51"/>
      <c r="FU38" s="51"/>
      <c r="FV38" s="51"/>
      <c r="FW38" s="51"/>
      <c r="FX38" s="51"/>
      <c r="FY38" s="51"/>
      <c r="FZ38" s="51"/>
      <c r="GA38" s="51"/>
      <c r="GB38" s="51"/>
      <c r="GC38" s="51"/>
      <c r="GD38" s="51"/>
      <c r="GE38" s="51"/>
      <c r="GF38" s="51"/>
      <c r="GG38" s="51"/>
      <c r="GH38" s="51"/>
      <c r="GI38" s="51"/>
      <c r="GJ38" s="51"/>
      <c r="GK38" s="51"/>
      <c r="GL38" s="51"/>
      <c r="GM38" s="51"/>
      <c r="GN38" s="51"/>
      <c r="GO38" s="51"/>
      <c r="GP38" s="51"/>
      <c r="GQ38" s="51"/>
      <c r="GR38" s="51"/>
      <c r="GS38" s="51"/>
      <c r="GT38" s="51"/>
      <c r="GU38" s="51"/>
      <c r="GV38" s="51"/>
      <c r="GW38" s="51"/>
      <c r="GX38" s="51"/>
      <c r="GY38" s="51"/>
      <c r="GZ38" s="51"/>
      <c r="HA38" s="51"/>
      <c r="HB38" s="51"/>
      <c r="HC38" s="51"/>
      <c r="HD38" s="51"/>
      <c r="HE38" s="51"/>
      <c r="HF38" s="51"/>
      <c r="HG38" s="51"/>
      <c r="HH38" s="51"/>
      <c r="HI38" s="51"/>
      <c r="HJ38" s="51"/>
      <c r="HK38" s="51"/>
      <c r="HL38" s="51"/>
      <c r="HM38" s="51"/>
      <c r="HN38" s="51"/>
      <c r="HO38" s="51"/>
      <c r="HP38" s="51"/>
      <c r="HQ38" s="51"/>
      <c r="HR38" s="51"/>
      <c r="HS38" s="51"/>
      <c r="HT38" s="51"/>
      <c r="HU38" s="51"/>
      <c r="HV38" s="51"/>
      <c r="HW38" s="51"/>
      <c r="HX38" s="51"/>
      <c r="HY38" s="51"/>
      <c r="HZ38" s="51"/>
      <c r="IA38" s="51"/>
      <c r="IB38" s="51"/>
      <c r="IC38" s="51"/>
      <c r="ID38" s="51"/>
      <c r="IE38" s="51"/>
      <c r="IF38" s="51"/>
      <c r="IG38" s="51"/>
      <c r="IH38" s="51"/>
      <c r="II38" s="51"/>
      <c r="IJ38" s="51"/>
      <c r="IK38" s="51"/>
      <c r="IL38" s="51"/>
      <c r="IM38" s="51"/>
      <c r="IN38" s="51"/>
      <c r="IO38" s="51"/>
      <c r="IP38" s="51"/>
      <c r="IQ38" s="51"/>
      <c r="IR38" s="51"/>
      <c r="IS38" s="51"/>
    </row>
    <row r="39" spans="1:253" ht="15" x14ac:dyDescent="0.25">
      <c r="A39" s="389" t="s">
        <v>142</v>
      </c>
      <c r="B39" s="451">
        <v>351350</v>
      </c>
      <c r="C39" s="453">
        <v>351350</v>
      </c>
      <c r="D39" s="451">
        <v>331165</v>
      </c>
      <c r="E39" s="301">
        <v>331165</v>
      </c>
      <c r="F39" s="303">
        <v>0</v>
      </c>
      <c r="G39" s="451">
        <v>331165</v>
      </c>
      <c r="H39" s="453">
        <v>331165</v>
      </c>
      <c r="I39" s="454">
        <v>322920</v>
      </c>
      <c r="J39" s="455">
        <v>322920</v>
      </c>
      <c r="K39" s="451">
        <v>314185.34199999273</v>
      </c>
      <c r="L39" s="453">
        <v>314185.34199999273</v>
      </c>
      <c r="M39" s="445">
        <v>324414</v>
      </c>
      <c r="N39" s="450">
        <v>324414</v>
      </c>
      <c r="O39" s="445">
        <v>325166.97499999998</v>
      </c>
      <c r="P39" s="448">
        <f t="shared" si="1"/>
        <v>325166.97499999998</v>
      </c>
      <c r="Q39" s="445">
        <v>325042.97600000002</v>
      </c>
      <c r="R39" s="448">
        <v>325042.97600000002</v>
      </c>
      <c r="S39" s="445">
        <v>325042.97600000002</v>
      </c>
      <c r="T39" s="446">
        <v>325042.97600000002</v>
      </c>
      <c r="U39" s="445">
        <v>325112.97600000002</v>
      </c>
      <c r="V39" s="446">
        <f>U39</f>
        <v>325112.97600000002</v>
      </c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  <c r="AN39" s="69"/>
      <c r="AO39" s="69"/>
      <c r="AP39" s="69"/>
      <c r="AQ39" s="69"/>
      <c r="AR39" s="69"/>
      <c r="AS39" s="69"/>
      <c r="AT39" s="69"/>
      <c r="AU39" s="69"/>
      <c r="AV39" s="69"/>
      <c r="AW39" s="69"/>
      <c r="AX39" s="69"/>
      <c r="AY39" s="69"/>
      <c r="AZ39" s="69"/>
      <c r="BA39" s="69"/>
      <c r="BB39" s="69"/>
      <c r="BC39" s="69"/>
      <c r="BD39" s="69"/>
      <c r="BE39" s="69"/>
      <c r="BF39" s="69"/>
      <c r="BG39" s="69"/>
      <c r="BH39" s="69"/>
      <c r="BI39" s="69"/>
      <c r="BJ39" s="69"/>
      <c r="BK39" s="69"/>
      <c r="BL39" s="69"/>
      <c r="BM39" s="69"/>
      <c r="BN39" s="69"/>
      <c r="BO39" s="69"/>
      <c r="BP39" s="69"/>
      <c r="BQ39" s="69"/>
      <c r="BR39" s="69"/>
      <c r="BS39" s="69"/>
      <c r="BT39" s="69"/>
      <c r="BU39" s="69"/>
      <c r="BV39" s="69"/>
      <c r="BW39" s="69"/>
      <c r="BX39" s="69"/>
      <c r="BY39" s="69"/>
      <c r="BZ39" s="69"/>
      <c r="CA39" s="69"/>
      <c r="CB39" s="69"/>
      <c r="CC39" s="69"/>
      <c r="CD39" s="69"/>
      <c r="CE39" s="69"/>
      <c r="CF39" s="69"/>
      <c r="CG39" s="69"/>
      <c r="CH39" s="69"/>
      <c r="CI39" s="69"/>
      <c r="CJ39" s="69"/>
      <c r="CK39" s="69"/>
      <c r="CL39" s="69"/>
      <c r="CM39" s="69"/>
      <c r="CN39" s="69"/>
      <c r="CO39" s="69"/>
      <c r="CP39" s="69"/>
      <c r="CQ39" s="69"/>
      <c r="CR39" s="69"/>
      <c r="CS39" s="69"/>
      <c r="CT39" s="69"/>
      <c r="CU39" s="69"/>
      <c r="CV39" s="69"/>
      <c r="CW39" s="69"/>
      <c r="CX39" s="69"/>
      <c r="CY39" s="69"/>
      <c r="CZ39" s="69"/>
      <c r="DA39" s="69"/>
      <c r="DB39" s="69"/>
      <c r="DC39" s="69"/>
      <c r="DD39" s="69"/>
      <c r="DE39" s="69"/>
      <c r="DF39" s="69"/>
      <c r="DG39" s="69"/>
      <c r="DH39" s="69"/>
      <c r="DI39" s="69"/>
      <c r="DJ39" s="69"/>
      <c r="DK39" s="69"/>
      <c r="DL39" s="69"/>
      <c r="DM39" s="69"/>
      <c r="DN39" s="69"/>
      <c r="DO39" s="69"/>
      <c r="DP39" s="69"/>
      <c r="DQ39" s="69"/>
      <c r="DR39" s="69"/>
      <c r="DS39" s="69"/>
      <c r="DT39" s="69"/>
      <c r="DU39" s="69"/>
      <c r="DV39" s="69"/>
      <c r="DW39" s="69"/>
      <c r="DX39" s="69"/>
      <c r="DY39" s="69"/>
      <c r="DZ39" s="69"/>
      <c r="EA39" s="69"/>
      <c r="EB39" s="69"/>
      <c r="EC39" s="69"/>
      <c r="ED39" s="69"/>
      <c r="EE39" s="69"/>
      <c r="EF39" s="69"/>
      <c r="EG39" s="69"/>
      <c r="EH39" s="69"/>
      <c r="EI39" s="69"/>
      <c r="EJ39" s="69"/>
      <c r="EK39" s="69"/>
      <c r="EL39" s="69"/>
      <c r="EM39" s="69"/>
      <c r="EN39" s="69"/>
      <c r="EO39" s="69"/>
      <c r="EP39" s="69"/>
      <c r="EQ39" s="69"/>
      <c r="ER39" s="69"/>
      <c r="ES39" s="69"/>
      <c r="ET39" s="69"/>
      <c r="EU39" s="69"/>
      <c r="EV39" s="69"/>
      <c r="EW39" s="69"/>
      <c r="EX39" s="69"/>
      <c r="EY39" s="69"/>
      <c r="EZ39" s="69"/>
      <c r="FA39" s="69"/>
      <c r="FB39" s="69"/>
      <c r="FC39" s="69"/>
      <c r="FD39" s="69"/>
      <c r="FE39" s="69"/>
      <c r="FF39" s="69"/>
      <c r="FG39" s="69"/>
      <c r="FH39" s="69"/>
      <c r="FI39" s="69"/>
      <c r="FJ39" s="69"/>
      <c r="FK39" s="69"/>
      <c r="FL39" s="69"/>
      <c r="FM39" s="69"/>
      <c r="FN39" s="69"/>
      <c r="FO39" s="69"/>
      <c r="FP39" s="69"/>
      <c r="FQ39" s="69"/>
      <c r="FR39" s="69"/>
      <c r="FS39" s="69"/>
      <c r="FT39" s="69"/>
      <c r="FU39" s="69"/>
      <c r="FV39" s="69"/>
      <c r="FW39" s="69"/>
      <c r="FX39" s="69"/>
      <c r="FY39" s="69"/>
      <c r="FZ39" s="69"/>
      <c r="GA39" s="69"/>
      <c r="GB39" s="69"/>
      <c r="GC39" s="69"/>
      <c r="GD39" s="69"/>
      <c r="GE39" s="69"/>
      <c r="GF39" s="69"/>
      <c r="GG39" s="69"/>
      <c r="GH39" s="69"/>
      <c r="GI39" s="69"/>
      <c r="GJ39" s="69"/>
      <c r="GK39" s="69"/>
      <c r="GL39" s="69"/>
      <c r="GM39" s="69"/>
      <c r="GN39" s="69"/>
      <c r="GO39" s="69"/>
      <c r="GP39" s="69"/>
      <c r="GQ39" s="69"/>
      <c r="GR39" s="69"/>
      <c r="GS39" s="69"/>
      <c r="GT39" s="69"/>
      <c r="GU39" s="69"/>
      <c r="GV39" s="69"/>
      <c r="GW39" s="69"/>
      <c r="GX39" s="69"/>
      <c r="GY39" s="69"/>
      <c r="GZ39" s="69"/>
      <c r="HA39" s="69"/>
      <c r="HB39" s="69"/>
      <c r="HC39" s="69"/>
      <c r="HD39" s="69"/>
      <c r="HE39" s="69"/>
      <c r="HF39" s="69"/>
      <c r="HG39" s="69"/>
      <c r="HH39" s="69"/>
      <c r="HI39" s="69"/>
      <c r="HJ39" s="69"/>
      <c r="HK39" s="69"/>
      <c r="HL39" s="69"/>
      <c r="HM39" s="69"/>
      <c r="HN39" s="69"/>
      <c r="HO39" s="69"/>
      <c r="HP39" s="69"/>
      <c r="HQ39" s="69"/>
      <c r="HR39" s="69"/>
      <c r="HS39" s="69"/>
      <c r="HT39" s="69"/>
      <c r="HU39" s="69"/>
      <c r="HV39" s="69"/>
      <c r="HW39" s="69"/>
      <c r="HX39" s="69"/>
      <c r="HY39" s="69"/>
      <c r="HZ39" s="69"/>
      <c r="IA39" s="69"/>
      <c r="IB39" s="69"/>
      <c r="IC39" s="69"/>
      <c r="ID39" s="69"/>
      <c r="IE39" s="69"/>
      <c r="IF39" s="69"/>
      <c r="IG39" s="69"/>
      <c r="IH39" s="69"/>
      <c r="II39" s="69"/>
      <c r="IJ39" s="69"/>
      <c r="IK39" s="69"/>
      <c r="IL39" s="69"/>
      <c r="IM39" s="69"/>
      <c r="IN39" s="69"/>
      <c r="IO39" s="69"/>
      <c r="IP39" s="69"/>
      <c r="IQ39" s="69"/>
      <c r="IR39" s="69"/>
      <c r="IS39" s="69"/>
    </row>
    <row r="40" spans="1:253" ht="15" x14ac:dyDescent="0.25">
      <c r="A40" s="415" t="s">
        <v>576</v>
      </c>
      <c r="B40" s="214">
        <v>304000</v>
      </c>
      <c r="C40" s="217">
        <v>304000</v>
      </c>
      <c r="D40" s="214">
        <v>104000</v>
      </c>
      <c r="E40" s="217">
        <v>104000</v>
      </c>
      <c r="F40" s="224">
        <v>-13000</v>
      </c>
      <c r="G40" s="214">
        <v>91000</v>
      </c>
      <c r="H40" s="217">
        <v>91000</v>
      </c>
      <c r="I40" s="416">
        <v>206000</v>
      </c>
      <c r="J40" s="417">
        <v>206000</v>
      </c>
      <c r="K40" s="214">
        <v>91000</v>
      </c>
      <c r="L40" s="217">
        <v>91000</v>
      </c>
      <c r="M40" s="418">
        <v>91000</v>
      </c>
      <c r="N40" s="419">
        <v>91000</v>
      </c>
      <c r="O40" s="418">
        <v>91000</v>
      </c>
      <c r="P40" s="420">
        <f t="shared" si="1"/>
        <v>91000</v>
      </c>
      <c r="Q40" s="418">
        <v>25946.128000000001</v>
      </c>
      <c r="R40" s="420">
        <v>25946.128000000001</v>
      </c>
      <c r="S40" s="418">
        <v>65000</v>
      </c>
      <c r="T40" s="421">
        <v>65000</v>
      </c>
      <c r="U40" s="418">
        <v>65000</v>
      </c>
      <c r="V40" s="421">
        <v>65000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  <c r="BF40" s="51"/>
      <c r="BG40" s="51"/>
      <c r="BH40" s="51"/>
      <c r="BI40" s="51"/>
      <c r="BJ40" s="51"/>
      <c r="BK40" s="51"/>
      <c r="BL40" s="51"/>
      <c r="BM40" s="51"/>
      <c r="BN40" s="51"/>
      <c r="BO40" s="51"/>
      <c r="BP40" s="51"/>
      <c r="BQ40" s="51"/>
      <c r="BR40" s="51"/>
      <c r="BS40" s="51"/>
      <c r="BT40" s="51"/>
      <c r="BU40" s="51"/>
      <c r="BV40" s="51"/>
      <c r="BW40" s="51"/>
      <c r="BX40" s="51"/>
      <c r="BY40" s="51"/>
      <c r="BZ40" s="51"/>
      <c r="CA40" s="51"/>
      <c r="CB40" s="51"/>
      <c r="CC40" s="51"/>
      <c r="CD40" s="51"/>
      <c r="CE40" s="51"/>
      <c r="CF40" s="51"/>
      <c r="CG40" s="51"/>
      <c r="CH40" s="51"/>
      <c r="CI40" s="51"/>
      <c r="CJ40" s="51"/>
      <c r="CK40" s="51"/>
      <c r="CL40" s="51"/>
      <c r="CM40" s="51"/>
      <c r="CN40" s="51"/>
      <c r="CO40" s="51"/>
      <c r="CP40" s="51"/>
      <c r="CQ40" s="51"/>
      <c r="CR40" s="51"/>
      <c r="CS40" s="51"/>
      <c r="CT40" s="51"/>
      <c r="CU40" s="51"/>
      <c r="CV40" s="51"/>
      <c r="CW40" s="51"/>
      <c r="CX40" s="51"/>
      <c r="CY40" s="51"/>
      <c r="CZ40" s="51"/>
      <c r="DA40" s="51"/>
      <c r="DB40" s="51"/>
      <c r="DC40" s="51"/>
      <c r="DD40" s="51"/>
      <c r="DE40" s="51"/>
      <c r="DF40" s="51"/>
      <c r="DG40" s="51"/>
      <c r="DH40" s="51"/>
      <c r="DI40" s="51"/>
      <c r="DJ40" s="51"/>
      <c r="DK40" s="51"/>
      <c r="DL40" s="51"/>
      <c r="DM40" s="51"/>
      <c r="DN40" s="51"/>
      <c r="DO40" s="51"/>
      <c r="DP40" s="51"/>
      <c r="DQ40" s="51"/>
      <c r="DR40" s="51"/>
      <c r="DS40" s="51"/>
      <c r="DT40" s="51"/>
      <c r="DU40" s="51"/>
      <c r="DV40" s="51"/>
      <c r="DW40" s="51"/>
      <c r="DX40" s="51"/>
      <c r="DY40" s="51"/>
      <c r="DZ40" s="51"/>
      <c r="EA40" s="51"/>
      <c r="EB40" s="51"/>
      <c r="EC40" s="51"/>
      <c r="ED40" s="51"/>
      <c r="EE40" s="51"/>
      <c r="EF40" s="51"/>
      <c r="EG40" s="51"/>
      <c r="EH40" s="51"/>
      <c r="EI40" s="51"/>
      <c r="EJ40" s="51"/>
      <c r="EK40" s="51"/>
      <c r="EL40" s="51"/>
      <c r="EM40" s="51"/>
      <c r="EN40" s="51"/>
      <c r="EO40" s="51"/>
      <c r="EP40" s="51"/>
      <c r="EQ40" s="51"/>
      <c r="ER40" s="51"/>
      <c r="ES40" s="51"/>
      <c r="ET40" s="51"/>
      <c r="EU40" s="51"/>
      <c r="EV40" s="51"/>
      <c r="EW40" s="51"/>
      <c r="EX40" s="51"/>
      <c r="EY40" s="51"/>
      <c r="EZ40" s="51"/>
      <c r="FA40" s="51"/>
      <c r="FB40" s="51"/>
      <c r="FC40" s="51"/>
      <c r="FD40" s="51"/>
      <c r="FE40" s="51"/>
      <c r="FF40" s="51"/>
      <c r="FG40" s="51"/>
      <c r="FH40" s="51"/>
      <c r="FI40" s="51"/>
      <c r="FJ40" s="51"/>
      <c r="FK40" s="51"/>
      <c r="FL40" s="51"/>
      <c r="FM40" s="51"/>
      <c r="FN40" s="51"/>
      <c r="FO40" s="51"/>
      <c r="FP40" s="51"/>
      <c r="FQ40" s="51"/>
      <c r="FR40" s="51"/>
      <c r="FS40" s="51"/>
      <c r="FT40" s="51"/>
      <c r="FU40" s="51"/>
      <c r="FV40" s="51"/>
      <c r="FW40" s="51"/>
      <c r="FX40" s="51"/>
      <c r="FY40" s="51"/>
      <c r="FZ40" s="51"/>
      <c r="GA40" s="51"/>
      <c r="GB40" s="51"/>
      <c r="GC40" s="51"/>
      <c r="GD40" s="51"/>
      <c r="GE40" s="51"/>
      <c r="GF40" s="51"/>
      <c r="GG40" s="51"/>
      <c r="GH40" s="51"/>
      <c r="GI40" s="51"/>
      <c r="GJ40" s="51"/>
      <c r="GK40" s="51"/>
      <c r="GL40" s="51"/>
      <c r="GM40" s="51"/>
      <c r="GN40" s="51"/>
      <c r="GO40" s="51"/>
      <c r="GP40" s="51"/>
      <c r="GQ40" s="51"/>
      <c r="GR40" s="51"/>
      <c r="GS40" s="51"/>
      <c r="GT40" s="51"/>
      <c r="GU40" s="51"/>
      <c r="GV40" s="51"/>
      <c r="GW40" s="51"/>
      <c r="GX40" s="51"/>
      <c r="GY40" s="51"/>
      <c r="GZ40" s="51"/>
      <c r="HA40" s="51"/>
      <c r="HB40" s="51"/>
      <c r="HC40" s="51"/>
      <c r="HD40" s="51"/>
      <c r="HE40" s="51"/>
      <c r="HF40" s="51"/>
      <c r="HG40" s="51"/>
      <c r="HH40" s="51"/>
      <c r="HI40" s="51"/>
      <c r="HJ40" s="51"/>
      <c r="HK40" s="51"/>
      <c r="HL40" s="51"/>
      <c r="HM40" s="51"/>
      <c r="HN40" s="51"/>
      <c r="HO40" s="51"/>
      <c r="HP40" s="51"/>
      <c r="HQ40" s="51"/>
      <c r="HR40" s="51"/>
      <c r="HS40" s="51"/>
      <c r="HT40" s="51"/>
      <c r="HU40" s="51"/>
      <c r="HV40" s="51"/>
      <c r="HW40" s="51"/>
      <c r="HX40" s="51"/>
      <c r="HY40" s="51"/>
      <c r="HZ40" s="51"/>
      <c r="IA40" s="51"/>
      <c r="IB40" s="51"/>
      <c r="IC40" s="51"/>
      <c r="ID40" s="51"/>
      <c r="IE40" s="51"/>
      <c r="IF40" s="51"/>
      <c r="IG40" s="51"/>
      <c r="IH40" s="51"/>
      <c r="II40" s="51"/>
      <c r="IJ40" s="51"/>
      <c r="IK40" s="51"/>
      <c r="IL40" s="51"/>
      <c r="IM40" s="51"/>
      <c r="IN40" s="51"/>
      <c r="IO40" s="51"/>
      <c r="IP40" s="51"/>
      <c r="IQ40" s="51"/>
      <c r="IR40" s="51"/>
      <c r="IS40" s="51"/>
    </row>
    <row r="41" spans="1:253" ht="45" x14ac:dyDescent="0.25">
      <c r="A41" s="228" t="s">
        <v>143</v>
      </c>
      <c r="B41" s="229"/>
      <c r="C41" s="229"/>
      <c r="D41" s="229"/>
      <c r="E41" s="229"/>
      <c r="F41" s="229"/>
      <c r="G41" s="229"/>
      <c r="H41" s="229"/>
      <c r="I41" s="230"/>
      <c r="J41" s="229"/>
      <c r="K41" s="229"/>
      <c r="L41" s="229"/>
      <c r="M41" s="231"/>
      <c r="N41" s="231"/>
      <c r="O41" s="231"/>
      <c r="P41" s="231"/>
      <c r="Q41" s="231"/>
      <c r="R41" s="231"/>
      <c r="S41" s="69"/>
      <c r="T41" s="69"/>
      <c r="U41" s="69"/>
      <c r="V41" s="69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  <c r="BF41" s="51"/>
      <c r="BG41" s="51"/>
      <c r="BH41" s="51"/>
      <c r="BI41" s="51"/>
      <c r="BJ41" s="51"/>
      <c r="BK41" s="51"/>
      <c r="BL41" s="51"/>
      <c r="BM41" s="51"/>
      <c r="BN41" s="51"/>
      <c r="BO41" s="51"/>
      <c r="BP41" s="51"/>
      <c r="BQ41" s="51"/>
      <c r="BR41" s="51"/>
      <c r="BS41" s="51"/>
      <c r="BT41" s="51"/>
      <c r="BU41" s="51"/>
      <c r="BV41" s="51"/>
      <c r="BW41" s="51"/>
      <c r="BX41" s="51"/>
      <c r="BY41" s="51"/>
      <c r="BZ41" s="51"/>
      <c r="CA41" s="51"/>
      <c r="CB41" s="51"/>
      <c r="CC41" s="51"/>
      <c r="CD41" s="51"/>
      <c r="CE41" s="51"/>
      <c r="CF41" s="51"/>
      <c r="CG41" s="51"/>
      <c r="CH41" s="51"/>
      <c r="CI41" s="51"/>
      <c r="CJ41" s="51"/>
      <c r="CK41" s="51"/>
      <c r="CL41" s="51"/>
      <c r="CM41" s="51"/>
      <c r="CN41" s="51"/>
      <c r="CO41" s="51"/>
      <c r="CP41" s="51"/>
      <c r="CQ41" s="51"/>
      <c r="CR41" s="51"/>
      <c r="CS41" s="51"/>
      <c r="CT41" s="51"/>
      <c r="CU41" s="51"/>
      <c r="CV41" s="51"/>
      <c r="CW41" s="51"/>
      <c r="CX41" s="51"/>
      <c r="CY41" s="51"/>
      <c r="CZ41" s="51"/>
      <c r="DA41" s="51"/>
      <c r="DB41" s="51"/>
      <c r="DC41" s="51"/>
      <c r="DD41" s="51"/>
      <c r="DE41" s="51"/>
      <c r="DF41" s="51"/>
      <c r="DG41" s="51"/>
      <c r="DH41" s="51"/>
      <c r="DI41" s="51"/>
      <c r="DJ41" s="51"/>
      <c r="DK41" s="51"/>
      <c r="DL41" s="51"/>
      <c r="DM41" s="51"/>
      <c r="DN41" s="51"/>
      <c r="DO41" s="51"/>
      <c r="DP41" s="51"/>
      <c r="DQ41" s="51"/>
      <c r="DR41" s="51"/>
      <c r="DS41" s="51"/>
      <c r="DT41" s="51"/>
      <c r="DU41" s="51"/>
      <c r="DV41" s="51"/>
      <c r="DW41" s="51"/>
      <c r="DX41" s="51"/>
      <c r="DY41" s="51"/>
      <c r="DZ41" s="51"/>
      <c r="EA41" s="51"/>
      <c r="EB41" s="51"/>
      <c r="EC41" s="51"/>
      <c r="ED41" s="51"/>
      <c r="EE41" s="51"/>
      <c r="EF41" s="51"/>
      <c r="EG41" s="51"/>
      <c r="EH41" s="51"/>
      <c r="EI41" s="51"/>
      <c r="EJ41" s="51"/>
      <c r="EK41" s="51"/>
      <c r="EL41" s="51"/>
      <c r="EM41" s="51"/>
      <c r="EN41" s="51"/>
      <c r="EO41" s="51"/>
      <c r="EP41" s="51"/>
      <c r="EQ41" s="51"/>
      <c r="ER41" s="51"/>
      <c r="ES41" s="51"/>
      <c r="ET41" s="51"/>
      <c r="EU41" s="51"/>
      <c r="EV41" s="51"/>
      <c r="EW41" s="51"/>
      <c r="EX41" s="51"/>
      <c r="EY41" s="51"/>
      <c r="EZ41" s="51"/>
      <c r="FA41" s="51"/>
      <c r="FB41" s="51"/>
      <c r="FC41" s="51"/>
      <c r="FD41" s="51"/>
      <c r="FE41" s="51"/>
      <c r="FF41" s="51"/>
      <c r="FG41" s="51"/>
      <c r="FH41" s="51"/>
      <c r="FI41" s="51"/>
      <c r="FJ41" s="51"/>
      <c r="FK41" s="51"/>
      <c r="FL41" s="51"/>
      <c r="FM41" s="51"/>
      <c r="FN41" s="51"/>
      <c r="FO41" s="51"/>
      <c r="FP41" s="51"/>
      <c r="FQ41" s="51"/>
      <c r="FR41" s="51"/>
      <c r="FS41" s="51"/>
      <c r="FT41" s="51"/>
      <c r="FU41" s="51"/>
      <c r="FV41" s="51"/>
      <c r="FW41" s="51"/>
      <c r="FX41" s="51"/>
      <c r="FY41" s="51"/>
      <c r="FZ41" s="51"/>
      <c r="GA41" s="51"/>
      <c r="GB41" s="51"/>
      <c r="GC41" s="51"/>
      <c r="GD41" s="51"/>
      <c r="GE41" s="51"/>
      <c r="GF41" s="51"/>
      <c r="GG41" s="51"/>
      <c r="GH41" s="51"/>
      <c r="GI41" s="51"/>
      <c r="GJ41" s="51"/>
      <c r="GK41" s="51"/>
      <c r="GL41" s="51"/>
      <c r="GM41" s="51"/>
      <c r="GN41" s="51"/>
      <c r="GO41" s="51"/>
      <c r="GP41" s="51"/>
      <c r="GQ41" s="51"/>
      <c r="GR41" s="51"/>
      <c r="GS41" s="51"/>
      <c r="GT41" s="51"/>
      <c r="GU41" s="51"/>
      <c r="GV41" s="51"/>
      <c r="GW41" s="51"/>
      <c r="GX41" s="51"/>
      <c r="GY41" s="51"/>
      <c r="GZ41" s="51"/>
      <c r="HA41" s="51"/>
      <c r="HB41" s="51"/>
      <c r="HC41" s="51"/>
      <c r="HD41" s="51"/>
      <c r="HE41" s="51"/>
      <c r="HF41" s="51"/>
      <c r="HG41" s="51"/>
      <c r="HH41" s="51"/>
      <c r="HI41" s="51"/>
      <c r="HJ41" s="51"/>
      <c r="HK41" s="51"/>
      <c r="HL41" s="51"/>
      <c r="HM41" s="51"/>
      <c r="HN41" s="51"/>
      <c r="HO41" s="51"/>
      <c r="HP41" s="51"/>
      <c r="HQ41" s="51"/>
      <c r="HR41" s="51"/>
      <c r="HS41" s="51"/>
      <c r="HT41" s="51"/>
      <c r="HU41" s="51"/>
      <c r="HV41" s="51"/>
      <c r="HW41" s="51"/>
      <c r="HX41" s="51"/>
      <c r="HY41" s="51"/>
      <c r="HZ41" s="51"/>
      <c r="IA41" s="51"/>
      <c r="IB41" s="51"/>
      <c r="IC41" s="51"/>
      <c r="ID41" s="51"/>
      <c r="IE41" s="51"/>
      <c r="IF41" s="51"/>
      <c r="IG41" s="51"/>
      <c r="IH41" s="51"/>
      <c r="II41" s="51"/>
      <c r="IJ41" s="51"/>
      <c r="IK41" s="51"/>
      <c r="IL41" s="51"/>
      <c r="IM41" s="51"/>
      <c r="IN41" s="51"/>
      <c r="IO41" s="51"/>
      <c r="IP41" s="51"/>
      <c r="IQ41" s="51"/>
      <c r="IR41" s="51"/>
      <c r="IS41" s="51"/>
    </row>
    <row r="42" spans="1:253" ht="30" x14ac:dyDescent="0.25">
      <c r="A42" s="574" t="s">
        <v>144</v>
      </c>
      <c r="B42" s="70"/>
      <c r="C42" s="70"/>
      <c r="D42" s="70"/>
      <c r="E42" s="70"/>
      <c r="F42" s="70"/>
      <c r="G42" s="70"/>
      <c r="H42" s="70"/>
      <c r="I42" s="71"/>
      <c r="J42" s="70"/>
      <c r="K42" s="70"/>
      <c r="L42" s="70"/>
      <c r="M42" s="232"/>
      <c r="N42" s="232"/>
      <c r="O42" s="232"/>
      <c r="P42" s="232"/>
      <c r="Q42" s="232"/>
      <c r="R42" s="232"/>
      <c r="S42" s="51"/>
      <c r="T42" s="51"/>
      <c r="U42" s="51"/>
      <c r="V42" s="51"/>
    </row>
    <row r="43" spans="1:253" x14ac:dyDescent="0.2">
      <c r="A43" s="51"/>
      <c r="B43" s="51"/>
      <c r="C43" s="51"/>
      <c r="D43" s="51"/>
      <c r="E43" s="51"/>
      <c r="F43" s="51"/>
      <c r="G43" s="51"/>
      <c r="H43" s="51"/>
      <c r="I43" s="51"/>
      <c r="J43" s="51"/>
      <c r="K43" s="233"/>
      <c r="L43" s="51"/>
      <c r="M43" s="233"/>
      <c r="N43" s="51"/>
      <c r="O43" s="233"/>
      <c r="P43" s="51"/>
    </row>
    <row r="44" spans="1:253" x14ac:dyDescent="0.2">
      <c r="M44" s="46"/>
      <c r="O44" s="46"/>
    </row>
  </sheetData>
  <mergeCells count="75">
    <mergeCell ref="U30:U31"/>
    <mergeCell ref="V30:V31"/>
    <mergeCell ref="U37:U38"/>
    <mergeCell ref="V37:V38"/>
    <mergeCell ref="U6:V6"/>
    <mergeCell ref="U7:U8"/>
    <mergeCell ref="V7:V8"/>
    <mergeCell ref="U15:U16"/>
    <mergeCell ref="V15:V16"/>
    <mergeCell ref="S30:S31"/>
    <mergeCell ref="T30:T31"/>
    <mergeCell ref="S37:S38"/>
    <mergeCell ref="T37:T38"/>
    <mergeCell ref="S6:T6"/>
    <mergeCell ref="S7:S8"/>
    <mergeCell ref="T7:T8"/>
    <mergeCell ref="S15:S16"/>
    <mergeCell ref="T15:T16"/>
    <mergeCell ref="O37:O38"/>
    <mergeCell ref="P37:P38"/>
    <mergeCell ref="N15:N16"/>
    <mergeCell ref="O15:O16"/>
    <mergeCell ref="P15:P16"/>
    <mergeCell ref="P30:P31"/>
    <mergeCell ref="O30:O31"/>
    <mergeCell ref="N30:N31"/>
    <mergeCell ref="M37:M38"/>
    <mergeCell ref="M30:M31"/>
    <mergeCell ref="K37:K38"/>
    <mergeCell ref="L37:L38"/>
    <mergeCell ref="N37:N38"/>
    <mergeCell ref="M15:M16"/>
    <mergeCell ref="O7:O8"/>
    <mergeCell ref="I30:I31"/>
    <mergeCell ref="J30:J31"/>
    <mergeCell ref="I15:I16"/>
    <mergeCell ref="K30:K31"/>
    <mergeCell ref="L30:L31"/>
    <mergeCell ref="I7:I8"/>
    <mergeCell ref="J7:J8"/>
    <mergeCell ref="K15:K16"/>
    <mergeCell ref="L15:L16"/>
    <mergeCell ref="P7:P8"/>
    <mergeCell ref="K6:L6"/>
    <mergeCell ref="M6:N6"/>
    <mergeCell ref="O6:P6"/>
    <mergeCell ref="K7:K8"/>
    <mergeCell ref="L7:L8"/>
    <mergeCell ref="M7:M8"/>
    <mergeCell ref="N7:N8"/>
    <mergeCell ref="I37:I38"/>
    <mergeCell ref="J37:J38"/>
    <mergeCell ref="B6:C6"/>
    <mergeCell ref="D6:F6"/>
    <mergeCell ref="G6:H6"/>
    <mergeCell ref="I6:J6"/>
    <mergeCell ref="D7:D8"/>
    <mergeCell ref="E7:E8"/>
    <mergeCell ref="F7:F8"/>
    <mergeCell ref="G7:G8"/>
    <mergeCell ref="H7:H8"/>
    <mergeCell ref="B7:B8"/>
    <mergeCell ref="C7:C8"/>
    <mergeCell ref="J15:J16"/>
    <mergeCell ref="B15:B16"/>
    <mergeCell ref="C15:C16"/>
    <mergeCell ref="Q37:Q38"/>
    <mergeCell ref="R37:R38"/>
    <mergeCell ref="Q30:Q31"/>
    <mergeCell ref="R30:R31"/>
    <mergeCell ref="Q6:R6"/>
    <mergeCell ref="Q7:Q8"/>
    <mergeCell ref="R7:R8"/>
    <mergeCell ref="Q15:Q16"/>
    <mergeCell ref="R15:R16"/>
  </mergeCells>
  <printOptions horizontalCentered="1"/>
  <pageMargins left="0.48" right="0.35" top="0.78740157480314965" bottom="0.78740157480314965" header="0.51181102362204722" footer="0.31496062992125984"/>
  <pageSetup paperSize="9" scale="67" fitToWidth="0" orientation="landscape" r:id="rId1"/>
  <headerFooter alignWithMargins="0">
    <oddHeader>&amp;RKapitola A
&amp;"-,Tučné"Tabulka č. 4/str. &amp;P</oddHeader>
  </headerFooter>
  <colBreaks count="2" manualBreakCount="2">
    <brk id="8" max="1048575" man="1"/>
    <brk id="14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66"/>
  <sheetViews>
    <sheetView topLeftCell="A31" workbookViewId="0">
      <selection activeCell="G72" sqref="G72"/>
    </sheetView>
  </sheetViews>
  <sheetFormatPr defaultRowHeight="15" x14ac:dyDescent="0.25"/>
  <cols>
    <col min="1" max="1" width="15.85546875" customWidth="1"/>
    <col min="2" max="2" width="28.42578125" customWidth="1"/>
    <col min="3" max="3" width="9.42578125" customWidth="1"/>
    <col min="4" max="4" width="14" customWidth="1"/>
    <col min="5" max="5" width="8.5703125" style="353" customWidth="1"/>
    <col min="6" max="6" width="18" style="353" customWidth="1"/>
    <col min="7" max="8" width="18.7109375" bestFit="1" customWidth="1"/>
    <col min="9" max="9" width="18.42578125" customWidth="1"/>
    <col min="10" max="10" width="18.7109375" bestFit="1" customWidth="1"/>
    <col min="11" max="11" width="17.85546875" style="234" customWidth="1"/>
    <col min="12" max="12" width="16.7109375" style="234" bestFit="1" customWidth="1"/>
    <col min="253" max="253" width="4.140625" customWidth="1"/>
    <col min="254" max="254" width="12" bestFit="1" customWidth="1"/>
    <col min="255" max="255" width="36.5703125" bestFit="1" customWidth="1"/>
    <col min="256" max="256" width="8.7109375" bestFit="1" customWidth="1"/>
    <col min="257" max="257" width="24.140625" customWidth="1"/>
    <col min="258" max="258" width="11.7109375" customWidth="1"/>
    <col min="259" max="260" width="18.7109375" bestFit="1" customWidth="1"/>
    <col min="261" max="261" width="18.42578125" customWidth="1"/>
    <col min="262" max="263" width="18.7109375" bestFit="1" customWidth="1"/>
    <col min="264" max="264" width="17.85546875" customWidth="1"/>
    <col min="265" max="265" width="16.7109375" bestFit="1" customWidth="1"/>
    <col min="266" max="266" width="15.7109375" customWidth="1"/>
    <col min="267" max="267" width="18" bestFit="1" customWidth="1"/>
    <col min="509" max="509" width="4.140625" customWidth="1"/>
    <col min="510" max="510" width="12" bestFit="1" customWidth="1"/>
    <col min="511" max="511" width="36.5703125" bestFit="1" customWidth="1"/>
    <col min="512" max="512" width="8.7109375" bestFit="1" customWidth="1"/>
    <col min="513" max="513" width="24.140625" customWidth="1"/>
    <col min="514" max="514" width="11.7109375" customWidth="1"/>
    <col min="515" max="516" width="18.7109375" bestFit="1" customWidth="1"/>
    <col min="517" max="517" width="18.42578125" customWidth="1"/>
    <col min="518" max="519" width="18.7109375" bestFit="1" customWidth="1"/>
    <col min="520" max="520" width="17.85546875" customWidth="1"/>
    <col min="521" max="521" width="16.7109375" bestFit="1" customWidth="1"/>
    <col min="522" max="522" width="15.7109375" customWidth="1"/>
    <col min="523" max="523" width="18" bestFit="1" customWidth="1"/>
    <col min="765" max="765" width="4.140625" customWidth="1"/>
    <col min="766" max="766" width="12" bestFit="1" customWidth="1"/>
    <col min="767" max="767" width="36.5703125" bestFit="1" customWidth="1"/>
    <col min="768" max="768" width="8.7109375" bestFit="1" customWidth="1"/>
    <col min="769" max="769" width="24.140625" customWidth="1"/>
    <col min="770" max="770" width="11.7109375" customWidth="1"/>
    <col min="771" max="772" width="18.7109375" bestFit="1" customWidth="1"/>
    <col min="773" max="773" width="18.42578125" customWidth="1"/>
    <col min="774" max="775" width="18.7109375" bestFit="1" customWidth="1"/>
    <col min="776" max="776" width="17.85546875" customWidth="1"/>
    <col min="777" max="777" width="16.7109375" bestFit="1" customWidth="1"/>
    <col min="778" max="778" width="15.7109375" customWidth="1"/>
    <col min="779" max="779" width="18" bestFit="1" customWidth="1"/>
    <col min="1021" max="1021" width="4.140625" customWidth="1"/>
    <col min="1022" max="1022" width="12" bestFit="1" customWidth="1"/>
    <col min="1023" max="1023" width="36.5703125" bestFit="1" customWidth="1"/>
    <col min="1024" max="1024" width="8.7109375" bestFit="1" customWidth="1"/>
    <col min="1025" max="1025" width="24.140625" customWidth="1"/>
    <col min="1026" max="1026" width="11.7109375" customWidth="1"/>
    <col min="1027" max="1028" width="18.7109375" bestFit="1" customWidth="1"/>
    <col min="1029" max="1029" width="18.42578125" customWidth="1"/>
    <col min="1030" max="1031" width="18.7109375" bestFit="1" customWidth="1"/>
    <col min="1032" max="1032" width="17.85546875" customWidth="1"/>
    <col min="1033" max="1033" width="16.7109375" bestFit="1" customWidth="1"/>
    <col min="1034" max="1034" width="15.7109375" customWidth="1"/>
    <col min="1035" max="1035" width="18" bestFit="1" customWidth="1"/>
    <col min="1277" max="1277" width="4.140625" customWidth="1"/>
    <col min="1278" max="1278" width="12" bestFit="1" customWidth="1"/>
    <col min="1279" max="1279" width="36.5703125" bestFit="1" customWidth="1"/>
    <col min="1280" max="1280" width="8.7109375" bestFit="1" customWidth="1"/>
    <col min="1281" max="1281" width="24.140625" customWidth="1"/>
    <col min="1282" max="1282" width="11.7109375" customWidth="1"/>
    <col min="1283" max="1284" width="18.7109375" bestFit="1" customWidth="1"/>
    <col min="1285" max="1285" width="18.42578125" customWidth="1"/>
    <col min="1286" max="1287" width="18.7109375" bestFit="1" customWidth="1"/>
    <col min="1288" max="1288" width="17.85546875" customWidth="1"/>
    <col min="1289" max="1289" width="16.7109375" bestFit="1" customWidth="1"/>
    <col min="1290" max="1290" width="15.7109375" customWidth="1"/>
    <col min="1291" max="1291" width="18" bestFit="1" customWidth="1"/>
    <col min="1533" max="1533" width="4.140625" customWidth="1"/>
    <col min="1534" max="1534" width="12" bestFit="1" customWidth="1"/>
    <col min="1535" max="1535" width="36.5703125" bestFit="1" customWidth="1"/>
    <col min="1536" max="1536" width="8.7109375" bestFit="1" customWidth="1"/>
    <col min="1537" max="1537" width="24.140625" customWidth="1"/>
    <col min="1538" max="1538" width="11.7109375" customWidth="1"/>
    <col min="1539" max="1540" width="18.7109375" bestFit="1" customWidth="1"/>
    <col min="1541" max="1541" width="18.42578125" customWidth="1"/>
    <col min="1542" max="1543" width="18.7109375" bestFit="1" customWidth="1"/>
    <col min="1544" max="1544" width="17.85546875" customWidth="1"/>
    <col min="1545" max="1545" width="16.7109375" bestFit="1" customWidth="1"/>
    <col min="1546" max="1546" width="15.7109375" customWidth="1"/>
    <col min="1547" max="1547" width="18" bestFit="1" customWidth="1"/>
    <col min="1789" max="1789" width="4.140625" customWidth="1"/>
    <col min="1790" max="1790" width="12" bestFit="1" customWidth="1"/>
    <col min="1791" max="1791" width="36.5703125" bestFit="1" customWidth="1"/>
    <col min="1792" max="1792" width="8.7109375" bestFit="1" customWidth="1"/>
    <col min="1793" max="1793" width="24.140625" customWidth="1"/>
    <col min="1794" max="1794" width="11.7109375" customWidth="1"/>
    <col min="1795" max="1796" width="18.7109375" bestFit="1" customWidth="1"/>
    <col min="1797" max="1797" width="18.42578125" customWidth="1"/>
    <col min="1798" max="1799" width="18.7109375" bestFit="1" customWidth="1"/>
    <col min="1800" max="1800" width="17.85546875" customWidth="1"/>
    <col min="1801" max="1801" width="16.7109375" bestFit="1" customWidth="1"/>
    <col min="1802" max="1802" width="15.7109375" customWidth="1"/>
    <col min="1803" max="1803" width="18" bestFit="1" customWidth="1"/>
    <col min="2045" max="2045" width="4.140625" customWidth="1"/>
    <col min="2046" max="2046" width="12" bestFit="1" customWidth="1"/>
    <col min="2047" max="2047" width="36.5703125" bestFit="1" customWidth="1"/>
    <col min="2048" max="2048" width="8.7109375" bestFit="1" customWidth="1"/>
    <col min="2049" max="2049" width="24.140625" customWidth="1"/>
    <col min="2050" max="2050" width="11.7109375" customWidth="1"/>
    <col min="2051" max="2052" width="18.7109375" bestFit="1" customWidth="1"/>
    <col min="2053" max="2053" width="18.42578125" customWidth="1"/>
    <col min="2054" max="2055" width="18.7109375" bestFit="1" customWidth="1"/>
    <col min="2056" max="2056" width="17.85546875" customWidth="1"/>
    <col min="2057" max="2057" width="16.7109375" bestFit="1" customWidth="1"/>
    <col min="2058" max="2058" width="15.7109375" customWidth="1"/>
    <col min="2059" max="2059" width="18" bestFit="1" customWidth="1"/>
    <col min="2301" max="2301" width="4.140625" customWidth="1"/>
    <col min="2302" max="2302" width="12" bestFit="1" customWidth="1"/>
    <col min="2303" max="2303" width="36.5703125" bestFit="1" customWidth="1"/>
    <col min="2304" max="2304" width="8.7109375" bestFit="1" customWidth="1"/>
    <col min="2305" max="2305" width="24.140625" customWidth="1"/>
    <col min="2306" max="2306" width="11.7109375" customWidth="1"/>
    <col min="2307" max="2308" width="18.7109375" bestFit="1" customWidth="1"/>
    <col min="2309" max="2309" width="18.42578125" customWidth="1"/>
    <col min="2310" max="2311" width="18.7109375" bestFit="1" customWidth="1"/>
    <col min="2312" max="2312" width="17.85546875" customWidth="1"/>
    <col min="2313" max="2313" width="16.7109375" bestFit="1" customWidth="1"/>
    <col min="2314" max="2314" width="15.7109375" customWidth="1"/>
    <col min="2315" max="2315" width="18" bestFit="1" customWidth="1"/>
    <col min="2557" max="2557" width="4.140625" customWidth="1"/>
    <col min="2558" max="2558" width="12" bestFit="1" customWidth="1"/>
    <col min="2559" max="2559" width="36.5703125" bestFit="1" customWidth="1"/>
    <col min="2560" max="2560" width="8.7109375" bestFit="1" customWidth="1"/>
    <col min="2561" max="2561" width="24.140625" customWidth="1"/>
    <col min="2562" max="2562" width="11.7109375" customWidth="1"/>
    <col min="2563" max="2564" width="18.7109375" bestFit="1" customWidth="1"/>
    <col min="2565" max="2565" width="18.42578125" customWidth="1"/>
    <col min="2566" max="2567" width="18.7109375" bestFit="1" customWidth="1"/>
    <col min="2568" max="2568" width="17.85546875" customWidth="1"/>
    <col min="2569" max="2569" width="16.7109375" bestFit="1" customWidth="1"/>
    <col min="2570" max="2570" width="15.7109375" customWidth="1"/>
    <col min="2571" max="2571" width="18" bestFit="1" customWidth="1"/>
    <col min="2813" max="2813" width="4.140625" customWidth="1"/>
    <col min="2814" max="2814" width="12" bestFit="1" customWidth="1"/>
    <col min="2815" max="2815" width="36.5703125" bestFit="1" customWidth="1"/>
    <col min="2816" max="2816" width="8.7109375" bestFit="1" customWidth="1"/>
    <col min="2817" max="2817" width="24.140625" customWidth="1"/>
    <col min="2818" max="2818" width="11.7109375" customWidth="1"/>
    <col min="2819" max="2820" width="18.7109375" bestFit="1" customWidth="1"/>
    <col min="2821" max="2821" width="18.42578125" customWidth="1"/>
    <col min="2822" max="2823" width="18.7109375" bestFit="1" customWidth="1"/>
    <col min="2824" max="2824" width="17.85546875" customWidth="1"/>
    <col min="2825" max="2825" width="16.7109375" bestFit="1" customWidth="1"/>
    <col min="2826" max="2826" width="15.7109375" customWidth="1"/>
    <col min="2827" max="2827" width="18" bestFit="1" customWidth="1"/>
    <col min="3069" max="3069" width="4.140625" customWidth="1"/>
    <col min="3070" max="3070" width="12" bestFit="1" customWidth="1"/>
    <col min="3071" max="3071" width="36.5703125" bestFit="1" customWidth="1"/>
    <col min="3072" max="3072" width="8.7109375" bestFit="1" customWidth="1"/>
    <col min="3073" max="3073" width="24.140625" customWidth="1"/>
    <col min="3074" max="3074" width="11.7109375" customWidth="1"/>
    <col min="3075" max="3076" width="18.7109375" bestFit="1" customWidth="1"/>
    <col min="3077" max="3077" width="18.42578125" customWidth="1"/>
    <col min="3078" max="3079" width="18.7109375" bestFit="1" customWidth="1"/>
    <col min="3080" max="3080" width="17.85546875" customWidth="1"/>
    <col min="3081" max="3081" width="16.7109375" bestFit="1" customWidth="1"/>
    <col min="3082" max="3082" width="15.7109375" customWidth="1"/>
    <col min="3083" max="3083" width="18" bestFit="1" customWidth="1"/>
    <col min="3325" max="3325" width="4.140625" customWidth="1"/>
    <col min="3326" max="3326" width="12" bestFit="1" customWidth="1"/>
    <col min="3327" max="3327" width="36.5703125" bestFit="1" customWidth="1"/>
    <col min="3328" max="3328" width="8.7109375" bestFit="1" customWidth="1"/>
    <col min="3329" max="3329" width="24.140625" customWidth="1"/>
    <col min="3330" max="3330" width="11.7109375" customWidth="1"/>
    <col min="3331" max="3332" width="18.7109375" bestFit="1" customWidth="1"/>
    <col min="3333" max="3333" width="18.42578125" customWidth="1"/>
    <col min="3334" max="3335" width="18.7109375" bestFit="1" customWidth="1"/>
    <col min="3336" max="3336" width="17.85546875" customWidth="1"/>
    <col min="3337" max="3337" width="16.7109375" bestFit="1" customWidth="1"/>
    <col min="3338" max="3338" width="15.7109375" customWidth="1"/>
    <col min="3339" max="3339" width="18" bestFit="1" customWidth="1"/>
    <col min="3581" max="3581" width="4.140625" customWidth="1"/>
    <col min="3582" max="3582" width="12" bestFit="1" customWidth="1"/>
    <col min="3583" max="3583" width="36.5703125" bestFit="1" customWidth="1"/>
    <col min="3584" max="3584" width="8.7109375" bestFit="1" customWidth="1"/>
    <col min="3585" max="3585" width="24.140625" customWidth="1"/>
    <col min="3586" max="3586" width="11.7109375" customWidth="1"/>
    <col min="3587" max="3588" width="18.7109375" bestFit="1" customWidth="1"/>
    <col min="3589" max="3589" width="18.42578125" customWidth="1"/>
    <col min="3590" max="3591" width="18.7109375" bestFit="1" customWidth="1"/>
    <col min="3592" max="3592" width="17.85546875" customWidth="1"/>
    <col min="3593" max="3593" width="16.7109375" bestFit="1" customWidth="1"/>
    <col min="3594" max="3594" width="15.7109375" customWidth="1"/>
    <col min="3595" max="3595" width="18" bestFit="1" customWidth="1"/>
    <col min="3837" max="3837" width="4.140625" customWidth="1"/>
    <col min="3838" max="3838" width="12" bestFit="1" customWidth="1"/>
    <col min="3839" max="3839" width="36.5703125" bestFit="1" customWidth="1"/>
    <col min="3840" max="3840" width="8.7109375" bestFit="1" customWidth="1"/>
    <col min="3841" max="3841" width="24.140625" customWidth="1"/>
    <col min="3842" max="3842" width="11.7109375" customWidth="1"/>
    <col min="3843" max="3844" width="18.7109375" bestFit="1" customWidth="1"/>
    <col min="3845" max="3845" width="18.42578125" customWidth="1"/>
    <col min="3846" max="3847" width="18.7109375" bestFit="1" customWidth="1"/>
    <col min="3848" max="3848" width="17.85546875" customWidth="1"/>
    <col min="3849" max="3849" width="16.7109375" bestFit="1" customWidth="1"/>
    <col min="3850" max="3850" width="15.7109375" customWidth="1"/>
    <col min="3851" max="3851" width="18" bestFit="1" customWidth="1"/>
    <col min="4093" max="4093" width="4.140625" customWidth="1"/>
    <col min="4094" max="4094" width="12" bestFit="1" customWidth="1"/>
    <col min="4095" max="4095" width="36.5703125" bestFit="1" customWidth="1"/>
    <col min="4096" max="4096" width="8.7109375" bestFit="1" customWidth="1"/>
    <col min="4097" max="4097" width="24.140625" customWidth="1"/>
    <col min="4098" max="4098" width="11.7109375" customWidth="1"/>
    <col min="4099" max="4100" width="18.7109375" bestFit="1" customWidth="1"/>
    <col min="4101" max="4101" width="18.42578125" customWidth="1"/>
    <col min="4102" max="4103" width="18.7109375" bestFit="1" customWidth="1"/>
    <col min="4104" max="4104" width="17.85546875" customWidth="1"/>
    <col min="4105" max="4105" width="16.7109375" bestFit="1" customWidth="1"/>
    <col min="4106" max="4106" width="15.7109375" customWidth="1"/>
    <col min="4107" max="4107" width="18" bestFit="1" customWidth="1"/>
    <col min="4349" max="4349" width="4.140625" customWidth="1"/>
    <col min="4350" max="4350" width="12" bestFit="1" customWidth="1"/>
    <col min="4351" max="4351" width="36.5703125" bestFit="1" customWidth="1"/>
    <col min="4352" max="4352" width="8.7109375" bestFit="1" customWidth="1"/>
    <col min="4353" max="4353" width="24.140625" customWidth="1"/>
    <col min="4354" max="4354" width="11.7109375" customWidth="1"/>
    <col min="4355" max="4356" width="18.7109375" bestFit="1" customWidth="1"/>
    <col min="4357" max="4357" width="18.42578125" customWidth="1"/>
    <col min="4358" max="4359" width="18.7109375" bestFit="1" customWidth="1"/>
    <col min="4360" max="4360" width="17.85546875" customWidth="1"/>
    <col min="4361" max="4361" width="16.7109375" bestFit="1" customWidth="1"/>
    <col min="4362" max="4362" width="15.7109375" customWidth="1"/>
    <col min="4363" max="4363" width="18" bestFit="1" customWidth="1"/>
    <col min="4605" max="4605" width="4.140625" customWidth="1"/>
    <col min="4606" max="4606" width="12" bestFit="1" customWidth="1"/>
    <col min="4607" max="4607" width="36.5703125" bestFit="1" customWidth="1"/>
    <col min="4608" max="4608" width="8.7109375" bestFit="1" customWidth="1"/>
    <col min="4609" max="4609" width="24.140625" customWidth="1"/>
    <col min="4610" max="4610" width="11.7109375" customWidth="1"/>
    <col min="4611" max="4612" width="18.7109375" bestFit="1" customWidth="1"/>
    <col min="4613" max="4613" width="18.42578125" customWidth="1"/>
    <col min="4614" max="4615" width="18.7109375" bestFit="1" customWidth="1"/>
    <col min="4616" max="4616" width="17.85546875" customWidth="1"/>
    <col min="4617" max="4617" width="16.7109375" bestFit="1" customWidth="1"/>
    <col min="4618" max="4618" width="15.7109375" customWidth="1"/>
    <col min="4619" max="4619" width="18" bestFit="1" customWidth="1"/>
    <col min="4861" max="4861" width="4.140625" customWidth="1"/>
    <col min="4862" max="4862" width="12" bestFit="1" customWidth="1"/>
    <col min="4863" max="4863" width="36.5703125" bestFit="1" customWidth="1"/>
    <col min="4864" max="4864" width="8.7109375" bestFit="1" customWidth="1"/>
    <col min="4865" max="4865" width="24.140625" customWidth="1"/>
    <col min="4866" max="4866" width="11.7109375" customWidth="1"/>
    <col min="4867" max="4868" width="18.7109375" bestFit="1" customWidth="1"/>
    <col min="4869" max="4869" width="18.42578125" customWidth="1"/>
    <col min="4870" max="4871" width="18.7109375" bestFit="1" customWidth="1"/>
    <col min="4872" max="4872" width="17.85546875" customWidth="1"/>
    <col min="4873" max="4873" width="16.7109375" bestFit="1" customWidth="1"/>
    <col min="4874" max="4874" width="15.7109375" customWidth="1"/>
    <col min="4875" max="4875" width="18" bestFit="1" customWidth="1"/>
    <col min="5117" max="5117" width="4.140625" customWidth="1"/>
    <col min="5118" max="5118" width="12" bestFit="1" customWidth="1"/>
    <col min="5119" max="5119" width="36.5703125" bestFit="1" customWidth="1"/>
    <col min="5120" max="5120" width="8.7109375" bestFit="1" customWidth="1"/>
    <col min="5121" max="5121" width="24.140625" customWidth="1"/>
    <col min="5122" max="5122" width="11.7109375" customWidth="1"/>
    <col min="5123" max="5124" width="18.7109375" bestFit="1" customWidth="1"/>
    <col min="5125" max="5125" width="18.42578125" customWidth="1"/>
    <col min="5126" max="5127" width="18.7109375" bestFit="1" customWidth="1"/>
    <col min="5128" max="5128" width="17.85546875" customWidth="1"/>
    <col min="5129" max="5129" width="16.7109375" bestFit="1" customWidth="1"/>
    <col min="5130" max="5130" width="15.7109375" customWidth="1"/>
    <col min="5131" max="5131" width="18" bestFit="1" customWidth="1"/>
    <col min="5373" max="5373" width="4.140625" customWidth="1"/>
    <col min="5374" max="5374" width="12" bestFit="1" customWidth="1"/>
    <col min="5375" max="5375" width="36.5703125" bestFit="1" customWidth="1"/>
    <col min="5376" max="5376" width="8.7109375" bestFit="1" customWidth="1"/>
    <col min="5377" max="5377" width="24.140625" customWidth="1"/>
    <col min="5378" max="5378" width="11.7109375" customWidth="1"/>
    <col min="5379" max="5380" width="18.7109375" bestFit="1" customWidth="1"/>
    <col min="5381" max="5381" width="18.42578125" customWidth="1"/>
    <col min="5382" max="5383" width="18.7109375" bestFit="1" customWidth="1"/>
    <col min="5384" max="5384" width="17.85546875" customWidth="1"/>
    <col min="5385" max="5385" width="16.7109375" bestFit="1" customWidth="1"/>
    <col min="5386" max="5386" width="15.7109375" customWidth="1"/>
    <col min="5387" max="5387" width="18" bestFit="1" customWidth="1"/>
    <col min="5629" max="5629" width="4.140625" customWidth="1"/>
    <col min="5630" max="5630" width="12" bestFit="1" customWidth="1"/>
    <col min="5631" max="5631" width="36.5703125" bestFit="1" customWidth="1"/>
    <col min="5632" max="5632" width="8.7109375" bestFit="1" customWidth="1"/>
    <col min="5633" max="5633" width="24.140625" customWidth="1"/>
    <col min="5634" max="5634" width="11.7109375" customWidth="1"/>
    <col min="5635" max="5636" width="18.7109375" bestFit="1" customWidth="1"/>
    <col min="5637" max="5637" width="18.42578125" customWidth="1"/>
    <col min="5638" max="5639" width="18.7109375" bestFit="1" customWidth="1"/>
    <col min="5640" max="5640" width="17.85546875" customWidth="1"/>
    <col min="5641" max="5641" width="16.7109375" bestFit="1" customWidth="1"/>
    <col min="5642" max="5642" width="15.7109375" customWidth="1"/>
    <col min="5643" max="5643" width="18" bestFit="1" customWidth="1"/>
    <col min="5885" max="5885" width="4.140625" customWidth="1"/>
    <col min="5886" max="5886" width="12" bestFit="1" customWidth="1"/>
    <col min="5887" max="5887" width="36.5703125" bestFit="1" customWidth="1"/>
    <col min="5888" max="5888" width="8.7109375" bestFit="1" customWidth="1"/>
    <col min="5889" max="5889" width="24.140625" customWidth="1"/>
    <col min="5890" max="5890" width="11.7109375" customWidth="1"/>
    <col min="5891" max="5892" width="18.7109375" bestFit="1" customWidth="1"/>
    <col min="5893" max="5893" width="18.42578125" customWidth="1"/>
    <col min="5894" max="5895" width="18.7109375" bestFit="1" customWidth="1"/>
    <col min="5896" max="5896" width="17.85546875" customWidth="1"/>
    <col min="5897" max="5897" width="16.7109375" bestFit="1" customWidth="1"/>
    <col min="5898" max="5898" width="15.7109375" customWidth="1"/>
    <col min="5899" max="5899" width="18" bestFit="1" customWidth="1"/>
    <col min="6141" max="6141" width="4.140625" customWidth="1"/>
    <col min="6142" max="6142" width="12" bestFit="1" customWidth="1"/>
    <col min="6143" max="6143" width="36.5703125" bestFit="1" customWidth="1"/>
    <col min="6144" max="6144" width="8.7109375" bestFit="1" customWidth="1"/>
    <col min="6145" max="6145" width="24.140625" customWidth="1"/>
    <col min="6146" max="6146" width="11.7109375" customWidth="1"/>
    <col min="6147" max="6148" width="18.7109375" bestFit="1" customWidth="1"/>
    <col min="6149" max="6149" width="18.42578125" customWidth="1"/>
    <col min="6150" max="6151" width="18.7109375" bestFit="1" customWidth="1"/>
    <col min="6152" max="6152" width="17.85546875" customWidth="1"/>
    <col min="6153" max="6153" width="16.7109375" bestFit="1" customWidth="1"/>
    <col min="6154" max="6154" width="15.7109375" customWidth="1"/>
    <col min="6155" max="6155" width="18" bestFit="1" customWidth="1"/>
    <col min="6397" max="6397" width="4.140625" customWidth="1"/>
    <col min="6398" max="6398" width="12" bestFit="1" customWidth="1"/>
    <col min="6399" max="6399" width="36.5703125" bestFit="1" customWidth="1"/>
    <col min="6400" max="6400" width="8.7109375" bestFit="1" customWidth="1"/>
    <col min="6401" max="6401" width="24.140625" customWidth="1"/>
    <col min="6402" max="6402" width="11.7109375" customWidth="1"/>
    <col min="6403" max="6404" width="18.7109375" bestFit="1" customWidth="1"/>
    <col min="6405" max="6405" width="18.42578125" customWidth="1"/>
    <col min="6406" max="6407" width="18.7109375" bestFit="1" customWidth="1"/>
    <col min="6408" max="6408" width="17.85546875" customWidth="1"/>
    <col min="6409" max="6409" width="16.7109375" bestFit="1" customWidth="1"/>
    <col min="6410" max="6410" width="15.7109375" customWidth="1"/>
    <col min="6411" max="6411" width="18" bestFit="1" customWidth="1"/>
    <col min="6653" max="6653" width="4.140625" customWidth="1"/>
    <col min="6654" max="6654" width="12" bestFit="1" customWidth="1"/>
    <col min="6655" max="6655" width="36.5703125" bestFit="1" customWidth="1"/>
    <col min="6656" max="6656" width="8.7109375" bestFit="1" customWidth="1"/>
    <col min="6657" max="6657" width="24.140625" customWidth="1"/>
    <col min="6658" max="6658" width="11.7109375" customWidth="1"/>
    <col min="6659" max="6660" width="18.7109375" bestFit="1" customWidth="1"/>
    <col min="6661" max="6661" width="18.42578125" customWidth="1"/>
    <col min="6662" max="6663" width="18.7109375" bestFit="1" customWidth="1"/>
    <col min="6664" max="6664" width="17.85546875" customWidth="1"/>
    <col min="6665" max="6665" width="16.7109375" bestFit="1" customWidth="1"/>
    <col min="6666" max="6666" width="15.7109375" customWidth="1"/>
    <col min="6667" max="6667" width="18" bestFit="1" customWidth="1"/>
    <col min="6909" max="6909" width="4.140625" customWidth="1"/>
    <col min="6910" max="6910" width="12" bestFit="1" customWidth="1"/>
    <col min="6911" max="6911" width="36.5703125" bestFit="1" customWidth="1"/>
    <col min="6912" max="6912" width="8.7109375" bestFit="1" customWidth="1"/>
    <col min="6913" max="6913" width="24.140625" customWidth="1"/>
    <col min="6914" max="6914" width="11.7109375" customWidth="1"/>
    <col min="6915" max="6916" width="18.7109375" bestFit="1" customWidth="1"/>
    <col min="6917" max="6917" width="18.42578125" customWidth="1"/>
    <col min="6918" max="6919" width="18.7109375" bestFit="1" customWidth="1"/>
    <col min="6920" max="6920" width="17.85546875" customWidth="1"/>
    <col min="6921" max="6921" width="16.7109375" bestFit="1" customWidth="1"/>
    <col min="6922" max="6922" width="15.7109375" customWidth="1"/>
    <col min="6923" max="6923" width="18" bestFit="1" customWidth="1"/>
    <col min="7165" max="7165" width="4.140625" customWidth="1"/>
    <col min="7166" max="7166" width="12" bestFit="1" customWidth="1"/>
    <col min="7167" max="7167" width="36.5703125" bestFit="1" customWidth="1"/>
    <col min="7168" max="7168" width="8.7109375" bestFit="1" customWidth="1"/>
    <col min="7169" max="7169" width="24.140625" customWidth="1"/>
    <col min="7170" max="7170" width="11.7109375" customWidth="1"/>
    <col min="7171" max="7172" width="18.7109375" bestFit="1" customWidth="1"/>
    <col min="7173" max="7173" width="18.42578125" customWidth="1"/>
    <col min="7174" max="7175" width="18.7109375" bestFit="1" customWidth="1"/>
    <col min="7176" max="7176" width="17.85546875" customWidth="1"/>
    <col min="7177" max="7177" width="16.7109375" bestFit="1" customWidth="1"/>
    <col min="7178" max="7178" width="15.7109375" customWidth="1"/>
    <col min="7179" max="7179" width="18" bestFit="1" customWidth="1"/>
    <col min="7421" max="7421" width="4.140625" customWidth="1"/>
    <col min="7422" max="7422" width="12" bestFit="1" customWidth="1"/>
    <col min="7423" max="7423" width="36.5703125" bestFit="1" customWidth="1"/>
    <col min="7424" max="7424" width="8.7109375" bestFit="1" customWidth="1"/>
    <col min="7425" max="7425" width="24.140625" customWidth="1"/>
    <col min="7426" max="7426" width="11.7109375" customWidth="1"/>
    <col min="7427" max="7428" width="18.7109375" bestFit="1" customWidth="1"/>
    <col min="7429" max="7429" width="18.42578125" customWidth="1"/>
    <col min="7430" max="7431" width="18.7109375" bestFit="1" customWidth="1"/>
    <col min="7432" max="7432" width="17.85546875" customWidth="1"/>
    <col min="7433" max="7433" width="16.7109375" bestFit="1" customWidth="1"/>
    <col min="7434" max="7434" width="15.7109375" customWidth="1"/>
    <col min="7435" max="7435" width="18" bestFit="1" customWidth="1"/>
    <col min="7677" max="7677" width="4.140625" customWidth="1"/>
    <col min="7678" max="7678" width="12" bestFit="1" customWidth="1"/>
    <col min="7679" max="7679" width="36.5703125" bestFit="1" customWidth="1"/>
    <col min="7680" max="7680" width="8.7109375" bestFit="1" customWidth="1"/>
    <col min="7681" max="7681" width="24.140625" customWidth="1"/>
    <col min="7682" max="7682" width="11.7109375" customWidth="1"/>
    <col min="7683" max="7684" width="18.7109375" bestFit="1" customWidth="1"/>
    <col min="7685" max="7685" width="18.42578125" customWidth="1"/>
    <col min="7686" max="7687" width="18.7109375" bestFit="1" customWidth="1"/>
    <col min="7688" max="7688" width="17.85546875" customWidth="1"/>
    <col min="7689" max="7689" width="16.7109375" bestFit="1" customWidth="1"/>
    <col min="7690" max="7690" width="15.7109375" customWidth="1"/>
    <col min="7691" max="7691" width="18" bestFit="1" customWidth="1"/>
    <col min="7933" max="7933" width="4.140625" customWidth="1"/>
    <col min="7934" max="7934" width="12" bestFit="1" customWidth="1"/>
    <col min="7935" max="7935" width="36.5703125" bestFit="1" customWidth="1"/>
    <col min="7936" max="7936" width="8.7109375" bestFit="1" customWidth="1"/>
    <col min="7937" max="7937" width="24.140625" customWidth="1"/>
    <col min="7938" max="7938" width="11.7109375" customWidth="1"/>
    <col min="7939" max="7940" width="18.7109375" bestFit="1" customWidth="1"/>
    <col min="7941" max="7941" width="18.42578125" customWidth="1"/>
    <col min="7942" max="7943" width="18.7109375" bestFit="1" customWidth="1"/>
    <col min="7944" max="7944" width="17.85546875" customWidth="1"/>
    <col min="7945" max="7945" width="16.7109375" bestFit="1" customWidth="1"/>
    <col min="7946" max="7946" width="15.7109375" customWidth="1"/>
    <col min="7947" max="7947" width="18" bestFit="1" customWidth="1"/>
    <col min="8189" max="8189" width="4.140625" customWidth="1"/>
    <col min="8190" max="8190" width="12" bestFit="1" customWidth="1"/>
    <col min="8191" max="8191" width="36.5703125" bestFit="1" customWidth="1"/>
    <col min="8192" max="8192" width="8.7109375" bestFit="1" customWidth="1"/>
    <col min="8193" max="8193" width="24.140625" customWidth="1"/>
    <col min="8194" max="8194" width="11.7109375" customWidth="1"/>
    <col min="8195" max="8196" width="18.7109375" bestFit="1" customWidth="1"/>
    <col min="8197" max="8197" width="18.42578125" customWidth="1"/>
    <col min="8198" max="8199" width="18.7109375" bestFit="1" customWidth="1"/>
    <col min="8200" max="8200" width="17.85546875" customWidth="1"/>
    <col min="8201" max="8201" width="16.7109375" bestFit="1" customWidth="1"/>
    <col min="8202" max="8202" width="15.7109375" customWidth="1"/>
    <col min="8203" max="8203" width="18" bestFit="1" customWidth="1"/>
    <col min="8445" max="8445" width="4.140625" customWidth="1"/>
    <col min="8446" max="8446" width="12" bestFit="1" customWidth="1"/>
    <col min="8447" max="8447" width="36.5703125" bestFit="1" customWidth="1"/>
    <col min="8448" max="8448" width="8.7109375" bestFit="1" customWidth="1"/>
    <col min="8449" max="8449" width="24.140625" customWidth="1"/>
    <col min="8450" max="8450" width="11.7109375" customWidth="1"/>
    <col min="8451" max="8452" width="18.7109375" bestFit="1" customWidth="1"/>
    <col min="8453" max="8453" width="18.42578125" customWidth="1"/>
    <col min="8454" max="8455" width="18.7109375" bestFit="1" customWidth="1"/>
    <col min="8456" max="8456" width="17.85546875" customWidth="1"/>
    <col min="8457" max="8457" width="16.7109375" bestFit="1" customWidth="1"/>
    <col min="8458" max="8458" width="15.7109375" customWidth="1"/>
    <col min="8459" max="8459" width="18" bestFit="1" customWidth="1"/>
    <col min="8701" max="8701" width="4.140625" customWidth="1"/>
    <col min="8702" max="8702" width="12" bestFit="1" customWidth="1"/>
    <col min="8703" max="8703" width="36.5703125" bestFit="1" customWidth="1"/>
    <col min="8704" max="8704" width="8.7109375" bestFit="1" customWidth="1"/>
    <col min="8705" max="8705" width="24.140625" customWidth="1"/>
    <col min="8706" max="8706" width="11.7109375" customWidth="1"/>
    <col min="8707" max="8708" width="18.7109375" bestFit="1" customWidth="1"/>
    <col min="8709" max="8709" width="18.42578125" customWidth="1"/>
    <col min="8710" max="8711" width="18.7109375" bestFit="1" customWidth="1"/>
    <col min="8712" max="8712" width="17.85546875" customWidth="1"/>
    <col min="8713" max="8713" width="16.7109375" bestFit="1" customWidth="1"/>
    <col min="8714" max="8714" width="15.7109375" customWidth="1"/>
    <col min="8715" max="8715" width="18" bestFit="1" customWidth="1"/>
    <col min="8957" max="8957" width="4.140625" customWidth="1"/>
    <col min="8958" max="8958" width="12" bestFit="1" customWidth="1"/>
    <col min="8959" max="8959" width="36.5703125" bestFit="1" customWidth="1"/>
    <col min="8960" max="8960" width="8.7109375" bestFit="1" customWidth="1"/>
    <col min="8961" max="8961" width="24.140625" customWidth="1"/>
    <col min="8962" max="8962" width="11.7109375" customWidth="1"/>
    <col min="8963" max="8964" width="18.7109375" bestFit="1" customWidth="1"/>
    <col min="8965" max="8965" width="18.42578125" customWidth="1"/>
    <col min="8966" max="8967" width="18.7109375" bestFit="1" customWidth="1"/>
    <col min="8968" max="8968" width="17.85546875" customWidth="1"/>
    <col min="8969" max="8969" width="16.7109375" bestFit="1" customWidth="1"/>
    <col min="8970" max="8970" width="15.7109375" customWidth="1"/>
    <col min="8971" max="8971" width="18" bestFit="1" customWidth="1"/>
    <col min="9213" max="9213" width="4.140625" customWidth="1"/>
    <col min="9214" max="9214" width="12" bestFit="1" customWidth="1"/>
    <col min="9215" max="9215" width="36.5703125" bestFit="1" customWidth="1"/>
    <col min="9216" max="9216" width="8.7109375" bestFit="1" customWidth="1"/>
    <col min="9217" max="9217" width="24.140625" customWidth="1"/>
    <col min="9218" max="9218" width="11.7109375" customWidth="1"/>
    <col min="9219" max="9220" width="18.7109375" bestFit="1" customWidth="1"/>
    <col min="9221" max="9221" width="18.42578125" customWidth="1"/>
    <col min="9222" max="9223" width="18.7109375" bestFit="1" customWidth="1"/>
    <col min="9224" max="9224" width="17.85546875" customWidth="1"/>
    <col min="9225" max="9225" width="16.7109375" bestFit="1" customWidth="1"/>
    <col min="9226" max="9226" width="15.7109375" customWidth="1"/>
    <col min="9227" max="9227" width="18" bestFit="1" customWidth="1"/>
    <col min="9469" max="9469" width="4.140625" customWidth="1"/>
    <col min="9470" max="9470" width="12" bestFit="1" customWidth="1"/>
    <col min="9471" max="9471" width="36.5703125" bestFit="1" customWidth="1"/>
    <col min="9472" max="9472" width="8.7109375" bestFit="1" customWidth="1"/>
    <col min="9473" max="9473" width="24.140625" customWidth="1"/>
    <col min="9474" max="9474" width="11.7109375" customWidth="1"/>
    <col min="9475" max="9476" width="18.7109375" bestFit="1" customWidth="1"/>
    <col min="9477" max="9477" width="18.42578125" customWidth="1"/>
    <col min="9478" max="9479" width="18.7109375" bestFit="1" customWidth="1"/>
    <col min="9480" max="9480" width="17.85546875" customWidth="1"/>
    <col min="9481" max="9481" width="16.7109375" bestFit="1" customWidth="1"/>
    <col min="9482" max="9482" width="15.7109375" customWidth="1"/>
    <col min="9483" max="9483" width="18" bestFit="1" customWidth="1"/>
    <col min="9725" max="9725" width="4.140625" customWidth="1"/>
    <col min="9726" max="9726" width="12" bestFit="1" customWidth="1"/>
    <col min="9727" max="9727" width="36.5703125" bestFit="1" customWidth="1"/>
    <col min="9728" max="9728" width="8.7109375" bestFit="1" customWidth="1"/>
    <col min="9729" max="9729" width="24.140625" customWidth="1"/>
    <col min="9730" max="9730" width="11.7109375" customWidth="1"/>
    <col min="9731" max="9732" width="18.7109375" bestFit="1" customWidth="1"/>
    <col min="9733" max="9733" width="18.42578125" customWidth="1"/>
    <col min="9734" max="9735" width="18.7109375" bestFit="1" customWidth="1"/>
    <col min="9736" max="9736" width="17.85546875" customWidth="1"/>
    <col min="9737" max="9737" width="16.7109375" bestFit="1" customWidth="1"/>
    <col min="9738" max="9738" width="15.7109375" customWidth="1"/>
    <col min="9739" max="9739" width="18" bestFit="1" customWidth="1"/>
    <col min="9981" max="9981" width="4.140625" customWidth="1"/>
    <col min="9982" max="9982" width="12" bestFit="1" customWidth="1"/>
    <col min="9983" max="9983" width="36.5703125" bestFit="1" customWidth="1"/>
    <col min="9984" max="9984" width="8.7109375" bestFit="1" customWidth="1"/>
    <col min="9985" max="9985" width="24.140625" customWidth="1"/>
    <col min="9986" max="9986" width="11.7109375" customWidth="1"/>
    <col min="9987" max="9988" width="18.7109375" bestFit="1" customWidth="1"/>
    <col min="9989" max="9989" width="18.42578125" customWidth="1"/>
    <col min="9990" max="9991" width="18.7109375" bestFit="1" customWidth="1"/>
    <col min="9992" max="9992" width="17.85546875" customWidth="1"/>
    <col min="9993" max="9993" width="16.7109375" bestFit="1" customWidth="1"/>
    <col min="9994" max="9994" width="15.7109375" customWidth="1"/>
    <col min="9995" max="9995" width="18" bestFit="1" customWidth="1"/>
    <col min="10237" max="10237" width="4.140625" customWidth="1"/>
    <col min="10238" max="10238" width="12" bestFit="1" customWidth="1"/>
    <col min="10239" max="10239" width="36.5703125" bestFit="1" customWidth="1"/>
    <col min="10240" max="10240" width="8.7109375" bestFit="1" customWidth="1"/>
    <col min="10241" max="10241" width="24.140625" customWidth="1"/>
    <col min="10242" max="10242" width="11.7109375" customWidth="1"/>
    <col min="10243" max="10244" width="18.7109375" bestFit="1" customWidth="1"/>
    <col min="10245" max="10245" width="18.42578125" customWidth="1"/>
    <col min="10246" max="10247" width="18.7109375" bestFit="1" customWidth="1"/>
    <col min="10248" max="10248" width="17.85546875" customWidth="1"/>
    <col min="10249" max="10249" width="16.7109375" bestFit="1" customWidth="1"/>
    <col min="10250" max="10250" width="15.7109375" customWidth="1"/>
    <col min="10251" max="10251" width="18" bestFit="1" customWidth="1"/>
    <col min="10493" max="10493" width="4.140625" customWidth="1"/>
    <col min="10494" max="10494" width="12" bestFit="1" customWidth="1"/>
    <col min="10495" max="10495" width="36.5703125" bestFit="1" customWidth="1"/>
    <col min="10496" max="10496" width="8.7109375" bestFit="1" customWidth="1"/>
    <col min="10497" max="10497" width="24.140625" customWidth="1"/>
    <col min="10498" max="10498" width="11.7109375" customWidth="1"/>
    <col min="10499" max="10500" width="18.7109375" bestFit="1" customWidth="1"/>
    <col min="10501" max="10501" width="18.42578125" customWidth="1"/>
    <col min="10502" max="10503" width="18.7109375" bestFit="1" customWidth="1"/>
    <col min="10504" max="10504" width="17.85546875" customWidth="1"/>
    <col min="10505" max="10505" width="16.7109375" bestFit="1" customWidth="1"/>
    <col min="10506" max="10506" width="15.7109375" customWidth="1"/>
    <col min="10507" max="10507" width="18" bestFit="1" customWidth="1"/>
    <col min="10749" max="10749" width="4.140625" customWidth="1"/>
    <col min="10750" max="10750" width="12" bestFit="1" customWidth="1"/>
    <col min="10751" max="10751" width="36.5703125" bestFit="1" customWidth="1"/>
    <col min="10752" max="10752" width="8.7109375" bestFit="1" customWidth="1"/>
    <col min="10753" max="10753" width="24.140625" customWidth="1"/>
    <col min="10754" max="10754" width="11.7109375" customWidth="1"/>
    <col min="10755" max="10756" width="18.7109375" bestFit="1" customWidth="1"/>
    <col min="10757" max="10757" width="18.42578125" customWidth="1"/>
    <col min="10758" max="10759" width="18.7109375" bestFit="1" customWidth="1"/>
    <col min="10760" max="10760" width="17.85546875" customWidth="1"/>
    <col min="10761" max="10761" width="16.7109375" bestFit="1" customWidth="1"/>
    <col min="10762" max="10762" width="15.7109375" customWidth="1"/>
    <col min="10763" max="10763" width="18" bestFit="1" customWidth="1"/>
    <col min="11005" max="11005" width="4.140625" customWidth="1"/>
    <col min="11006" max="11006" width="12" bestFit="1" customWidth="1"/>
    <col min="11007" max="11007" width="36.5703125" bestFit="1" customWidth="1"/>
    <col min="11008" max="11008" width="8.7109375" bestFit="1" customWidth="1"/>
    <col min="11009" max="11009" width="24.140625" customWidth="1"/>
    <col min="11010" max="11010" width="11.7109375" customWidth="1"/>
    <col min="11011" max="11012" width="18.7109375" bestFit="1" customWidth="1"/>
    <col min="11013" max="11013" width="18.42578125" customWidth="1"/>
    <col min="11014" max="11015" width="18.7109375" bestFit="1" customWidth="1"/>
    <col min="11016" max="11016" width="17.85546875" customWidth="1"/>
    <col min="11017" max="11017" width="16.7109375" bestFit="1" customWidth="1"/>
    <col min="11018" max="11018" width="15.7109375" customWidth="1"/>
    <col min="11019" max="11019" width="18" bestFit="1" customWidth="1"/>
    <col min="11261" max="11261" width="4.140625" customWidth="1"/>
    <col min="11262" max="11262" width="12" bestFit="1" customWidth="1"/>
    <col min="11263" max="11263" width="36.5703125" bestFit="1" customWidth="1"/>
    <col min="11264" max="11264" width="8.7109375" bestFit="1" customWidth="1"/>
    <col min="11265" max="11265" width="24.140625" customWidth="1"/>
    <col min="11266" max="11266" width="11.7109375" customWidth="1"/>
    <col min="11267" max="11268" width="18.7109375" bestFit="1" customWidth="1"/>
    <col min="11269" max="11269" width="18.42578125" customWidth="1"/>
    <col min="11270" max="11271" width="18.7109375" bestFit="1" customWidth="1"/>
    <col min="11272" max="11272" width="17.85546875" customWidth="1"/>
    <col min="11273" max="11273" width="16.7109375" bestFit="1" customWidth="1"/>
    <col min="11274" max="11274" width="15.7109375" customWidth="1"/>
    <col min="11275" max="11275" width="18" bestFit="1" customWidth="1"/>
    <col min="11517" max="11517" width="4.140625" customWidth="1"/>
    <col min="11518" max="11518" width="12" bestFit="1" customWidth="1"/>
    <col min="11519" max="11519" width="36.5703125" bestFit="1" customWidth="1"/>
    <col min="11520" max="11520" width="8.7109375" bestFit="1" customWidth="1"/>
    <col min="11521" max="11521" width="24.140625" customWidth="1"/>
    <col min="11522" max="11522" width="11.7109375" customWidth="1"/>
    <col min="11523" max="11524" width="18.7109375" bestFit="1" customWidth="1"/>
    <col min="11525" max="11525" width="18.42578125" customWidth="1"/>
    <col min="11526" max="11527" width="18.7109375" bestFit="1" customWidth="1"/>
    <col min="11528" max="11528" width="17.85546875" customWidth="1"/>
    <col min="11529" max="11529" width="16.7109375" bestFit="1" customWidth="1"/>
    <col min="11530" max="11530" width="15.7109375" customWidth="1"/>
    <col min="11531" max="11531" width="18" bestFit="1" customWidth="1"/>
    <col min="11773" max="11773" width="4.140625" customWidth="1"/>
    <col min="11774" max="11774" width="12" bestFit="1" customWidth="1"/>
    <col min="11775" max="11775" width="36.5703125" bestFit="1" customWidth="1"/>
    <col min="11776" max="11776" width="8.7109375" bestFit="1" customWidth="1"/>
    <col min="11777" max="11777" width="24.140625" customWidth="1"/>
    <col min="11778" max="11778" width="11.7109375" customWidth="1"/>
    <col min="11779" max="11780" width="18.7109375" bestFit="1" customWidth="1"/>
    <col min="11781" max="11781" width="18.42578125" customWidth="1"/>
    <col min="11782" max="11783" width="18.7109375" bestFit="1" customWidth="1"/>
    <col min="11784" max="11784" width="17.85546875" customWidth="1"/>
    <col min="11785" max="11785" width="16.7109375" bestFit="1" customWidth="1"/>
    <col min="11786" max="11786" width="15.7109375" customWidth="1"/>
    <col min="11787" max="11787" width="18" bestFit="1" customWidth="1"/>
    <col min="12029" max="12029" width="4.140625" customWidth="1"/>
    <col min="12030" max="12030" width="12" bestFit="1" customWidth="1"/>
    <col min="12031" max="12031" width="36.5703125" bestFit="1" customWidth="1"/>
    <col min="12032" max="12032" width="8.7109375" bestFit="1" customWidth="1"/>
    <col min="12033" max="12033" width="24.140625" customWidth="1"/>
    <col min="12034" max="12034" width="11.7109375" customWidth="1"/>
    <col min="12035" max="12036" width="18.7109375" bestFit="1" customWidth="1"/>
    <col min="12037" max="12037" width="18.42578125" customWidth="1"/>
    <col min="12038" max="12039" width="18.7109375" bestFit="1" customWidth="1"/>
    <col min="12040" max="12040" width="17.85546875" customWidth="1"/>
    <col min="12041" max="12041" width="16.7109375" bestFit="1" customWidth="1"/>
    <col min="12042" max="12042" width="15.7109375" customWidth="1"/>
    <col min="12043" max="12043" width="18" bestFit="1" customWidth="1"/>
    <col min="12285" max="12285" width="4.140625" customWidth="1"/>
    <col min="12286" max="12286" width="12" bestFit="1" customWidth="1"/>
    <col min="12287" max="12287" width="36.5703125" bestFit="1" customWidth="1"/>
    <col min="12288" max="12288" width="8.7109375" bestFit="1" customWidth="1"/>
    <col min="12289" max="12289" width="24.140625" customWidth="1"/>
    <col min="12290" max="12290" width="11.7109375" customWidth="1"/>
    <col min="12291" max="12292" width="18.7109375" bestFit="1" customWidth="1"/>
    <col min="12293" max="12293" width="18.42578125" customWidth="1"/>
    <col min="12294" max="12295" width="18.7109375" bestFit="1" customWidth="1"/>
    <col min="12296" max="12296" width="17.85546875" customWidth="1"/>
    <col min="12297" max="12297" width="16.7109375" bestFit="1" customWidth="1"/>
    <col min="12298" max="12298" width="15.7109375" customWidth="1"/>
    <col min="12299" max="12299" width="18" bestFit="1" customWidth="1"/>
    <col min="12541" max="12541" width="4.140625" customWidth="1"/>
    <col min="12542" max="12542" width="12" bestFit="1" customWidth="1"/>
    <col min="12543" max="12543" width="36.5703125" bestFit="1" customWidth="1"/>
    <col min="12544" max="12544" width="8.7109375" bestFit="1" customWidth="1"/>
    <col min="12545" max="12545" width="24.140625" customWidth="1"/>
    <col min="12546" max="12546" width="11.7109375" customWidth="1"/>
    <col min="12547" max="12548" width="18.7109375" bestFit="1" customWidth="1"/>
    <col min="12549" max="12549" width="18.42578125" customWidth="1"/>
    <col min="12550" max="12551" width="18.7109375" bestFit="1" customWidth="1"/>
    <col min="12552" max="12552" width="17.85546875" customWidth="1"/>
    <col min="12553" max="12553" width="16.7109375" bestFit="1" customWidth="1"/>
    <col min="12554" max="12554" width="15.7109375" customWidth="1"/>
    <col min="12555" max="12555" width="18" bestFit="1" customWidth="1"/>
    <col min="12797" max="12797" width="4.140625" customWidth="1"/>
    <col min="12798" max="12798" width="12" bestFit="1" customWidth="1"/>
    <col min="12799" max="12799" width="36.5703125" bestFit="1" customWidth="1"/>
    <col min="12800" max="12800" width="8.7109375" bestFit="1" customWidth="1"/>
    <col min="12801" max="12801" width="24.140625" customWidth="1"/>
    <col min="12802" max="12802" width="11.7109375" customWidth="1"/>
    <col min="12803" max="12804" width="18.7109375" bestFit="1" customWidth="1"/>
    <col min="12805" max="12805" width="18.42578125" customWidth="1"/>
    <col min="12806" max="12807" width="18.7109375" bestFit="1" customWidth="1"/>
    <col min="12808" max="12808" width="17.85546875" customWidth="1"/>
    <col min="12809" max="12809" width="16.7109375" bestFit="1" customWidth="1"/>
    <col min="12810" max="12810" width="15.7109375" customWidth="1"/>
    <col min="12811" max="12811" width="18" bestFit="1" customWidth="1"/>
    <col min="13053" max="13053" width="4.140625" customWidth="1"/>
    <col min="13054" max="13054" width="12" bestFit="1" customWidth="1"/>
    <col min="13055" max="13055" width="36.5703125" bestFit="1" customWidth="1"/>
    <col min="13056" max="13056" width="8.7109375" bestFit="1" customWidth="1"/>
    <col min="13057" max="13057" width="24.140625" customWidth="1"/>
    <col min="13058" max="13058" width="11.7109375" customWidth="1"/>
    <col min="13059" max="13060" width="18.7109375" bestFit="1" customWidth="1"/>
    <col min="13061" max="13061" width="18.42578125" customWidth="1"/>
    <col min="13062" max="13063" width="18.7109375" bestFit="1" customWidth="1"/>
    <col min="13064" max="13064" width="17.85546875" customWidth="1"/>
    <col min="13065" max="13065" width="16.7109375" bestFit="1" customWidth="1"/>
    <col min="13066" max="13066" width="15.7109375" customWidth="1"/>
    <col min="13067" max="13067" width="18" bestFit="1" customWidth="1"/>
    <col min="13309" max="13309" width="4.140625" customWidth="1"/>
    <col min="13310" max="13310" width="12" bestFit="1" customWidth="1"/>
    <col min="13311" max="13311" width="36.5703125" bestFit="1" customWidth="1"/>
    <col min="13312" max="13312" width="8.7109375" bestFit="1" customWidth="1"/>
    <col min="13313" max="13313" width="24.140625" customWidth="1"/>
    <col min="13314" max="13314" width="11.7109375" customWidth="1"/>
    <col min="13315" max="13316" width="18.7109375" bestFit="1" customWidth="1"/>
    <col min="13317" max="13317" width="18.42578125" customWidth="1"/>
    <col min="13318" max="13319" width="18.7109375" bestFit="1" customWidth="1"/>
    <col min="13320" max="13320" width="17.85546875" customWidth="1"/>
    <col min="13321" max="13321" width="16.7109375" bestFit="1" customWidth="1"/>
    <col min="13322" max="13322" width="15.7109375" customWidth="1"/>
    <col min="13323" max="13323" width="18" bestFit="1" customWidth="1"/>
    <col min="13565" max="13565" width="4.140625" customWidth="1"/>
    <col min="13566" max="13566" width="12" bestFit="1" customWidth="1"/>
    <col min="13567" max="13567" width="36.5703125" bestFit="1" customWidth="1"/>
    <col min="13568" max="13568" width="8.7109375" bestFit="1" customWidth="1"/>
    <col min="13569" max="13569" width="24.140625" customWidth="1"/>
    <col min="13570" max="13570" width="11.7109375" customWidth="1"/>
    <col min="13571" max="13572" width="18.7109375" bestFit="1" customWidth="1"/>
    <col min="13573" max="13573" width="18.42578125" customWidth="1"/>
    <col min="13574" max="13575" width="18.7109375" bestFit="1" customWidth="1"/>
    <col min="13576" max="13576" width="17.85546875" customWidth="1"/>
    <col min="13577" max="13577" width="16.7109375" bestFit="1" customWidth="1"/>
    <col min="13578" max="13578" width="15.7109375" customWidth="1"/>
    <col min="13579" max="13579" width="18" bestFit="1" customWidth="1"/>
    <col min="13821" max="13821" width="4.140625" customWidth="1"/>
    <col min="13822" max="13822" width="12" bestFit="1" customWidth="1"/>
    <col min="13823" max="13823" width="36.5703125" bestFit="1" customWidth="1"/>
    <col min="13824" max="13824" width="8.7109375" bestFit="1" customWidth="1"/>
    <col min="13825" max="13825" width="24.140625" customWidth="1"/>
    <col min="13826" max="13826" width="11.7109375" customWidth="1"/>
    <col min="13827" max="13828" width="18.7109375" bestFit="1" customWidth="1"/>
    <col min="13829" max="13829" width="18.42578125" customWidth="1"/>
    <col min="13830" max="13831" width="18.7109375" bestFit="1" customWidth="1"/>
    <col min="13832" max="13832" width="17.85546875" customWidth="1"/>
    <col min="13833" max="13833" width="16.7109375" bestFit="1" customWidth="1"/>
    <col min="13834" max="13834" width="15.7109375" customWidth="1"/>
    <col min="13835" max="13835" width="18" bestFit="1" customWidth="1"/>
    <col min="14077" max="14077" width="4.140625" customWidth="1"/>
    <col min="14078" max="14078" width="12" bestFit="1" customWidth="1"/>
    <col min="14079" max="14079" width="36.5703125" bestFit="1" customWidth="1"/>
    <col min="14080" max="14080" width="8.7109375" bestFit="1" customWidth="1"/>
    <col min="14081" max="14081" width="24.140625" customWidth="1"/>
    <col min="14082" max="14082" width="11.7109375" customWidth="1"/>
    <col min="14083" max="14084" width="18.7109375" bestFit="1" customWidth="1"/>
    <col min="14085" max="14085" width="18.42578125" customWidth="1"/>
    <col min="14086" max="14087" width="18.7109375" bestFit="1" customWidth="1"/>
    <col min="14088" max="14088" width="17.85546875" customWidth="1"/>
    <col min="14089" max="14089" width="16.7109375" bestFit="1" customWidth="1"/>
    <col min="14090" max="14090" width="15.7109375" customWidth="1"/>
    <col min="14091" max="14091" width="18" bestFit="1" customWidth="1"/>
    <col min="14333" max="14333" width="4.140625" customWidth="1"/>
    <col min="14334" max="14334" width="12" bestFit="1" customWidth="1"/>
    <col min="14335" max="14335" width="36.5703125" bestFit="1" customWidth="1"/>
    <col min="14336" max="14336" width="8.7109375" bestFit="1" customWidth="1"/>
    <col min="14337" max="14337" width="24.140625" customWidth="1"/>
    <col min="14338" max="14338" width="11.7109375" customWidth="1"/>
    <col min="14339" max="14340" width="18.7109375" bestFit="1" customWidth="1"/>
    <col min="14341" max="14341" width="18.42578125" customWidth="1"/>
    <col min="14342" max="14343" width="18.7109375" bestFit="1" customWidth="1"/>
    <col min="14344" max="14344" width="17.85546875" customWidth="1"/>
    <col min="14345" max="14345" width="16.7109375" bestFit="1" customWidth="1"/>
    <col min="14346" max="14346" width="15.7109375" customWidth="1"/>
    <col min="14347" max="14347" width="18" bestFit="1" customWidth="1"/>
    <col min="14589" max="14589" width="4.140625" customWidth="1"/>
    <col min="14590" max="14590" width="12" bestFit="1" customWidth="1"/>
    <col min="14591" max="14591" width="36.5703125" bestFit="1" customWidth="1"/>
    <col min="14592" max="14592" width="8.7109375" bestFit="1" customWidth="1"/>
    <col min="14593" max="14593" width="24.140625" customWidth="1"/>
    <col min="14594" max="14594" width="11.7109375" customWidth="1"/>
    <col min="14595" max="14596" width="18.7109375" bestFit="1" customWidth="1"/>
    <col min="14597" max="14597" width="18.42578125" customWidth="1"/>
    <col min="14598" max="14599" width="18.7109375" bestFit="1" customWidth="1"/>
    <col min="14600" max="14600" width="17.85546875" customWidth="1"/>
    <col min="14601" max="14601" width="16.7109375" bestFit="1" customWidth="1"/>
    <col min="14602" max="14602" width="15.7109375" customWidth="1"/>
    <col min="14603" max="14603" width="18" bestFit="1" customWidth="1"/>
    <col min="14845" max="14845" width="4.140625" customWidth="1"/>
    <col min="14846" max="14846" width="12" bestFit="1" customWidth="1"/>
    <col min="14847" max="14847" width="36.5703125" bestFit="1" customWidth="1"/>
    <col min="14848" max="14848" width="8.7109375" bestFit="1" customWidth="1"/>
    <col min="14849" max="14849" width="24.140625" customWidth="1"/>
    <col min="14850" max="14850" width="11.7109375" customWidth="1"/>
    <col min="14851" max="14852" width="18.7109375" bestFit="1" customWidth="1"/>
    <col min="14853" max="14853" width="18.42578125" customWidth="1"/>
    <col min="14854" max="14855" width="18.7109375" bestFit="1" customWidth="1"/>
    <col min="14856" max="14856" width="17.85546875" customWidth="1"/>
    <col min="14857" max="14857" width="16.7109375" bestFit="1" customWidth="1"/>
    <col min="14858" max="14858" width="15.7109375" customWidth="1"/>
    <col min="14859" max="14859" width="18" bestFit="1" customWidth="1"/>
    <col min="15101" max="15101" width="4.140625" customWidth="1"/>
    <col min="15102" max="15102" width="12" bestFit="1" customWidth="1"/>
    <col min="15103" max="15103" width="36.5703125" bestFit="1" customWidth="1"/>
    <col min="15104" max="15104" width="8.7109375" bestFit="1" customWidth="1"/>
    <col min="15105" max="15105" width="24.140625" customWidth="1"/>
    <col min="15106" max="15106" width="11.7109375" customWidth="1"/>
    <col min="15107" max="15108" width="18.7109375" bestFit="1" customWidth="1"/>
    <col min="15109" max="15109" width="18.42578125" customWidth="1"/>
    <col min="15110" max="15111" width="18.7109375" bestFit="1" customWidth="1"/>
    <col min="15112" max="15112" width="17.85546875" customWidth="1"/>
    <col min="15113" max="15113" width="16.7109375" bestFit="1" customWidth="1"/>
    <col min="15114" max="15114" width="15.7109375" customWidth="1"/>
    <col min="15115" max="15115" width="18" bestFit="1" customWidth="1"/>
    <col min="15357" max="15357" width="4.140625" customWidth="1"/>
    <col min="15358" max="15358" width="12" bestFit="1" customWidth="1"/>
    <col min="15359" max="15359" width="36.5703125" bestFit="1" customWidth="1"/>
    <col min="15360" max="15360" width="8.7109375" bestFit="1" customWidth="1"/>
    <col min="15361" max="15361" width="24.140625" customWidth="1"/>
    <col min="15362" max="15362" width="11.7109375" customWidth="1"/>
    <col min="15363" max="15364" width="18.7109375" bestFit="1" customWidth="1"/>
    <col min="15365" max="15365" width="18.42578125" customWidth="1"/>
    <col min="15366" max="15367" width="18.7109375" bestFit="1" customWidth="1"/>
    <col min="15368" max="15368" width="17.85546875" customWidth="1"/>
    <col min="15369" max="15369" width="16.7109375" bestFit="1" customWidth="1"/>
    <col min="15370" max="15370" width="15.7109375" customWidth="1"/>
    <col min="15371" max="15371" width="18" bestFit="1" customWidth="1"/>
    <col min="15613" max="15613" width="4.140625" customWidth="1"/>
    <col min="15614" max="15614" width="12" bestFit="1" customWidth="1"/>
    <col min="15615" max="15615" width="36.5703125" bestFit="1" customWidth="1"/>
    <col min="15616" max="15616" width="8.7109375" bestFit="1" customWidth="1"/>
    <col min="15617" max="15617" width="24.140625" customWidth="1"/>
    <col min="15618" max="15618" width="11.7109375" customWidth="1"/>
    <col min="15619" max="15620" width="18.7109375" bestFit="1" customWidth="1"/>
    <col min="15621" max="15621" width="18.42578125" customWidth="1"/>
    <col min="15622" max="15623" width="18.7109375" bestFit="1" customWidth="1"/>
    <col min="15624" max="15624" width="17.85546875" customWidth="1"/>
    <col min="15625" max="15625" width="16.7109375" bestFit="1" customWidth="1"/>
    <col min="15626" max="15626" width="15.7109375" customWidth="1"/>
    <col min="15627" max="15627" width="18" bestFit="1" customWidth="1"/>
    <col min="15869" max="15869" width="4.140625" customWidth="1"/>
    <col min="15870" max="15870" width="12" bestFit="1" customWidth="1"/>
    <col min="15871" max="15871" width="36.5703125" bestFit="1" customWidth="1"/>
    <col min="15872" max="15872" width="8.7109375" bestFit="1" customWidth="1"/>
    <col min="15873" max="15873" width="24.140625" customWidth="1"/>
    <col min="15874" max="15874" width="11.7109375" customWidth="1"/>
    <col min="15875" max="15876" width="18.7109375" bestFit="1" customWidth="1"/>
    <col min="15877" max="15877" width="18.42578125" customWidth="1"/>
    <col min="15878" max="15879" width="18.7109375" bestFit="1" customWidth="1"/>
    <col min="15880" max="15880" width="17.85546875" customWidth="1"/>
    <col min="15881" max="15881" width="16.7109375" bestFit="1" customWidth="1"/>
    <col min="15882" max="15882" width="15.7109375" customWidth="1"/>
    <col min="15883" max="15883" width="18" bestFit="1" customWidth="1"/>
    <col min="16125" max="16125" width="4.140625" customWidth="1"/>
    <col min="16126" max="16126" width="12" bestFit="1" customWidth="1"/>
    <col min="16127" max="16127" width="36.5703125" bestFit="1" customWidth="1"/>
    <col min="16128" max="16128" width="8.7109375" bestFit="1" customWidth="1"/>
    <col min="16129" max="16129" width="24.140625" customWidth="1"/>
    <col min="16130" max="16130" width="11.7109375" customWidth="1"/>
    <col min="16131" max="16132" width="18.7109375" bestFit="1" customWidth="1"/>
    <col min="16133" max="16133" width="18.42578125" customWidth="1"/>
    <col min="16134" max="16135" width="18.7109375" bestFit="1" customWidth="1"/>
    <col min="16136" max="16136" width="17.85546875" customWidth="1"/>
    <col min="16137" max="16137" width="16.7109375" bestFit="1" customWidth="1"/>
    <col min="16138" max="16138" width="15.7109375" customWidth="1"/>
    <col min="16139" max="16139" width="18" bestFit="1" customWidth="1"/>
  </cols>
  <sheetData>
    <row r="1" spans="1:12" ht="18" x14ac:dyDescent="0.25">
      <c r="A1" s="260" t="s">
        <v>407</v>
      </c>
      <c r="B1" s="260"/>
      <c r="C1" s="260"/>
      <c r="D1" s="261"/>
    </row>
    <row r="2" spans="1:12" ht="18" x14ac:dyDescent="0.25">
      <c r="A2" s="352" t="s">
        <v>524</v>
      </c>
      <c r="B2" s="350"/>
      <c r="C2" s="350"/>
      <c r="D2" s="350"/>
      <c r="E2" s="351"/>
      <c r="F2" s="351"/>
      <c r="G2" s="98"/>
    </row>
    <row r="3" spans="1:12" x14ac:dyDescent="0.25">
      <c r="A3" s="675" t="s">
        <v>31</v>
      </c>
      <c r="B3" s="675"/>
      <c r="C3" s="675"/>
      <c r="D3" s="675"/>
      <c r="E3" s="675"/>
      <c r="I3" s="235"/>
    </row>
    <row r="4" spans="1:12" s="236" customFormat="1" ht="12.75" x14ac:dyDescent="0.2">
      <c r="A4" s="677"/>
      <c r="B4" s="677"/>
      <c r="C4" s="677"/>
      <c r="D4" s="677"/>
      <c r="E4" s="677"/>
      <c r="F4" s="345"/>
      <c r="G4" s="345"/>
      <c r="H4" s="345"/>
      <c r="I4" s="345"/>
      <c r="J4" s="669" t="s">
        <v>197</v>
      </c>
      <c r="K4" s="670"/>
      <c r="L4" s="671"/>
    </row>
    <row r="5" spans="1:12" s="236" customFormat="1" ht="12.75" x14ac:dyDescent="0.2">
      <c r="A5" s="677"/>
      <c r="B5" s="677"/>
      <c r="C5" s="677"/>
      <c r="D5" s="677"/>
      <c r="E5" s="677"/>
      <c r="F5" s="425" t="s">
        <v>415</v>
      </c>
      <c r="G5" s="425" t="s">
        <v>415</v>
      </c>
      <c r="H5" s="425" t="s">
        <v>335</v>
      </c>
      <c r="I5" s="425" t="s">
        <v>335</v>
      </c>
      <c r="J5" s="672"/>
      <c r="K5" s="673"/>
      <c r="L5" s="674"/>
    </row>
    <row r="6" spans="1:12" s="237" customFormat="1" ht="12.75" x14ac:dyDescent="0.2">
      <c r="A6" s="676" t="s">
        <v>198</v>
      </c>
      <c r="B6" s="676"/>
      <c r="C6" s="676" t="s">
        <v>145</v>
      </c>
      <c r="D6" s="676"/>
      <c r="E6" s="542" t="s">
        <v>305</v>
      </c>
      <c r="F6" s="422" t="s">
        <v>302</v>
      </c>
      <c r="G6" s="422" t="s">
        <v>303</v>
      </c>
      <c r="H6" s="422" t="s">
        <v>379</v>
      </c>
      <c r="I6" s="422" t="s">
        <v>525</v>
      </c>
      <c r="J6" s="345" t="s">
        <v>304</v>
      </c>
      <c r="K6" s="345" t="s">
        <v>380</v>
      </c>
      <c r="L6" s="345" t="s">
        <v>526</v>
      </c>
    </row>
    <row r="7" spans="1:12" s="237" customFormat="1" ht="12.75" x14ac:dyDescent="0.2">
      <c r="A7" s="423" t="s">
        <v>306</v>
      </c>
      <c r="B7" s="423" t="s">
        <v>42</v>
      </c>
      <c r="C7" s="423"/>
      <c r="D7" s="423"/>
      <c r="E7" s="543"/>
      <c r="F7" s="346">
        <f>SUM(F8:F15)</f>
        <v>41142551439</v>
      </c>
      <c r="G7" s="346">
        <f>SUM(G8:G15)</f>
        <v>41858654061</v>
      </c>
      <c r="H7" s="346">
        <f>SUM(H8:H15)</f>
        <v>42641561831</v>
      </c>
      <c r="I7" s="346">
        <f>SUM(I8:I15)</f>
        <v>42617186831</v>
      </c>
      <c r="J7" s="346">
        <f>G7-F7</f>
        <v>716102622</v>
      </c>
      <c r="K7" s="346">
        <f>H7-G7</f>
        <v>782907770</v>
      </c>
      <c r="L7" s="346">
        <f>I7-H7</f>
        <v>-24375000</v>
      </c>
    </row>
    <row r="8" spans="1:12" s="237" customFormat="1" ht="12.75" x14ac:dyDescent="0.2">
      <c r="A8" s="347" t="s">
        <v>199</v>
      </c>
      <c r="B8" s="347" t="s">
        <v>307</v>
      </c>
      <c r="C8" s="347" t="s">
        <v>200</v>
      </c>
      <c r="D8" s="347" t="s">
        <v>201</v>
      </c>
      <c r="E8" s="544" t="s">
        <v>381</v>
      </c>
      <c r="F8" s="348">
        <v>1745994748</v>
      </c>
      <c r="G8" s="348">
        <v>1745994748</v>
      </c>
      <c r="H8" s="348">
        <v>1745994748</v>
      </c>
      <c r="I8" s="348">
        <v>1745994748</v>
      </c>
      <c r="J8" s="348">
        <f t="shared" ref="J8:L64" si="0">G8-F8</f>
        <v>0</v>
      </c>
      <c r="K8" s="348">
        <f t="shared" si="0"/>
        <v>0</v>
      </c>
      <c r="L8" s="348">
        <f t="shared" si="0"/>
        <v>0</v>
      </c>
    </row>
    <row r="9" spans="1:12" s="237" customFormat="1" ht="12.75" x14ac:dyDescent="0.2">
      <c r="A9" s="347" t="s">
        <v>199</v>
      </c>
      <c r="B9" s="347" t="s">
        <v>307</v>
      </c>
      <c r="C9" s="347" t="s">
        <v>200</v>
      </c>
      <c r="D9" s="347" t="s">
        <v>201</v>
      </c>
      <c r="E9" s="544" t="s">
        <v>527</v>
      </c>
      <c r="F9" s="348">
        <v>500000000</v>
      </c>
      <c r="G9" s="348">
        <v>500000000</v>
      </c>
      <c r="H9" s="348">
        <v>500000000</v>
      </c>
      <c r="I9" s="348">
        <v>500000000</v>
      </c>
      <c r="J9" s="348">
        <f t="shared" si="0"/>
        <v>0</v>
      </c>
      <c r="K9" s="348">
        <f t="shared" si="0"/>
        <v>0</v>
      </c>
      <c r="L9" s="348">
        <f t="shared" si="0"/>
        <v>0</v>
      </c>
    </row>
    <row r="10" spans="1:12" s="237" customFormat="1" ht="12.75" x14ac:dyDescent="0.2">
      <c r="A10" s="347" t="s">
        <v>199</v>
      </c>
      <c r="B10" s="347" t="s">
        <v>307</v>
      </c>
      <c r="C10" s="347" t="s">
        <v>200</v>
      </c>
      <c r="D10" s="347" t="s">
        <v>201</v>
      </c>
      <c r="E10" s="544"/>
      <c r="F10" s="348">
        <v>292223000</v>
      </c>
      <c r="G10" s="348">
        <v>307223000</v>
      </c>
      <c r="H10" s="348">
        <v>307223000</v>
      </c>
      <c r="I10" s="348">
        <v>307223000</v>
      </c>
      <c r="J10" s="348">
        <f t="shared" si="0"/>
        <v>15000000</v>
      </c>
      <c r="K10" s="348">
        <f t="shared" si="0"/>
        <v>0</v>
      </c>
      <c r="L10" s="348">
        <f t="shared" si="0"/>
        <v>0</v>
      </c>
    </row>
    <row r="11" spans="1:12" s="237" customFormat="1" ht="12.75" x14ac:dyDescent="0.2">
      <c r="A11" s="347" t="s">
        <v>202</v>
      </c>
      <c r="B11" s="347" t="s">
        <v>203</v>
      </c>
      <c r="C11" s="347" t="s">
        <v>200</v>
      </c>
      <c r="D11" s="347" t="s">
        <v>201</v>
      </c>
      <c r="E11" s="544"/>
      <c r="F11" s="348">
        <v>23990459232</v>
      </c>
      <c r="G11" s="348">
        <v>24858459232</v>
      </c>
      <c r="H11" s="348">
        <v>25858459232</v>
      </c>
      <c r="I11" s="348">
        <v>25858459232</v>
      </c>
      <c r="J11" s="348">
        <f t="shared" si="0"/>
        <v>868000000</v>
      </c>
      <c r="K11" s="348">
        <f t="shared" si="0"/>
        <v>1000000000</v>
      </c>
      <c r="L11" s="348">
        <f t="shared" si="0"/>
        <v>0</v>
      </c>
    </row>
    <row r="12" spans="1:12" s="237" customFormat="1" ht="22.5" x14ac:dyDescent="0.2">
      <c r="A12" s="347" t="s">
        <v>204</v>
      </c>
      <c r="B12" s="347" t="s">
        <v>205</v>
      </c>
      <c r="C12" s="347" t="s">
        <v>200</v>
      </c>
      <c r="D12" s="347" t="s">
        <v>201</v>
      </c>
      <c r="E12" s="544"/>
      <c r="F12" s="348">
        <v>13322397022</v>
      </c>
      <c r="G12" s="348">
        <v>13857427743</v>
      </c>
      <c r="H12" s="348">
        <v>13640335513</v>
      </c>
      <c r="I12" s="348">
        <v>13619710513</v>
      </c>
      <c r="J12" s="348">
        <f t="shared" si="0"/>
        <v>535030721</v>
      </c>
      <c r="K12" s="348">
        <f t="shared" si="0"/>
        <v>-217092230</v>
      </c>
      <c r="L12" s="348">
        <f t="shared" si="0"/>
        <v>-20625000</v>
      </c>
    </row>
    <row r="13" spans="1:12" s="237" customFormat="1" ht="22.5" x14ac:dyDescent="0.2">
      <c r="A13" s="347" t="s">
        <v>204</v>
      </c>
      <c r="B13" s="347" t="s">
        <v>205</v>
      </c>
      <c r="C13" s="347" t="s">
        <v>206</v>
      </c>
      <c r="D13" s="347" t="s">
        <v>207</v>
      </c>
      <c r="E13" s="544"/>
      <c r="F13" s="348">
        <v>39526000</v>
      </c>
      <c r="G13" s="348">
        <v>33750000</v>
      </c>
      <c r="H13" s="348">
        <v>33750000</v>
      </c>
      <c r="I13" s="348">
        <v>30000000</v>
      </c>
      <c r="J13" s="348">
        <f t="shared" si="0"/>
        <v>-5776000</v>
      </c>
      <c r="K13" s="348">
        <f t="shared" si="0"/>
        <v>0</v>
      </c>
      <c r="L13" s="348">
        <f t="shared" si="0"/>
        <v>-3750000</v>
      </c>
    </row>
    <row r="14" spans="1:12" s="237" customFormat="1" ht="33.75" x14ac:dyDescent="0.2">
      <c r="A14" s="347" t="s">
        <v>204</v>
      </c>
      <c r="B14" s="347" t="s">
        <v>205</v>
      </c>
      <c r="C14" s="347" t="s">
        <v>210</v>
      </c>
      <c r="D14" s="347" t="s">
        <v>382</v>
      </c>
      <c r="E14" s="544"/>
      <c r="F14" s="348">
        <v>1247965437</v>
      </c>
      <c r="G14" s="348">
        <v>551744338</v>
      </c>
      <c r="H14" s="348">
        <v>551744338</v>
      </c>
      <c r="I14" s="348">
        <v>551744338</v>
      </c>
      <c r="J14" s="348">
        <f t="shared" si="0"/>
        <v>-696221099</v>
      </c>
      <c r="K14" s="348">
        <f t="shared" si="0"/>
        <v>0</v>
      </c>
      <c r="L14" s="348">
        <f t="shared" si="0"/>
        <v>0</v>
      </c>
    </row>
    <row r="15" spans="1:12" s="237" customFormat="1" ht="22.5" x14ac:dyDescent="0.2">
      <c r="A15" s="347" t="s">
        <v>204</v>
      </c>
      <c r="B15" s="347" t="s">
        <v>205</v>
      </c>
      <c r="C15" s="347" t="s">
        <v>383</v>
      </c>
      <c r="D15" s="347" t="s">
        <v>384</v>
      </c>
      <c r="E15" s="544"/>
      <c r="F15" s="348">
        <v>3986000</v>
      </c>
      <c r="G15" s="348">
        <v>4055000</v>
      </c>
      <c r="H15" s="348">
        <v>4055000</v>
      </c>
      <c r="I15" s="348">
        <v>4055000</v>
      </c>
      <c r="J15" s="348">
        <f t="shared" si="0"/>
        <v>69000</v>
      </c>
      <c r="K15" s="348">
        <f t="shared" si="0"/>
        <v>0</v>
      </c>
      <c r="L15" s="348">
        <f t="shared" si="0"/>
        <v>0</v>
      </c>
    </row>
    <row r="16" spans="1:12" s="237" customFormat="1" ht="12.75" x14ac:dyDescent="0.2">
      <c r="A16" s="423" t="s">
        <v>308</v>
      </c>
      <c r="B16" s="423" t="s">
        <v>309</v>
      </c>
      <c r="C16" s="423"/>
      <c r="D16" s="423"/>
      <c r="E16" s="543"/>
      <c r="F16" s="346">
        <f>SUM(F17:F26)</f>
        <v>143723127562</v>
      </c>
      <c r="G16" s="346">
        <f>SUM(G17:G26)</f>
        <v>161482083817</v>
      </c>
      <c r="H16" s="346">
        <f>SUM(H17:H26)</f>
        <v>172998470618</v>
      </c>
      <c r="I16" s="346">
        <f>SUM(I17:I26)</f>
        <v>173827470618</v>
      </c>
      <c r="J16" s="346">
        <f t="shared" si="0"/>
        <v>17758956255</v>
      </c>
      <c r="K16" s="346">
        <f t="shared" si="0"/>
        <v>11516386801</v>
      </c>
      <c r="L16" s="346">
        <f t="shared" si="0"/>
        <v>829000000</v>
      </c>
    </row>
    <row r="17" spans="1:12" s="237" customFormat="1" ht="22.5" x14ac:dyDescent="0.2">
      <c r="A17" s="347" t="s">
        <v>211</v>
      </c>
      <c r="B17" s="347" t="s">
        <v>212</v>
      </c>
      <c r="C17" s="347" t="s">
        <v>200</v>
      </c>
      <c r="D17" s="347" t="s">
        <v>201</v>
      </c>
      <c r="E17" s="544"/>
      <c r="F17" s="348">
        <v>4074171595</v>
      </c>
      <c r="G17" s="348">
        <v>272352500</v>
      </c>
      <c r="H17" s="348">
        <v>272352500</v>
      </c>
      <c r="I17" s="348">
        <v>272352500</v>
      </c>
      <c r="J17" s="348">
        <f t="shared" si="0"/>
        <v>-3801819095</v>
      </c>
      <c r="K17" s="348">
        <f t="shared" si="0"/>
        <v>0</v>
      </c>
      <c r="L17" s="348">
        <f t="shared" si="0"/>
        <v>0</v>
      </c>
    </row>
    <row r="18" spans="1:12" s="237" customFormat="1" ht="22.5" x14ac:dyDescent="0.2">
      <c r="A18" s="347" t="s">
        <v>213</v>
      </c>
      <c r="B18" s="347" t="s">
        <v>214</v>
      </c>
      <c r="C18" s="347" t="s">
        <v>200</v>
      </c>
      <c r="D18" s="347" t="s">
        <v>201</v>
      </c>
      <c r="E18" s="544"/>
      <c r="F18" s="348">
        <v>135895311423</v>
      </c>
      <c r="G18" s="348">
        <v>157256116013</v>
      </c>
      <c r="H18" s="348">
        <v>168809545433</v>
      </c>
      <c r="I18" s="348">
        <v>169638545433</v>
      </c>
      <c r="J18" s="348">
        <f t="shared" si="0"/>
        <v>21360804590</v>
      </c>
      <c r="K18" s="348">
        <f t="shared" si="0"/>
        <v>11553429420</v>
      </c>
      <c r="L18" s="348">
        <f t="shared" si="0"/>
        <v>829000000</v>
      </c>
    </row>
    <row r="19" spans="1:12" s="237" customFormat="1" ht="22.5" x14ac:dyDescent="0.2">
      <c r="A19" s="347" t="s">
        <v>215</v>
      </c>
      <c r="B19" s="347" t="s">
        <v>310</v>
      </c>
      <c r="C19" s="347" t="s">
        <v>200</v>
      </c>
      <c r="D19" s="347" t="s">
        <v>201</v>
      </c>
      <c r="E19" s="544" t="s">
        <v>216</v>
      </c>
      <c r="F19" s="348">
        <v>140000000</v>
      </c>
      <c r="G19" s="348"/>
      <c r="H19" s="348"/>
      <c r="I19" s="348"/>
      <c r="J19" s="348">
        <f t="shared" si="0"/>
        <v>-140000000</v>
      </c>
      <c r="K19" s="348">
        <f t="shared" si="0"/>
        <v>0</v>
      </c>
      <c r="L19" s="348">
        <f t="shared" si="0"/>
        <v>0</v>
      </c>
    </row>
    <row r="20" spans="1:12" s="237" customFormat="1" ht="22.5" x14ac:dyDescent="0.2">
      <c r="A20" s="347" t="s">
        <v>215</v>
      </c>
      <c r="B20" s="347" t="s">
        <v>310</v>
      </c>
      <c r="C20" s="347" t="s">
        <v>200</v>
      </c>
      <c r="D20" s="347" t="s">
        <v>201</v>
      </c>
      <c r="E20" s="544" t="s">
        <v>311</v>
      </c>
      <c r="F20" s="348">
        <v>0</v>
      </c>
      <c r="G20" s="348">
        <v>10000000</v>
      </c>
      <c r="H20" s="348">
        <v>10000000</v>
      </c>
      <c r="I20" s="348">
        <v>10000000</v>
      </c>
      <c r="J20" s="348">
        <f t="shared" si="0"/>
        <v>10000000</v>
      </c>
      <c r="K20" s="348">
        <f t="shared" si="0"/>
        <v>0</v>
      </c>
      <c r="L20" s="348">
        <f t="shared" si="0"/>
        <v>0</v>
      </c>
    </row>
    <row r="21" spans="1:12" s="237" customFormat="1" ht="22.5" x14ac:dyDescent="0.2">
      <c r="A21" s="347" t="s">
        <v>215</v>
      </c>
      <c r="B21" s="347" t="s">
        <v>310</v>
      </c>
      <c r="C21" s="347" t="s">
        <v>200</v>
      </c>
      <c r="D21" s="347" t="s">
        <v>201</v>
      </c>
      <c r="E21" s="544" t="s">
        <v>312</v>
      </c>
      <c r="F21" s="348">
        <v>460000000</v>
      </c>
      <c r="G21" s="348">
        <v>460000000</v>
      </c>
      <c r="H21" s="348">
        <v>460000000</v>
      </c>
      <c r="I21" s="348">
        <v>460000000</v>
      </c>
      <c r="J21" s="348">
        <f t="shared" si="0"/>
        <v>0</v>
      </c>
      <c r="K21" s="348">
        <f t="shared" si="0"/>
        <v>0</v>
      </c>
      <c r="L21" s="348">
        <f t="shared" si="0"/>
        <v>0</v>
      </c>
    </row>
    <row r="22" spans="1:12" s="237" customFormat="1" ht="22.5" x14ac:dyDescent="0.2">
      <c r="A22" s="347" t="s">
        <v>215</v>
      </c>
      <c r="B22" s="347" t="s">
        <v>310</v>
      </c>
      <c r="C22" s="347" t="s">
        <v>200</v>
      </c>
      <c r="D22" s="347" t="s">
        <v>201</v>
      </c>
      <c r="E22" s="544" t="s">
        <v>386</v>
      </c>
      <c r="F22" s="348"/>
      <c r="G22" s="348">
        <v>20400000</v>
      </c>
      <c r="H22" s="348"/>
      <c r="I22" s="348"/>
      <c r="J22" s="348">
        <f t="shared" si="0"/>
        <v>20400000</v>
      </c>
      <c r="K22" s="348">
        <f t="shared" si="0"/>
        <v>-20400000</v>
      </c>
      <c r="L22" s="348">
        <f t="shared" si="0"/>
        <v>0</v>
      </c>
    </row>
    <row r="23" spans="1:12" s="237" customFormat="1" ht="22.5" x14ac:dyDescent="0.2">
      <c r="A23" s="347" t="s">
        <v>215</v>
      </c>
      <c r="B23" s="347" t="s">
        <v>310</v>
      </c>
      <c r="C23" s="347" t="s">
        <v>200</v>
      </c>
      <c r="D23" s="347" t="s">
        <v>201</v>
      </c>
      <c r="E23" s="544"/>
      <c r="F23" s="348">
        <v>38306700</v>
      </c>
      <c r="G23" s="348">
        <v>67963700</v>
      </c>
      <c r="H23" s="348">
        <v>67963700</v>
      </c>
      <c r="I23" s="348">
        <v>67963700</v>
      </c>
      <c r="J23" s="348">
        <f t="shared" si="0"/>
        <v>29657000</v>
      </c>
      <c r="K23" s="348">
        <f t="shared" si="0"/>
        <v>0</v>
      </c>
      <c r="L23" s="348">
        <f t="shared" si="0"/>
        <v>0</v>
      </c>
    </row>
    <row r="24" spans="1:12" s="237" customFormat="1" ht="12.75" x14ac:dyDescent="0.2">
      <c r="A24" s="347" t="s">
        <v>217</v>
      </c>
      <c r="B24" s="347" t="s">
        <v>218</v>
      </c>
      <c r="C24" s="347" t="s">
        <v>200</v>
      </c>
      <c r="D24" s="347" t="s">
        <v>201</v>
      </c>
      <c r="E24" s="544"/>
      <c r="F24" s="348">
        <v>3050337844</v>
      </c>
      <c r="G24" s="348">
        <v>3330251604</v>
      </c>
      <c r="H24" s="348">
        <v>3313608985</v>
      </c>
      <c r="I24" s="348">
        <v>3313608985</v>
      </c>
      <c r="J24" s="348">
        <f t="shared" si="0"/>
        <v>279913760</v>
      </c>
      <c r="K24" s="348">
        <f t="shared" si="0"/>
        <v>-16642619</v>
      </c>
      <c r="L24" s="348">
        <f t="shared" si="0"/>
        <v>0</v>
      </c>
    </row>
    <row r="25" spans="1:12" s="237" customFormat="1" ht="22.5" x14ac:dyDescent="0.2">
      <c r="A25" s="347" t="s">
        <v>219</v>
      </c>
      <c r="B25" s="347" t="s">
        <v>313</v>
      </c>
      <c r="C25" s="347" t="s">
        <v>200</v>
      </c>
      <c r="D25" s="347" t="s">
        <v>201</v>
      </c>
      <c r="E25" s="544" t="s">
        <v>220</v>
      </c>
      <c r="F25" s="348">
        <v>60000000</v>
      </c>
      <c r="G25" s="348">
        <v>0</v>
      </c>
      <c r="H25" s="348">
        <v>0</v>
      </c>
      <c r="I25" s="348"/>
      <c r="J25" s="348">
        <f t="shared" si="0"/>
        <v>-60000000</v>
      </c>
      <c r="K25" s="348">
        <f t="shared" si="0"/>
        <v>0</v>
      </c>
      <c r="L25" s="348">
        <f t="shared" si="0"/>
        <v>0</v>
      </c>
    </row>
    <row r="26" spans="1:12" s="237" customFormat="1" ht="22.5" x14ac:dyDescent="0.2">
      <c r="A26" s="347" t="s">
        <v>219</v>
      </c>
      <c r="B26" s="347" t="s">
        <v>313</v>
      </c>
      <c r="C26" s="347" t="s">
        <v>200</v>
      </c>
      <c r="D26" s="347" t="s">
        <v>201</v>
      </c>
      <c r="E26" s="544" t="s">
        <v>385</v>
      </c>
      <c r="F26" s="348">
        <v>5000000</v>
      </c>
      <c r="G26" s="348">
        <v>65000000</v>
      </c>
      <c r="H26" s="348">
        <v>65000000</v>
      </c>
      <c r="I26" s="348">
        <v>65000000</v>
      </c>
      <c r="J26" s="348">
        <f t="shared" si="0"/>
        <v>60000000</v>
      </c>
      <c r="K26" s="348">
        <f t="shared" si="0"/>
        <v>0</v>
      </c>
      <c r="L26" s="348">
        <f t="shared" si="0"/>
        <v>0</v>
      </c>
    </row>
    <row r="27" spans="1:12" s="237" customFormat="1" ht="22.5" x14ac:dyDescent="0.2">
      <c r="A27" s="423" t="s">
        <v>314</v>
      </c>
      <c r="B27" s="423" t="s">
        <v>46</v>
      </c>
      <c r="C27" s="423"/>
      <c r="D27" s="423"/>
      <c r="E27" s="543"/>
      <c r="F27" s="346">
        <f>SUM(F28:F29)</f>
        <v>276266938</v>
      </c>
      <c r="G27" s="346">
        <f>SUM(G28:G29)</f>
        <v>276266938</v>
      </c>
      <c r="H27" s="346">
        <f>SUM(H28:H29)</f>
        <v>276266938</v>
      </c>
      <c r="I27" s="346">
        <f>SUM(I28:I29)</f>
        <v>276266938</v>
      </c>
      <c r="J27" s="346">
        <f t="shared" si="0"/>
        <v>0</v>
      </c>
      <c r="K27" s="346">
        <f t="shared" si="0"/>
        <v>0</v>
      </c>
      <c r="L27" s="346">
        <f t="shared" si="0"/>
        <v>0</v>
      </c>
    </row>
    <row r="28" spans="1:12" s="237" customFormat="1" ht="22.5" x14ac:dyDescent="0.2">
      <c r="A28" s="347" t="s">
        <v>221</v>
      </c>
      <c r="B28" s="347" t="s">
        <v>315</v>
      </c>
      <c r="C28" s="347" t="s">
        <v>200</v>
      </c>
      <c r="D28" s="347" t="s">
        <v>201</v>
      </c>
      <c r="E28" s="544" t="s">
        <v>222</v>
      </c>
      <c r="F28" s="348">
        <v>25194100</v>
      </c>
      <c r="G28" s="348">
        <v>25194100</v>
      </c>
      <c r="H28" s="348">
        <v>25194100</v>
      </c>
      <c r="I28" s="348">
        <v>25194100</v>
      </c>
      <c r="J28" s="348">
        <f t="shared" si="0"/>
        <v>0</v>
      </c>
      <c r="K28" s="348">
        <f t="shared" si="0"/>
        <v>0</v>
      </c>
      <c r="L28" s="348">
        <f t="shared" si="0"/>
        <v>0</v>
      </c>
    </row>
    <row r="29" spans="1:12" s="237" customFormat="1" ht="22.5" x14ac:dyDescent="0.2">
      <c r="A29" s="347" t="s">
        <v>221</v>
      </c>
      <c r="B29" s="347" t="s">
        <v>315</v>
      </c>
      <c r="C29" s="347" t="s">
        <v>200</v>
      </c>
      <c r="D29" s="347" t="s">
        <v>201</v>
      </c>
      <c r="E29" s="544"/>
      <c r="F29" s="348">
        <v>251072838</v>
      </c>
      <c r="G29" s="348">
        <v>251072838</v>
      </c>
      <c r="H29" s="348">
        <v>251072838</v>
      </c>
      <c r="I29" s="348">
        <v>251072838</v>
      </c>
      <c r="J29" s="348">
        <f t="shared" si="0"/>
        <v>0</v>
      </c>
      <c r="K29" s="348">
        <f t="shared" si="0"/>
        <v>0</v>
      </c>
      <c r="L29" s="348">
        <f t="shared" si="0"/>
        <v>0</v>
      </c>
    </row>
    <row r="30" spans="1:12" s="237" customFormat="1" ht="12.75" x14ac:dyDescent="0.2">
      <c r="A30" s="423" t="s">
        <v>316</v>
      </c>
      <c r="B30" s="423" t="s">
        <v>47</v>
      </c>
      <c r="C30" s="423"/>
      <c r="D30" s="423"/>
      <c r="E30" s="543"/>
      <c r="F30" s="346">
        <f>SUM(F31:F37)</f>
        <v>7000000000</v>
      </c>
      <c r="G30" s="346">
        <f>SUM(G31:G37)</f>
        <v>7204727784</v>
      </c>
      <c r="H30" s="346">
        <f>SUM(H31:H37)</f>
        <v>351800306</v>
      </c>
      <c r="I30" s="346">
        <f>SUM(I31:I37)</f>
        <v>351800306</v>
      </c>
      <c r="J30" s="346">
        <f t="shared" si="0"/>
        <v>204727784</v>
      </c>
      <c r="K30" s="346">
        <f t="shared" si="0"/>
        <v>-6852927478</v>
      </c>
      <c r="L30" s="346">
        <f t="shared" si="0"/>
        <v>0</v>
      </c>
    </row>
    <row r="31" spans="1:12" s="237" customFormat="1" ht="22.5" x14ac:dyDescent="0.2">
      <c r="A31" s="347" t="s">
        <v>223</v>
      </c>
      <c r="B31" s="347" t="s">
        <v>317</v>
      </c>
      <c r="C31" s="347" t="s">
        <v>200</v>
      </c>
      <c r="D31" s="347" t="s">
        <v>201</v>
      </c>
      <c r="E31" s="544" t="s">
        <v>318</v>
      </c>
      <c r="F31" s="348">
        <v>450000000</v>
      </c>
      <c r="G31" s="348">
        <v>20000000</v>
      </c>
      <c r="H31" s="348">
        <v>20000000</v>
      </c>
      <c r="I31" s="348">
        <v>20000000</v>
      </c>
      <c r="J31" s="348">
        <f t="shared" si="0"/>
        <v>-430000000</v>
      </c>
      <c r="K31" s="348">
        <f t="shared" si="0"/>
        <v>0</v>
      </c>
      <c r="L31" s="348">
        <f t="shared" si="0"/>
        <v>0</v>
      </c>
    </row>
    <row r="32" spans="1:12" s="237" customFormat="1" ht="22.5" x14ac:dyDescent="0.2">
      <c r="A32" s="347" t="s">
        <v>223</v>
      </c>
      <c r="B32" s="347" t="s">
        <v>317</v>
      </c>
      <c r="C32" s="347" t="s">
        <v>200</v>
      </c>
      <c r="D32" s="347" t="s">
        <v>201</v>
      </c>
      <c r="E32" s="544"/>
      <c r="F32" s="348">
        <v>1741270897</v>
      </c>
      <c r="G32" s="348">
        <v>1741270897</v>
      </c>
      <c r="H32" s="348">
        <v>0</v>
      </c>
      <c r="I32" s="348">
        <v>0</v>
      </c>
      <c r="J32" s="348">
        <f t="shared" si="0"/>
        <v>0</v>
      </c>
      <c r="K32" s="348">
        <f t="shared" si="0"/>
        <v>-1741270897</v>
      </c>
      <c r="L32" s="348">
        <f t="shared" si="0"/>
        <v>0</v>
      </c>
    </row>
    <row r="33" spans="1:12" s="237" customFormat="1" ht="22.5" x14ac:dyDescent="0.2">
      <c r="A33" s="347" t="s">
        <v>224</v>
      </c>
      <c r="B33" s="347" t="s">
        <v>528</v>
      </c>
      <c r="C33" s="347" t="s">
        <v>200</v>
      </c>
      <c r="D33" s="347" t="s">
        <v>201</v>
      </c>
      <c r="E33" s="544"/>
      <c r="F33" s="348">
        <v>209830703</v>
      </c>
      <c r="G33" s="348">
        <v>186800306</v>
      </c>
      <c r="H33" s="348">
        <v>186800306</v>
      </c>
      <c r="I33" s="348">
        <v>186800306</v>
      </c>
      <c r="J33" s="348">
        <f t="shared" si="0"/>
        <v>-23030397</v>
      </c>
      <c r="K33" s="348">
        <f t="shared" si="0"/>
        <v>0</v>
      </c>
      <c r="L33" s="348">
        <f t="shared" si="0"/>
        <v>0</v>
      </c>
    </row>
    <row r="34" spans="1:12" s="237" customFormat="1" ht="22.5" x14ac:dyDescent="0.2">
      <c r="A34" s="347" t="s">
        <v>225</v>
      </c>
      <c r="B34" s="347" t="s">
        <v>319</v>
      </c>
      <c r="C34" s="347" t="s">
        <v>200</v>
      </c>
      <c r="D34" s="347" t="s">
        <v>201</v>
      </c>
      <c r="E34" s="544" t="s">
        <v>320</v>
      </c>
      <c r="F34" s="348">
        <v>1533500000</v>
      </c>
      <c r="G34" s="348">
        <v>2214175000</v>
      </c>
      <c r="H34" s="348"/>
      <c r="I34" s="348"/>
      <c r="J34" s="348">
        <f t="shared" si="0"/>
        <v>680675000</v>
      </c>
      <c r="K34" s="348">
        <f t="shared" si="0"/>
        <v>-2214175000</v>
      </c>
      <c r="L34" s="348">
        <f t="shared" si="0"/>
        <v>0</v>
      </c>
    </row>
    <row r="35" spans="1:12" s="237" customFormat="1" ht="22.5" x14ac:dyDescent="0.2">
      <c r="A35" s="347" t="s">
        <v>225</v>
      </c>
      <c r="B35" s="347" t="s">
        <v>319</v>
      </c>
      <c r="C35" s="347" t="s">
        <v>200</v>
      </c>
      <c r="D35" s="347" t="s">
        <v>201</v>
      </c>
      <c r="E35" s="544" t="s">
        <v>386</v>
      </c>
      <c r="F35" s="348">
        <v>16500000</v>
      </c>
      <c r="G35" s="348">
        <v>0</v>
      </c>
      <c r="H35" s="348"/>
      <c r="I35" s="348"/>
      <c r="J35" s="348">
        <f t="shared" si="0"/>
        <v>-16500000</v>
      </c>
      <c r="K35" s="348">
        <f t="shared" si="0"/>
        <v>0</v>
      </c>
      <c r="L35" s="348">
        <f t="shared" si="0"/>
        <v>0</v>
      </c>
    </row>
    <row r="36" spans="1:12" s="237" customFormat="1" ht="22.5" x14ac:dyDescent="0.2">
      <c r="A36" s="347" t="s">
        <v>225</v>
      </c>
      <c r="B36" s="347" t="s">
        <v>319</v>
      </c>
      <c r="C36" s="347" t="s">
        <v>200</v>
      </c>
      <c r="D36" s="347" t="s">
        <v>201</v>
      </c>
      <c r="E36" s="544"/>
      <c r="F36" s="348">
        <v>2903898400</v>
      </c>
      <c r="G36" s="348">
        <v>2897481581</v>
      </c>
      <c r="H36" s="348"/>
      <c r="I36" s="348"/>
      <c r="J36" s="348">
        <f t="shared" si="0"/>
        <v>-6416819</v>
      </c>
      <c r="K36" s="348">
        <f t="shared" si="0"/>
        <v>-2897481581</v>
      </c>
      <c r="L36" s="348">
        <f t="shared" si="0"/>
        <v>0</v>
      </c>
    </row>
    <row r="37" spans="1:12" s="237" customFormat="1" ht="22.5" x14ac:dyDescent="0.2">
      <c r="A37" s="347" t="s">
        <v>387</v>
      </c>
      <c r="B37" s="347" t="s">
        <v>388</v>
      </c>
      <c r="C37" s="347" t="s">
        <v>200</v>
      </c>
      <c r="D37" s="347" t="s">
        <v>201</v>
      </c>
      <c r="E37" s="544"/>
      <c r="F37" s="348">
        <v>145000000</v>
      </c>
      <c r="G37" s="348">
        <v>145000000</v>
      </c>
      <c r="H37" s="348">
        <v>145000000</v>
      </c>
      <c r="I37" s="348">
        <v>145000000</v>
      </c>
      <c r="J37" s="348">
        <f t="shared" si="0"/>
        <v>0</v>
      </c>
      <c r="K37" s="348">
        <f t="shared" si="0"/>
        <v>0</v>
      </c>
      <c r="L37" s="348">
        <f t="shared" si="0"/>
        <v>0</v>
      </c>
    </row>
    <row r="38" spans="1:12" s="237" customFormat="1" ht="22.5" x14ac:dyDescent="0.2">
      <c r="A38" s="423" t="s">
        <v>321</v>
      </c>
      <c r="B38" s="423" t="s">
        <v>322</v>
      </c>
      <c r="C38" s="423"/>
      <c r="D38" s="423"/>
      <c r="E38" s="543"/>
      <c r="F38" s="346">
        <f>SUM(F39:F45)</f>
        <v>1319580733</v>
      </c>
      <c r="G38" s="346">
        <f>SUM(G39:G45)</f>
        <v>1207424815</v>
      </c>
      <c r="H38" s="346">
        <f>SUM(H39:H45)</f>
        <v>1208564150</v>
      </c>
      <c r="I38" s="346">
        <f>SUM(I39:I45)</f>
        <v>1198681432</v>
      </c>
      <c r="J38" s="346">
        <f t="shared" si="0"/>
        <v>-112155918</v>
      </c>
      <c r="K38" s="346">
        <f t="shared" si="0"/>
        <v>1139335</v>
      </c>
      <c r="L38" s="346">
        <f t="shared" si="0"/>
        <v>-9882718</v>
      </c>
    </row>
    <row r="39" spans="1:12" s="237" customFormat="1" ht="22.5" x14ac:dyDescent="0.2">
      <c r="A39" s="347" t="s">
        <v>226</v>
      </c>
      <c r="B39" s="347" t="s">
        <v>323</v>
      </c>
      <c r="C39" s="347" t="s">
        <v>208</v>
      </c>
      <c r="D39" s="347" t="s">
        <v>209</v>
      </c>
      <c r="E39" s="544"/>
      <c r="F39" s="348">
        <v>3060208</v>
      </c>
      <c r="G39" s="348">
        <v>8933246</v>
      </c>
      <c r="H39" s="348">
        <v>8933246</v>
      </c>
      <c r="I39" s="348">
        <v>8933246</v>
      </c>
      <c r="J39" s="348">
        <f t="shared" si="0"/>
        <v>5873038</v>
      </c>
      <c r="K39" s="348">
        <f t="shared" si="0"/>
        <v>0</v>
      </c>
      <c r="L39" s="348">
        <f t="shared" si="0"/>
        <v>0</v>
      </c>
    </row>
    <row r="40" spans="1:12" s="238" customFormat="1" ht="33.75" x14ac:dyDescent="0.25">
      <c r="A40" s="347" t="s">
        <v>226</v>
      </c>
      <c r="B40" s="347" t="s">
        <v>323</v>
      </c>
      <c r="C40" s="347" t="s">
        <v>210</v>
      </c>
      <c r="D40" s="347" t="s">
        <v>382</v>
      </c>
      <c r="E40" s="544" t="s">
        <v>324</v>
      </c>
      <c r="F40" s="348">
        <v>123951415</v>
      </c>
      <c r="G40" s="348">
        <v>58838383</v>
      </c>
      <c r="H40" s="348">
        <v>184883887</v>
      </c>
      <c r="I40" s="348">
        <v>81391454</v>
      </c>
      <c r="J40" s="348">
        <f t="shared" si="0"/>
        <v>-65113032</v>
      </c>
      <c r="K40" s="348">
        <f t="shared" si="0"/>
        <v>126045504</v>
      </c>
      <c r="L40" s="348">
        <f t="shared" si="0"/>
        <v>-103492433</v>
      </c>
    </row>
    <row r="41" spans="1:12" ht="33.75" x14ac:dyDescent="0.25">
      <c r="A41" s="347" t="s">
        <v>226</v>
      </c>
      <c r="B41" s="347" t="s">
        <v>323</v>
      </c>
      <c r="C41" s="347" t="s">
        <v>210</v>
      </c>
      <c r="D41" s="347" t="s">
        <v>382</v>
      </c>
      <c r="E41" s="544"/>
      <c r="F41" s="348">
        <v>1135210049</v>
      </c>
      <c r="G41" s="348">
        <v>1117323081</v>
      </c>
      <c r="H41" s="348">
        <v>991277577</v>
      </c>
      <c r="I41" s="348">
        <v>1094770010</v>
      </c>
      <c r="J41" s="348">
        <f t="shared" si="0"/>
        <v>-17886968</v>
      </c>
      <c r="K41" s="348">
        <f t="shared" si="0"/>
        <v>-126045504</v>
      </c>
      <c r="L41" s="348">
        <f t="shared" si="0"/>
        <v>103492433</v>
      </c>
    </row>
    <row r="42" spans="1:12" ht="33.75" x14ac:dyDescent="0.25">
      <c r="A42" s="347" t="s">
        <v>226</v>
      </c>
      <c r="B42" s="347" t="s">
        <v>323</v>
      </c>
      <c r="C42" s="347" t="s">
        <v>325</v>
      </c>
      <c r="D42" s="347" t="s">
        <v>389</v>
      </c>
      <c r="E42" s="544" t="s">
        <v>231</v>
      </c>
      <c r="F42" s="348"/>
      <c r="G42" s="348">
        <v>888497</v>
      </c>
      <c r="H42" s="348">
        <v>945143</v>
      </c>
      <c r="I42" s="348">
        <v>787979</v>
      </c>
      <c r="J42" s="348">
        <f t="shared" si="0"/>
        <v>888497</v>
      </c>
      <c r="K42" s="348">
        <f t="shared" si="0"/>
        <v>56646</v>
      </c>
      <c r="L42" s="348">
        <f t="shared" si="0"/>
        <v>-157164</v>
      </c>
    </row>
    <row r="43" spans="1:12" s="237" customFormat="1" ht="33.75" x14ac:dyDescent="0.2">
      <c r="A43" s="347" t="s">
        <v>226</v>
      </c>
      <c r="B43" s="347" t="s">
        <v>323</v>
      </c>
      <c r="C43" s="347" t="s">
        <v>325</v>
      </c>
      <c r="D43" s="347" t="s">
        <v>389</v>
      </c>
      <c r="E43" s="544"/>
      <c r="F43" s="348">
        <v>19372960</v>
      </c>
      <c r="G43" s="348">
        <v>12611425</v>
      </c>
      <c r="H43" s="348">
        <v>12554779</v>
      </c>
      <c r="I43" s="348">
        <v>12711943</v>
      </c>
      <c r="J43" s="348">
        <f t="shared" si="0"/>
        <v>-6761535</v>
      </c>
      <c r="K43" s="348">
        <f t="shared" si="0"/>
        <v>-56646</v>
      </c>
      <c r="L43" s="348">
        <f t="shared" si="0"/>
        <v>157164</v>
      </c>
    </row>
    <row r="44" spans="1:12" s="237" customFormat="1" ht="45" x14ac:dyDescent="0.2">
      <c r="A44" s="347" t="s">
        <v>226</v>
      </c>
      <c r="B44" s="347" t="s">
        <v>323</v>
      </c>
      <c r="C44" s="347" t="s">
        <v>390</v>
      </c>
      <c r="D44" s="347" t="s">
        <v>391</v>
      </c>
      <c r="E44" s="544" t="s">
        <v>231</v>
      </c>
      <c r="F44" s="348">
        <v>37899301</v>
      </c>
      <c r="G44" s="348">
        <v>8743383</v>
      </c>
      <c r="H44" s="348">
        <v>9882718</v>
      </c>
      <c r="I44" s="348"/>
      <c r="J44" s="348">
        <f t="shared" si="0"/>
        <v>-29155918</v>
      </c>
      <c r="K44" s="348">
        <f t="shared" si="0"/>
        <v>1139335</v>
      </c>
      <c r="L44" s="348">
        <f t="shared" si="0"/>
        <v>-9882718</v>
      </c>
    </row>
    <row r="45" spans="1:12" s="237" customFormat="1" ht="22.5" x14ac:dyDescent="0.2">
      <c r="A45" s="347" t="s">
        <v>226</v>
      </c>
      <c r="B45" s="347" t="s">
        <v>323</v>
      </c>
      <c r="C45" s="347" t="s">
        <v>227</v>
      </c>
      <c r="D45" s="347" t="s">
        <v>228</v>
      </c>
      <c r="E45" s="544"/>
      <c r="F45" s="348">
        <v>86800</v>
      </c>
      <c r="G45" s="348">
        <v>86800</v>
      </c>
      <c r="H45" s="348">
        <v>86800</v>
      </c>
      <c r="I45" s="348">
        <v>86800</v>
      </c>
      <c r="J45" s="348">
        <f t="shared" si="0"/>
        <v>0</v>
      </c>
      <c r="K45" s="348">
        <f t="shared" si="0"/>
        <v>0</v>
      </c>
      <c r="L45" s="348">
        <f t="shared" si="0"/>
        <v>0</v>
      </c>
    </row>
    <row r="46" spans="1:12" s="237" customFormat="1" ht="22.5" x14ac:dyDescent="0.2">
      <c r="A46" s="423" t="s">
        <v>326</v>
      </c>
      <c r="B46" s="423" t="s">
        <v>51</v>
      </c>
      <c r="C46" s="423"/>
      <c r="D46" s="423"/>
      <c r="E46" s="543"/>
      <c r="F46" s="346">
        <f>SUM(F47:F50)</f>
        <v>2239152948</v>
      </c>
      <c r="G46" s="346">
        <f t="shared" ref="G46:L46" si="1">SUM(G47:G50)</f>
        <v>2249516539</v>
      </c>
      <c r="H46" s="346">
        <f t="shared" si="1"/>
        <v>2220427732</v>
      </c>
      <c r="I46" s="346">
        <f t="shared" si="1"/>
        <v>2227559026</v>
      </c>
      <c r="J46" s="346">
        <f t="shared" si="1"/>
        <v>10363591</v>
      </c>
      <c r="K46" s="346">
        <f t="shared" si="1"/>
        <v>-29088807</v>
      </c>
      <c r="L46" s="346">
        <f t="shared" si="1"/>
        <v>7131294</v>
      </c>
    </row>
    <row r="47" spans="1:12" s="237" customFormat="1" ht="22.5" x14ac:dyDescent="0.2">
      <c r="A47" s="347" t="s">
        <v>229</v>
      </c>
      <c r="B47" s="347" t="s">
        <v>230</v>
      </c>
      <c r="C47" s="347" t="s">
        <v>200</v>
      </c>
      <c r="D47" s="347" t="s">
        <v>201</v>
      </c>
      <c r="E47" s="544" t="s">
        <v>231</v>
      </c>
      <c r="F47" s="348">
        <v>84969769</v>
      </c>
      <c r="G47" s="348">
        <v>104125687</v>
      </c>
      <c r="H47" s="348">
        <v>102986352</v>
      </c>
      <c r="I47" s="348">
        <v>112869070</v>
      </c>
      <c r="J47" s="348">
        <f t="shared" si="0"/>
        <v>19155918</v>
      </c>
      <c r="K47" s="348">
        <f t="shared" si="0"/>
        <v>-1139335</v>
      </c>
      <c r="L47" s="348">
        <f t="shared" si="0"/>
        <v>9882718</v>
      </c>
    </row>
    <row r="48" spans="1:12" s="237" customFormat="1" ht="22.5" x14ac:dyDescent="0.2">
      <c r="A48" s="347" t="s">
        <v>229</v>
      </c>
      <c r="B48" s="347" t="s">
        <v>230</v>
      </c>
      <c r="C48" s="347" t="s">
        <v>200</v>
      </c>
      <c r="D48" s="347" t="s">
        <v>201</v>
      </c>
      <c r="E48" s="544"/>
      <c r="F48" s="348">
        <v>2154183179</v>
      </c>
      <c r="G48" s="348">
        <v>2090831135</v>
      </c>
      <c r="H48" s="348">
        <v>2062881663</v>
      </c>
      <c r="I48" s="348">
        <v>2060130239</v>
      </c>
      <c r="J48" s="348">
        <f t="shared" si="0"/>
        <v>-63352044</v>
      </c>
      <c r="K48" s="348">
        <f t="shared" si="0"/>
        <v>-27949472</v>
      </c>
      <c r="L48" s="348">
        <f t="shared" si="0"/>
        <v>-2751424</v>
      </c>
    </row>
    <row r="49" spans="1:12" s="238" customFormat="1" ht="15.75" x14ac:dyDescent="0.25">
      <c r="A49" s="347" t="s">
        <v>529</v>
      </c>
      <c r="B49" s="347" t="s">
        <v>530</v>
      </c>
      <c r="C49" s="347" t="s">
        <v>200</v>
      </c>
      <c r="D49" s="347" t="s">
        <v>201</v>
      </c>
      <c r="E49" s="544"/>
      <c r="F49" s="348"/>
      <c r="G49" s="348">
        <v>52711627</v>
      </c>
      <c r="H49" s="348">
        <v>52711627</v>
      </c>
      <c r="I49" s="348">
        <v>52711627</v>
      </c>
      <c r="J49" s="348">
        <f t="shared" si="0"/>
        <v>52711627</v>
      </c>
      <c r="K49" s="348">
        <f t="shared" si="0"/>
        <v>0</v>
      </c>
      <c r="L49" s="348">
        <f t="shared" si="0"/>
        <v>0</v>
      </c>
    </row>
    <row r="50" spans="1:12" s="238" customFormat="1" ht="15.75" x14ac:dyDescent="0.25">
      <c r="A50" s="347" t="s">
        <v>531</v>
      </c>
      <c r="B50" s="347" t="s">
        <v>532</v>
      </c>
      <c r="C50" s="347" t="s">
        <v>200</v>
      </c>
      <c r="D50" s="347" t="s">
        <v>201</v>
      </c>
      <c r="E50" s="544"/>
      <c r="F50" s="348"/>
      <c r="G50" s="348">
        <v>1848090</v>
      </c>
      <c r="H50" s="348">
        <v>1848090</v>
      </c>
      <c r="I50" s="348">
        <v>1848090</v>
      </c>
      <c r="J50" s="348">
        <f t="shared" si="0"/>
        <v>1848090</v>
      </c>
      <c r="K50" s="348">
        <f t="shared" si="0"/>
        <v>0</v>
      </c>
      <c r="L50" s="348">
        <f t="shared" si="0"/>
        <v>0</v>
      </c>
    </row>
    <row r="51" spans="1:12" x14ac:dyDescent="0.25">
      <c r="A51" s="423" t="s">
        <v>533</v>
      </c>
      <c r="B51" s="423" t="s">
        <v>534</v>
      </c>
      <c r="C51" s="423"/>
      <c r="D51" s="423"/>
      <c r="E51" s="543"/>
      <c r="F51" s="346">
        <f>F52</f>
        <v>0</v>
      </c>
      <c r="G51" s="346">
        <f t="shared" ref="G51:L51" si="2">G52</f>
        <v>0</v>
      </c>
      <c r="H51" s="346">
        <f t="shared" si="2"/>
        <v>0</v>
      </c>
      <c r="I51" s="346">
        <f t="shared" si="2"/>
        <v>0</v>
      </c>
      <c r="J51" s="346">
        <f t="shared" si="2"/>
        <v>0</v>
      </c>
      <c r="K51" s="346">
        <f t="shared" si="2"/>
        <v>0</v>
      </c>
      <c r="L51" s="346">
        <f t="shared" si="2"/>
        <v>0</v>
      </c>
    </row>
    <row r="52" spans="1:12" x14ac:dyDescent="0.25">
      <c r="A52" s="347" t="s">
        <v>535</v>
      </c>
      <c r="B52" s="347" t="s">
        <v>536</v>
      </c>
      <c r="C52" s="347" t="s">
        <v>200</v>
      </c>
      <c r="D52" s="347" t="s">
        <v>201</v>
      </c>
      <c r="E52" s="544"/>
      <c r="F52" s="348"/>
      <c r="G52" s="348"/>
      <c r="H52" s="348"/>
      <c r="I52" s="348"/>
      <c r="J52" s="348"/>
      <c r="K52" s="348"/>
      <c r="L52" s="348"/>
    </row>
    <row r="53" spans="1:12" x14ac:dyDescent="0.25">
      <c r="A53" s="678" t="s">
        <v>327</v>
      </c>
      <c r="B53" s="678"/>
      <c r="C53" s="456"/>
      <c r="D53" s="456"/>
      <c r="E53" s="545"/>
      <c r="F53" s="349">
        <f>+F46+F38+F30+F27+F16+F7</f>
        <v>195700679620</v>
      </c>
      <c r="G53" s="349">
        <f>+G46+G38+G30+G27+G16+G7</f>
        <v>214278673954</v>
      </c>
      <c r="H53" s="349">
        <f>+H46+H38+H30+H27+H16+H7</f>
        <v>219697091575</v>
      </c>
      <c r="I53" s="349">
        <f>+I46+I38+I30+I27+I16+I7</f>
        <v>220498965151</v>
      </c>
      <c r="J53" s="349">
        <f t="shared" si="0"/>
        <v>18577994334</v>
      </c>
      <c r="K53" s="349">
        <f t="shared" si="0"/>
        <v>5418417621</v>
      </c>
      <c r="L53" s="349">
        <f t="shared" si="0"/>
        <v>801873576</v>
      </c>
    </row>
    <row r="54" spans="1:12" x14ac:dyDescent="0.25">
      <c r="A54" s="72"/>
      <c r="B54" s="72"/>
      <c r="C54" s="72"/>
      <c r="D54" s="72"/>
      <c r="E54" s="546"/>
      <c r="F54" s="424"/>
      <c r="G54" s="547"/>
      <c r="H54" s="547"/>
      <c r="I54" s="424"/>
      <c r="J54" s="424"/>
      <c r="K54" s="424"/>
      <c r="L54" s="424"/>
    </row>
    <row r="55" spans="1:12" ht="22.5" x14ac:dyDescent="0.25">
      <c r="A55" s="347" t="s">
        <v>204</v>
      </c>
      <c r="B55" s="347" t="s">
        <v>205</v>
      </c>
      <c r="C55" s="347" t="s">
        <v>233</v>
      </c>
      <c r="D55" s="347" t="s">
        <v>234</v>
      </c>
      <c r="E55" s="544"/>
      <c r="F55" s="348">
        <v>9881500</v>
      </c>
      <c r="G55" s="348">
        <v>11250000</v>
      </c>
      <c r="H55" s="348"/>
      <c r="I55" s="348"/>
      <c r="J55" s="348">
        <f t="shared" si="0"/>
        <v>1368500</v>
      </c>
      <c r="K55" s="348">
        <f t="shared" si="0"/>
        <v>-11250000</v>
      </c>
      <c r="L55" s="348">
        <f t="shared" si="0"/>
        <v>0</v>
      </c>
    </row>
    <row r="56" spans="1:12" ht="33.75" x14ac:dyDescent="0.25">
      <c r="A56" s="347" t="s">
        <v>204</v>
      </c>
      <c r="B56" s="347" t="s">
        <v>205</v>
      </c>
      <c r="C56" s="347" t="s">
        <v>235</v>
      </c>
      <c r="D56" s="347" t="s">
        <v>392</v>
      </c>
      <c r="E56" s="544"/>
      <c r="F56" s="348">
        <v>5110000000</v>
      </c>
      <c r="G56" s="348">
        <v>6500000000</v>
      </c>
      <c r="H56" s="348"/>
      <c r="I56" s="348"/>
      <c r="J56" s="348">
        <f t="shared" si="0"/>
        <v>1390000000</v>
      </c>
      <c r="K56" s="348">
        <f t="shared" si="0"/>
        <v>-6500000000</v>
      </c>
      <c r="L56" s="348">
        <f t="shared" si="0"/>
        <v>0</v>
      </c>
    </row>
    <row r="57" spans="1:12" ht="15" customHeight="1" x14ac:dyDescent="0.25">
      <c r="A57" s="347" t="s">
        <v>204</v>
      </c>
      <c r="B57" s="347" t="s">
        <v>323</v>
      </c>
      <c r="C57" s="347" t="s">
        <v>393</v>
      </c>
      <c r="D57" s="347" t="s">
        <v>394</v>
      </c>
      <c r="E57" s="544"/>
      <c r="F57" s="348">
        <v>584000</v>
      </c>
      <c r="G57" s="348">
        <v>220863</v>
      </c>
      <c r="H57" s="348"/>
      <c r="I57" s="348"/>
      <c r="J57" s="348">
        <f>G57-F57</f>
        <v>-363137</v>
      </c>
      <c r="K57" s="348">
        <f>H57-G57</f>
        <v>-220863</v>
      </c>
      <c r="L57" s="348">
        <f>I57-H57</f>
        <v>0</v>
      </c>
    </row>
    <row r="58" spans="1:12" ht="15" customHeight="1" x14ac:dyDescent="0.25">
      <c r="A58" s="347" t="s">
        <v>226</v>
      </c>
      <c r="B58" s="347" t="s">
        <v>323</v>
      </c>
      <c r="C58" s="347" t="s">
        <v>328</v>
      </c>
      <c r="D58" s="347" t="s">
        <v>329</v>
      </c>
      <c r="E58" s="544"/>
      <c r="F58" s="348"/>
      <c r="G58" s="348">
        <v>62118970</v>
      </c>
      <c r="H58" s="348"/>
      <c r="I58" s="348"/>
      <c r="J58" s="348">
        <f t="shared" si="0"/>
        <v>62118970</v>
      </c>
      <c r="K58" s="348">
        <f t="shared" si="0"/>
        <v>-62118970</v>
      </c>
      <c r="L58" s="348">
        <f t="shared" si="0"/>
        <v>0</v>
      </c>
    </row>
    <row r="59" spans="1:12" ht="22.5" x14ac:dyDescent="0.25">
      <c r="A59" s="347" t="s">
        <v>226</v>
      </c>
      <c r="B59" s="347" t="s">
        <v>323</v>
      </c>
      <c r="C59" s="347" t="s">
        <v>537</v>
      </c>
      <c r="D59" s="347" t="s">
        <v>538</v>
      </c>
      <c r="E59" s="544"/>
      <c r="F59" s="348"/>
      <c r="G59" s="348">
        <v>1360000</v>
      </c>
      <c r="H59" s="348"/>
      <c r="I59" s="348"/>
      <c r="J59" s="348">
        <f t="shared" si="0"/>
        <v>1360000</v>
      </c>
      <c r="K59" s="348">
        <f t="shared" si="0"/>
        <v>-1360000</v>
      </c>
      <c r="L59" s="348">
        <f t="shared" si="0"/>
        <v>0</v>
      </c>
    </row>
    <row r="60" spans="1:12" ht="33.75" x14ac:dyDescent="0.25">
      <c r="A60" s="347" t="s">
        <v>226</v>
      </c>
      <c r="B60" s="347" t="s">
        <v>323</v>
      </c>
      <c r="C60" s="347" t="s">
        <v>235</v>
      </c>
      <c r="D60" s="347" t="s">
        <v>392</v>
      </c>
      <c r="E60" s="544" t="s">
        <v>324</v>
      </c>
      <c r="F60" s="348">
        <v>523582985</v>
      </c>
      <c r="G60" s="348">
        <v>1132084384</v>
      </c>
      <c r="H60" s="348"/>
      <c r="I60" s="348"/>
      <c r="J60" s="348">
        <f t="shared" si="0"/>
        <v>608501399</v>
      </c>
      <c r="K60" s="348">
        <f t="shared" si="0"/>
        <v>-1132084384</v>
      </c>
      <c r="L60" s="348">
        <f t="shared" si="0"/>
        <v>0</v>
      </c>
    </row>
    <row r="61" spans="1:12" ht="33.75" x14ac:dyDescent="0.25">
      <c r="A61" s="347" t="s">
        <v>226</v>
      </c>
      <c r="B61" s="347" t="s">
        <v>323</v>
      </c>
      <c r="C61" s="347" t="s">
        <v>235</v>
      </c>
      <c r="D61" s="347" t="s">
        <v>392</v>
      </c>
      <c r="E61" s="544"/>
      <c r="F61" s="348">
        <v>4166417015</v>
      </c>
      <c r="G61" s="348">
        <v>4367915616</v>
      </c>
      <c r="H61" s="348"/>
      <c r="I61" s="348"/>
      <c r="J61" s="348">
        <f t="shared" si="0"/>
        <v>201498601</v>
      </c>
      <c r="K61" s="348">
        <f t="shared" si="0"/>
        <v>-4367915616</v>
      </c>
      <c r="L61" s="348">
        <f t="shared" si="0"/>
        <v>0</v>
      </c>
    </row>
    <row r="62" spans="1:12" ht="33.75" x14ac:dyDescent="0.25">
      <c r="A62" s="347" t="s">
        <v>226</v>
      </c>
      <c r="B62" s="347" t="s">
        <v>323</v>
      </c>
      <c r="C62" s="347" t="s">
        <v>330</v>
      </c>
      <c r="D62" s="347" t="s">
        <v>395</v>
      </c>
      <c r="E62" s="544"/>
      <c r="F62" s="348">
        <v>87909567</v>
      </c>
      <c r="G62" s="348">
        <v>72684337</v>
      </c>
      <c r="H62" s="348"/>
      <c r="I62" s="348"/>
      <c r="J62" s="348">
        <f t="shared" si="0"/>
        <v>-15225230</v>
      </c>
      <c r="K62" s="348">
        <f t="shared" si="0"/>
        <v>-72684337</v>
      </c>
      <c r="L62" s="348">
        <f t="shared" si="0"/>
        <v>0</v>
      </c>
    </row>
    <row r="63" spans="1:12" ht="33.75" x14ac:dyDescent="0.25">
      <c r="A63" s="347" t="s">
        <v>226</v>
      </c>
      <c r="B63" s="347" t="s">
        <v>323</v>
      </c>
      <c r="C63" s="347" t="s">
        <v>330</v>
      </c>
      <c r="D63" s="347" t="s">
        <v>395</v>
      </c>
      <c r="E63" s="544" t="s">
        <v>231</v>
      </c>
      <c r="F63" s="348"/>
      <c r="G63" s="348">
        <v>3754263</v>
      </c>
      <c r="H63" s="348"/>
      <c r="I63" s="348"/>
      <c r="J63" s="348">
        <f t="shared" si="0"/>
        <v>3754263</v>
      </c>
      <c r="K63" s="348">
        <f t="shared" si="0"/>
        <v>-3754263</v>
      </c>
      <c r="L63" s="348">
        <f t="shared" si="0"/>
        <v>0</v>
      </c>
    </row>
    <row r="64" spans="1:12" ht="45" x14ac:dyDescent="0.25">
      <c r="A64" s="347" t="s">
        <v>226</v>
      </c>
      <c r="B64" s="347" t="s">
        <v>323</v>
      </c>
      <c r="C64" s="347" t="s">
        <v>396</v>
      </c>
      <c r="D64" s="347" t="s">
        <v>397</v>
      </c>
      <c r="E64" s="544"/>
      <c r="F64" s="348">
        <v>160111677</v>
      </c>
      <c r="G64" s="348">
        <v>36937823</v>
      </c>
      <c r="H64" s="348"/>
      <c r="I64" s="348"/>
      <c r="J64" s="348">
        <f t="shared" si="0"/>
        <v>-123173854</v>
      </c>
      <c r="K64" s="348">
        <f t="shared" si="0"/>
        <v>-36937823</v>
      </c>
      <c r="L64" s="348">
        <f t="shared" si="0"/>
        <v>0</v>
      </c>
    </row>
    <row r="65" spans="1:12" x14ac:dyDescent="0.25">
      <c r="A65" s="667" t="s">
        <v>398</v>
      </c>
      <c r="B65" s="668"/>
      <c r="C65" s="457"/>
      <c r="D65" s="361"/>
      <c r="E65" s="548"/>
      <c r="F65" s="349">
        <f t="shared" ref="F65:L65" si="3">SUM(F55:F64)</f>
        <v>10058486744</v>
      </c>
      <c r="G65" s="349">
        <f t="shared" si="3"/>
        <v>12188326256</v>
      </c>
      <c r="H65" s="349">
        <f t="shared" si="3"/>
        <v>0</v>
      </c>
      <c r="I65" s="349">
        <f t="shared" si="3"/>
        <v>0</v>
      </c>
      <c r="J65" s="349">
        <f t="shared" si="3"/>
        <v>2129839512</v>
      </c>
      <c r="K65" s="349">
        <f t="shared" si="3"/>
        <v>-12188326256</v>
      </c>
      <c r="L65" s="349">
        <f t="shared" si="3"/>
        <v>0</v>
      </c>
    </row>
    <row r="66" spans="1:12" x14ac:dyDescent="0.25">
      <c r="A66" s="667" t="s">
        <v>399</v>
      </c>
      <c r="B66" s="668"/>
      <c r="C66" s="457"/>
      <c r="D66" s="361"/>
      <c r="E66" s="548"/>
      <c r="F66" s="349">
        <f t="shared" ref="F66:L66" si="4">+F53+F65</f>
        <v>205759166364</v>
      </c>
      <c r="G66" s="349">
        <f t="shared" si="4"/>
        <v>226467000210</v>
      </c>
      <c r="H66" s="349">
        <f t="shared" si="4"/>
        <v>219697091575</v>
      </c>
      <c r="I66" s="349">
        <f t="shared" si="4"/>
        <v>220498965151</v>
      </c>
      <c r="J66" s="349">
        <f t="shared" si="4"/>
        <v>20707833846</v>
      </c>
      <c r="K66" s="349">
        <f t="shared" si="4"/>
        <v>-6769908635</v>
      </c>
      <c r="L66" s="349">
        <f t="shared" si="4"/>
        <v>801873576</v>
      </c>
    </row>
  </sheetData>
  <mergeCells count="8">
    <mergeCell ref="A65:B65"/>
    <mergeCell ref="A66:B66"/>
    <mergeCell ref="J4:L5"/>
    <mergeCell ref="A3:E3"/>
    <mergeCell ref="A6:B6"/>
    <mergeCell ref="C6:D6"/>
    <mergeCell ref="A4:E5"/>
    <mergeCell ref="A53:B53"/>
  </mergeCells>
  <printOptions horizontalCentered="1"/>
  <pageMargins left="0.70866141732283472" right="0.70866141732283472" top="0.78740157480314965" bottom="0.59055118110236227" header="0.51181102362204722" footer="0.31496062992125984"/>
  <pageSetup paperSize="9" scale="64" fitToHeight="0" orientation="landscape" r:id="rId1"/>
  <headerFooter alignWithMargins="0">
    <oddHeader>&amp;RKapitola A
&amp;"-,Tučné"Tabulka č. 5/str. č 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Z44"/>
  <sheetViews>
    <sheetView zoomScaleNormal="100" workbookViewId="0">
      <selection activeCell="G72" sqref="G72"/>
    </sheetView>
  </sheetViews>
  <sheetFormatPr defaultRowHeight="15" x14ac:dyDescent="0.25"/>
  <cols>
    <col min="1" max="1" width="37.7109375" style="460" customWidth="1"/>
    <col min="2" max="2" width="20.42578125" style="298" customWidth="1"/>
    <col min="3" max="6" width="20.42578125" customWidth="1"/>
    <col min="7" max="7" width="12.42578125" customWidth="1"/>
    <col min="8" max="8" width="11.42578125" customWidth="1"/>
    <col min="9" max="9" width="12.5703125" customWidth="1"/>
    <col min="10" max="10" width="10.7109375" customWidth="1"/>
    <col min="11" max="11" width="13.85546875" hidden="1" customWidth="1"/>
    <col min="12" max="12" width="10.85546875" hidden="1" customWidth="1"/>
    <col min="13" max="13" width="13.5703125" hidden="1" customWidth="1"/>
    <col min="14" max="14" width="11.28515625" hidden="1" customWidth="1"/>
    <col min="15" max="15" width="9.7109375" hidden="1" customWidth="1"/>
    <col min="16" max="16" width="11.42578125" hidden="1" customWidth="1"/>
    <col min="17" max="17" width="11.28515625" hidden="1" customWidth="1"/>
    <col min="18" max="18" width="11" hidden="1" customWidth="1"/>
    <col min="19" max="19" width="10.7109375" hidden="1" customWidth="1"/>
    <col min="20" max="20" width="0" hidden="1" customWidth="1"/>
    <col min="21" max="21" width="10.7109375" customWidth="1"/>
    <col min="22" max="22" width="11.7109375" customWidth="1"/>
    <col min="23" max="24" width="11.7109375" bestFit="1" customWidth="1"/>
    <col min="257" max="257" width="37.7109375" customWidth="1"/>
    <col min="258" max="258" width="17" customWidth="1"/>
    <col min="259" max="259" width="15.5703125" customWidth="1"/>
    <col min="260" max="260" width="16.85546875" customWidth="1"/>
    <col min="261" max="261" width="14.5703125" customWidth="1"/>
    <col min="262" max="262" width="17.85546875" customWidth="1"/>
    <col min="263" max="263" width="12.42578125" customWidth="1"/>
    <col min="264" max="264" width="11.42578125" customWidth="1"/>
    <col min="265" max="265" width="12.5703125" customWidth="1"/>
    <col min="266" max="266" width="10.7109375" customWidth="1"/>
    <col min="267" max="276" width="0" hidden="1" customWidth="1"/>
    <col min="277" max="277" width="10.7109375" customWidth="1"/>
    <col min="278" max="278" width="11.7109375" customWidth="1"/>
    <col min="279" max="280" width="11.7109375" bestFit="1" customWidth="1"/>
    <col min="513" max="513" width="37.7109375" customWidth="1"/>
    <col min="514" max="514" width="17" customWidth="1"/>
    <col min="515" max="515" width="15.5703125" customWidth="1"/>
    <col min="516" max="516" width="16.85546875" customWidth="1"/>
    <col min="517" max="517" width="14.5703125" customWidth="1"/>
    <col min="518" max="518" width="17.85546875" customWidth="1"/>
    <col min="519" max="519" width="12.42578125" customWidth="1"/>
    <col min="520" max="520" width="11.42578125" customWidth="1"/>
    <col min="521" max="521" width="12.5703125" customWidth="1"/>
    <col min="522" max="522" width="10.7109375" customWidth="1"/>
    <col min="523" max="532" width="0" hidden="1" customWidth="1"/>
    <col min="533" max="533" width="10.7109375" customWidth="1"/>
    <col min="534" max="534" width="11.7109375" customWidth="1"/>
    <col min="535" max="536" width="11.7109375" bestFit="1" customWidth="1"/>
    <col min="769" max="769" width="37.7109375" customWidth="1"/>
    <col min="770" max="770" width="17" customWidth="1"/>
    <col min="771" max="771" width="15.5703125" customWidth="1"/>
    <col min="772" max="772" width="16.85546875" customWidth="1"/>
    <col min="773" max="773" width="14.5703125" customWidth="1"/>
    <col min="774" max="774" width="17.85546875" customWidth="1"/>
    <col min="775" max="775" width="12.42578125" customWidth="1"/>
    <col min="776" max="776" width="11.42578125" customWidth="1"/>
    <col min="777" max="777" width="12.5703125" customWidth="1"/>
    <col min="778" max="778" width="10.7109375" customWidth="1"/>
    <col min="779" max="788" width="0" hidden="1" customWidth="1"/>
    <col min="789" max="789" width="10.7109375" customWidth="1"/>
    <col min="790" max="790" width="11.7109375" customWidth="1"/>
    <col min="791" max="792" width="11.7109375" bestFit="1" customWidth="1"/>
    <col min="1025" max="1025" width="37.7109375" customWidth="1"/>
    <col min="1026" max="1026" width="17" customWidth="1"/>
    <col min="1027" max="1027" width="15.5703125" customWidth="1"/>
    <col min="1028" max="1028" width="16.85546875" customWidth="1"/>
    <col min="1029" max="1029" width="14.5703125" customWidth="1"/>
    <col min="1030" max="1030" width="17.85546875" customWidth="1"/>
    <col min="1031" max="1031" width="12.42578125" customWidth="1"/>
    <col min="1032" max="1032" width="11.42578125" customWidth="1"/>
    <col min="1033" max="1033" width="12.5703125" customWidth="1"/>
    <col min="1034" max="1034" width="10.7109375" customWidth="1"/>
    <col min="1035" max="1044" width="0" hidden="1" customWidth="1"/>
    <col min="1045" max="1045" width="10.7109375" customWidth="1"/>
    <col min="1046" max="1046" width="11.7109375" customWidth="1"/>
    <col min="1047" max="1048" width="11.7109375" bestFit="1" customWidth="1"/>
    <col min="1281" max="1281" width="37.7109375" customWidth="1"/>
    <col min="1282" max="1282" width="17" customWidth="1"/>
    <col min="1283" max="1283" width="15.5703125" customWidth="1"/>
    <col min="1284" max="1284" width="16.85546875" customWidth="1"/>
    <col min="1285" max="1285" width="14.5703125" customWidth="1"/>
    <col min="1286" max="1286" width="17.85546875" customWidth="1"/>
    <col min="1287" max="1287" width="12.42578125" customWidth="1"/>
    <col min="1288" max="1288" width="11.42578125" customWidth="1"/>
    <col min="1289" max="1289" width="12.5703125" customWidth="1"/>
    <col min="1290" max="1290" width="10.7109375" customWidth="1"/>
    <col min="1291" max="1300" width="0" hidden="1" customWidth="1"/>
    <col min="1301" max="1301" width="10.7109375" customWidth="1"/>
    <col min="1302" max="1302" width="11.7109375" customWidth="1"/>
    <col min="1303" max="1304" width="11.7109375" bestFit="1" customWidth="1"/>
    <col min="1537" max="1537" width="37.7109375" customWidth="1"/>
    <col min="1538" max="1538" width="17" customWidth="1"/>
    <col min="1539" max="1539" width="15.5703125" customWidth="1"/>
    <col min="1540" max="1540" width="16.85546875" customWidth="1"/>
    <col min="1541" max="1541" width="14.5703125" customWidth="1"/>
    <col min="1542" max="1542" width="17.85546875" customWidth="1"/>
    <col min="1543" max="1543" width="12.42578125" customWidth="1"/>
    <col min="1544" max="1544" width="11.42578125" customWidth="1"/>
    <col min="1545" max="1545" width="12.5703125" customWidth="1"/>
    <col min="1546" max="1546" width="10.7109375" customWidth="1"/>
    <col min="1547" max="1556" width="0" hidden="1" customWidth="1"/>
    <col min="1557" max="1557" width="10.7109375" customWidth="1"/>
    <col min="1558" max="1558" width="11.7109375" customWidth="1"/>
    <col min="1559" max="1560" width="11.7109375" bestFit="1" customWidth="1"/>
    <col min="1793" max="1793" width="37.7109375" customWidth="1"/>
    <col min="1794" max="1794" width="17" customWidth="1"/>
    <col min="1795" max="1795" width="15.5703125" customWidth="1"/>
    <col min="1796" max="1796" width="16.85546875" customWidth="1"/>
    <col min="1797" max="1797" width="14.5703125" customWidth="1"/>
    <col min="1798" max="1798" width="17.85546875" customWidth="1"/>
    <col min="1799" max="1799" width="12.42578125" customWidth="1"/>
    <col min="1800" max="1800" width="11.42578125" customWidth="1"/>
    <col min="1801" max="1801" width="12.5703125" customWidth="1"/>
    <col min="1802" max="1802" width="10.7109375" customWidth="1"/>
    <col min="1803" max="1812" width="0" hidden="1" customWidth="1"/>
    <col min="1813" max="1813" width="10.7109375" customWidth="1"/>
    <col min="1814" max="1814" width="11.7109375" customWidth="1"/>
    <col min="1815" max="1816" width="11.7109375" bestFit="1" customWidth="1"/>
    <col min="2049" max="2049" width="37.7109375" customWidth="1"/>
    <col min="2050" max="2050" width="17" customWidth="1"/>
    <col min="2051" max="2051" width="15.5703125" customWidth="1"/>
    <col min="2052" max="2052" width="16.85546875" customWidth="1"/>
    <col min="2053" max="2053" width="14.5703125" customWidth="1"/>
    <col min="2054" max="2054" width="17.85546875" customWidth="1"/>
    <col min="2055" max="2055" width="12.42578125" customWidth="1"/>
    <col min="2056" max="2056" width="11.42578125" customWidth="1"/>
    <col min="2057" max="2057" width="12.5703125" customWidth="1"/>
    <col min="2058" max="2058" width="10.7109375" customWidth="1"/>
    <col min="2059" max="2068" width="0" hidden="1" customWidth="1"/>
    <col min="2069" max="2069" width="10.7109375" customWidth="1"/>
    <col min="2070" max="2070" width="11.7109375" customWidth="1"/>
    <col min="2071" max="2072" width="11.7109375" bestFit="1" customWidth="1"/>
    <col min="2305" max="2305" width="37.7109375" customWidth="1"/>
    <col min="2306" max="2306" width="17" customWidth="1"/>
    <col min="2307" max="2307" width="15.5703125" customWidth="1"/>
    <col min="2308" max="2308" width="16.85546875" customWidth="1"/>
    <col min="2309" max="2309" width="14.5703125" customWidth="1"/>
    <col min="2310" max="2310" width="17.85546875" customWidth="1"/>
    <col min="2311" max="2311" width="12.42578125" customWidth="1"/>
    <col min="2312" max="2312" width="11.42578125" customWidth="1"/>
    <col min="2313" max="2313" width="12.5703125" customWidth="1"/>
    <col min="2314" max="2314" width="10.7109375" customWidth="1"/>
    <col min="2315" max="2324" width="0" hidden="1" customWidth="1"/>
    <col min="2325" max="2325" width="10.7109375" customWidth="1"/>
    <col min="2326" max="2326" width="11.7109375" customWidth="1"/>
    <col min="2327" max="2328" width="11.7109375" bestFit="1" customWidth="1"/>
    <col min="2561" max="2561" width="37.7109375" customWidth="1"/>
    <col min="2562" max="2562" width="17" customWidth="1"/>
    <col min="2563" max="2563" width="15.5703125" customWidth="1"/>
    <col min="2564" max="2564" width="16.85546875" customWidth="1"/>
    <col min="2565" max="2565" width="14.5703125" customWidth="1"/>
    <col min="2566" max="2566" width="17.85546875" customWidth="1"/>
    <col min="2567" max="2567" width="12.42578125" customWidth="1"/>
    <col min="2568" max="2568" width="11.42578125" customWidth="1"/>
    <col min="2569" max="2569" width="12.5703125" customWidth="1"/>
    <col min="2570" max="2570" width="10.7109375" customWidth="1"/>
    <col min="2571" max="2580" width="0" hidden="1" customWidth="1"/>
    <col min="2581" max="2581" width="10.7109375" customWidth="1"/>
    <col min="2582" max="2582" width="11.7109375" customWidth="1"/>
    <col min="2583" max="2584" width="11.7109375" bestFit="1" customWidth="1"/>
    <col min="2817" max="2817" width="37.7109375" customWidth="1"/>
    <col min="2818" max="2818" width="17" customWidth="1"/>
    <col min="2819" max="2819" width="15.5703125" customWidth="1"/>
    <col min="2820" max="2820" width="16.85546875" customWidth="1"/>
    <col min="2821" max="2821" width="14.5703125" customWidth="1"/>
    <col min="2822" max="2822" width="17.85546875" customWidth="1"/>
    <col min="2823" max="2823" width="12.42578125" customWidth="1"/>
    <col min="2824" max="2824" width="11.42578125" customWidth="1"/>
    <col min="2825" max="2825" width="12.5703125" customWidth="1"/>
    <col min="2826" max="2826" width="10.7109375" customWidth="1"/>
    <col min="2827" max="2836" width="0" hidden="1" customWidth="1"/>
    <col min="2837" max="2837" width="10.7109375" customWidth="1"/>
    <col min="2838" max="2838" width="11.7109375" customWidth="1"/>
    <col min="2839" max="2840" width="11.7109375" bestFit="1" customWidth="1"/>
    <col min="3073" max="3073" width="37.7109375" customWidth="1"/>
    <col min="3074" max="3074" width="17" customWidth="1"/>
    <col min="3075" max="3075" width="15.5703125" customWidth="1"/>
    <col min="3076" max="3076" width="16.85546875" customWidth="1"/>
    <col min="3077" max="3077" width="14.5703125" customWidth="1"/>
    <col min="3078" max="3078" width="17.85546875" customWidth="1"/>
    <col min="3079" max="3079" width="12.42578125" customWidth="1"/>
    <col min="3080" max="3080" width="11.42578125" customWidth="1"/>
    <col min="3081" max="3081" width="12.5703125" customWidth="1"/>
    <col min="3082" max="3082" width="10.7109375" customWidth="1"/>
    <col min="3083" max="3092" width="0" hidden="1" customWidth="1"/>
    <col min="3093" max="3093" width="10.7109375" customWidth="1"/>
    <col min="3094" max="3094" width="11.7109375" customWidth="1"/>
    <col min="3095" max="3096" width="11.7109375" bestFit="1" customWidth="1"/>
    <col min="3329" max="3329" width="37.7109375" customWidth="1"/>
    <col min="3330" max="3330" width="17" customWidth="1"/>
    <col min="3331" max="3331" width="15.5703125" customWidth="1"/>
    <col min="3332" max="3332" width="16.85546875" customWidth="1"/>
    <col min="3333" max="3333" width="14.5703125" customWidth="1"/>
    <col min="3334" max="3334" width="17.85546875" customWidth="1"/>
    <col min="3335" max="3335" width="12.42578125" customWidth="1"/>
    <col min="3336" max="3336" width="11.42578125" customWidth="1"/>
    <col min="3337" max="3337" width="12.5703125" customWidth="1"/>
    <col min="3338" max="3338" width="10.7109375" customWidth="1"/>
    <col min="3339" max="3348" width="0" hidden="1" customWidth="1"/>
    <col min="3349" max="3349" width="10.7109375" customWidth="1"/>
    <col min="3350" max="3350" width="11.7109375" customWidth="1"/>
    <col min="3351" max="3352" width="11.7109375" bestFit="1" customWidth="1"/>
    <col min="3585" max="3585" width="37.7109375" customWidth="1"/>
    <col min="3586" max="3586" width="17" customWidth="1"/>
    <col min="3587" max="3587" width="15.5703125" customWidth="1"/>
    <col min="3588" max="3588" width="16.85546875" customWidth="1"/>
    <col min="3589" max="3589" width="14.5703125" customWidth="1"/>
    <col min="3590" max="3590" width="17.85546875" customWidth="1"/>
    <col min="3591" max="3591" width="12.42578125" customWidth="1"/>
    <col min="3592" max="3592" width="11.42578125" customWidth="1"/>
    <col min="3593" max="3593" width="12.5703125" customWidth="1"/>
    <col min="3594" max="3594" width="10.7109375" customWidth="1"/>
    <col min="3595" max="3604" width="0" hidden="1" customWidth="1"/>
    <col min="3605" max="3605" width="10.7109375" customWidth="1"/>
    <col min="3606" max="3606" width="11.7109375" customWidth="1"/>
    <col min="3607" max="3608" width="11.7109375" bestFit="1" customWidth="1"/>
    <col min="3841" max="3841" width="37.7109375" customWidth="1"/>
    <col min="3842" max="3842" width="17" customWidth="1"/>
    <col min="3843" max="3843" width="15.5703125" customWidth="1"/>
    <col min="3844" max="3844" width="16.85546875" customWidth="1"/>
    <col min="3845" max="3845" width="14.5703125" customWidth="1"/>
    <col min="3846" max="3846" width="17.85546875" customWidth="1"/>
    <col min="3847" max="3847" width="12.42578125" customWidth="1"/>
    <col min="3848" max="3848" width="11.42578125" customWidth="1"/>
    <col min="3849" max="3849" width="12.5703125" customWidth="1"/>
    <col min="3850" max="3850" width="10.7109375" customWidth="1"/>
    <col min="3851" max="3860" width="0" hidden="1" customWidth="1"/>
    <col min="3861" max="3861" width="10.7109375" customWidth="1"/>
    <col min="3862" max="3862" width="11.7109375" customWidth="1"/>
    <col min="3863" max="3864" width="11.7109375" bestFit="1" customWidth="1"/>
    <col min="4097" max="4097" width="37.7109375" customWidth="1"/>
    <col min="4098" max="4098" width="17" customWidth="1"/>
    <col min="4099" max="4099" width="15.5703125" customWidth="1"/>
    <col min="4100" max="4100" width="16.85546875" customWidth="1"/>
    <col min="4101" max="4101" width="14.5703125" customWidth="1"/>
    <col min="4102" max="4102" width="17.85546875" customWidth="1"/>
    <col min="4103" max="4103" width="12.42578125" customWidth="1"/>
    <col min="4104" max="4104" width="11.42578125" customWidth="1"/>
    <col min="4105" max="4105" width="12.5703125" customWidth="1"/>
    <col min="4106" max="4106" width="10.7109375" customWidth="1"/>
    <col min="4107" max="4116" width="0" hidden="1" customWidth="1"/>
    <col min="4117" max="4117" width="10.7109375" customWidth="1"/>
    <col min="4118" max="4118" width="11.7109375" customWidth="1"/>
    <col min="4119" max="4120" width="11.7109375" bestFit="1" customWidth="1"/>
    <col min="4353" max="4353" width="37.7109375" customWidth="1"/>
    <col min="4354" max="4354" width="17" customWidth="1"/>
    <col min="4355" max="4355" width="15.5703125" customWidth="1"/>
    <col min="4356" max="4356" width="16.85546875" customWidth="1"/>
    <col min="4357" max="4357" width="14.5703125" customWidth="1"/>
    <col min="4358" max="4358" width="17.85546875" customWidth="1"/>
    <col min="4359" max="4359" width="12.42578125" customWidth="1"/>
    <col min="4360" max="4360" width="11.42578125" customWidth="1"/>
    <col min="4361" max="4361" width="12.5703125" customWidth="1"/>
    <col min="4362" max="4362" width="10.7109375" customWidth="1"/>
    <col min="4363" max="4372" width="0" hidden="1" customWidth="1"/>
    <col min="4373" max="4373" width="10.7109375" customWidth="1"/>
    <col min="4374" max="4374" width="11.7109375" customWidth="1"/>
    <col min="4375" max="4376" width="11.7109375" bestFit="1" customWidth="1"/>
    <col min="4609" max="4609" width="37.7109375" customWidth="1"/>
    <col min="4610" max="4610" width="17" customWidth="1"/>
    <col min="4611" max="4611" width="15.5703125" customWidth="1"/>
    <col min="4612" max="4612" width="16.85546875" customWidth="1"/>
    <col min="4613" max="4613" width="14.5703125" customWidth="1"/>
    <col min="4614" max="4614" width="17.85546875" customWidth="1"/>
    <col min="4615" max="4615" width="12.42578125" customWidth="1"/>
    <col min="4616" max="4616" width="11.42578125" customWidth="1"/>
    <col min="4617" max="4617" width="12.5703125" customWidth="1"/>
    <col min="4618" max="4618" width="10.7109375" customWidth="1"/>
    <col min="4619" max="4628" width="0" hidden="1" customWidth="1"/>
    <col min="4629" max="4629" width="10.7109375" customWidth="1"/>
    <col min="4630" max="4630" width="11.7109375" customWidth="1"/>
    <col min="4631" max="4632" width="11.7109375" bestFit="1" customWidth="1"/>
    <col min="4865" max="4865" width="37.7109375" customWidth="1"/>
    <col min="4866" max="4866" width="17" customWidth="1"/>
    <col min="4867" max="4867" width="15.5703125" customWidth="1"/>
    <col min="4868" max="4868" width="16.85546875" customWidth="1"/>
    <col min="4869" max="4869" width="14.5703125" customWidth="1"/>
    <col min="4870" max="4870" width="17.85546875" customWidth="1"/>
    <col min="4871" max="4871" width="12.42578125" customWidth="1"/>
    <col min="4872" max="4872" width="11.42578125" customWidth="1"/>
    <col min="4873" max="4873" width="12.5703125" customWidth="1"/>
    <col min="4874" max="4874" width="10.7109375" customWidth="1"/>
    <col min="4875" max="4884" width="0" hidden="1" customWidth="1"/>
    <col min="4885" max="4885" width="10.7109375" customWidth="1"/>
    <col min="4886" max="4886" width="11.7109375" customWidth="1"/>
    <col min="4887" max="4888" width="11.7109375" bestFit="1" customWidth="1"/>
    <col min="5121" max="5121" width="37.7109375" customWidth="1"/>
    <col min="5122" max="5122" width="17" customWidth="1"/>
    <col min="5123" max="5123" width="15.5703125" customWidth="1"/>
    <col min="5124" max="5124" width="16.85546875" customWidth="1"/>
    <col min="5125" max="5125" width="14.5703125" customWidth="1"/>
    <col min="5126" max="5126" width="17.85546875" customWidth="1"/>
    <col min="5127" max="5127" width="12.42578125" customWidth="1"/>
    <col min="5128" max="5128" width="11.42578125" customWidth="1"/>
    <col min="5129" max="5129" width="12.5703125" customWidth="1"/>
    <col min="5130" max="5130" width="10.7109375" customWidth="1"/>
    <col min="5131" max="5140" width="0" hidden="1" customWidth="1"/>
    <col min="5141" max="5141" width="10.7109375" customWidth="1"/>
    <col min="5142" max="5142" width="11.7109375" customWidth="1"/>
    <col min="5143" max="5144" width="11.7109375" bestFit="1" customWidth="1"/>
    <col min="5377" max="5377" width="37.7109375" customWidth="1"/>
    <col min="5378" max="5378" width="17" customWidth="1"/>
    <col min="5379" max="5379" width="15.5703125" customWidth="1"/>
    <col min="5380" max="5380" width="16.85546875" customWidth="1"/>
    <col min="5381" max="5381" width="14.5703125" customWidth="1"/>
    <col min="5382" max="5382" width="17.85546875" customWidth="1"/>
    <col min="5383" max="5383" width="12.42578125" customWidth="1"/>
    <col min="5384" max="5384" width="11.42578125" customWidth="1"/>
    <col min="5385" max="5385" width="12.5703125" customWidth="1"/>
    <col min="5386" max="5386" width="10.7109375" customWidth="1"/>
    <col min="5387" max="5396" width="0" hidden="1" customWidth="1"/>
    <col min="5397" max="5397" width="10.7109375" customWidth="1"/>
    <col min="5398" max="5398" width="11.7109375" customWidth="1"/>
    <col min="5399" max="5400" width="11.7109375" bestFit="1" customWidth="1"/>
    <col min="5633" max="5633" width="37.7109375" customWidth="1"/>
    <col min="5634" max="5634" width="17" customWidth="1"/>
    <col min="5635" max="5635" width="15.5703125" customWidth="1"/>
    <col min="5636" max="5636" width="16.85546875" customWidth="1"/>
    <col min="5637" max="5637" width="14.5703125" customWidth="1"/>
    <col min="5638" max="5638" width="17.85546875" customWidth="1"/>
    <col min="5639" max="5639" width="12.42578125" customWidth="1"/>
    <col min="5640" max="5640" width="11.42578125" customWidth="1"/>
    <col min="5641" max="5641" width="12.5703125" customWidth="1"/>
    <col min="5642" max="5642" width="10.7109375" customWidth="1"/>
    <col min="5643" max="5652" width="0" hidden="1" customWidth="1"/>
    <col min="5653" max="5653" width="10.7109375" customWidth="1"/>
    <col min="5654" max="5654" width="11.7109375" customWidth="1"/>
    <col min="5655" max="5656" width="11.7109375" bestFit="1" customWidth="1"/>
    <col min="5889" max="5889" width="37.7109375" customWidth="1"/>
    <col min="5890" max="5890" width="17" customWidth="1"/>
    <col min="5891" max="5891" width="15.5703125" customWidth="1"/>
    <col min="5892" max="5892" width="16.85546875" customWidth="1"/>
    <col min="5893" max="5893" width="14.5703125" customWidth="1"/>
    <col min="5894" max="5894" width="17.85546875" customWidth="1"/>
    <col min="5895" max="5895" width="12.42578125" customWidth="1"/>
    <col min="5896" max="5896" width="11.42578125" customWidth="1"/>
    <col min="5897" max="5897" width="12.5703125" customWidth="1"/>
    <col min="5898" max="5898" width="10.7109375" customWidth="1"/>
    <col min="5899" max="5908" width="0" hidden="1" customWidth="1"/>
    <col min="5909" max="5909" width="10.7109375" customWidth="1"/>
    <col min="5910" max="5910" width="11.7109375" customWidth="1"/>
    <col min="5911" max="5912" width="11.7109375" bestFit="1" customWidth="1"/>
    <col min="6145" max="6145" width="37.7109375" customWidth="1"/>
    <col min="6146" max="6146" width="17" customWidth="1"/>
    <col min="6147" max="6147" width="15.5703125" customWidth="1"/>
    <col min="6148" max="6148" width="16.85546875" customWidth="1"/>
    <col min="6149" max="6149" width="14.5703125" customWidth="1"/>
    <col min="6150" max="6150" width="17.85546875" customWidth="1"/>
    <col min="6151" max="6151" width="12.42578125" customWidth="1"/>
    <col min="6152" max="6152" width="11.42578125" customWidth="1"/>
    <col min="6153" max="6153" width="12.5703125" customWidth="1"/>
    <col min="6154" max="6154" width="10.7109375" customWidth="1"/>
    <col min="6155" max="6164" width="0" hidden="1" customWidth="1"/>
    <col min="6165" max="6165" width="10.7109375" customWidth="1"/>
    <col min="6166" max="6166" width="11.7109375" customWidth="1"/>
    <col min="6167" max="6168" width="11.7109375" bestFit="1" customWidth="1"/>
    <col min="6401" max="6401" width="37.7109375" customWidth="1"/>
    <col min="6402" max="6402" width="17" customWidth="1"/>
    <col min="6403" max="6403" width="15.5703125" customWidth="1"/>
    <col min="6404" max="6404" width="16.85546875" customWidth="1"/>
    <col min="6405" max="6405" width="14.5703125" customWidth="1"/>
    <col min="6406" max="6406" width="17.85546875" customWidth="1"/>
    <col min="6407" max="6407" width="12.42578125" customWidth="1"/>
    <col min="6408" max="6408" width="11.42578125" customWidth="1"/>
    <col min="6409" max="6409" width="12.5703125" customWidth="1"/>
    <col min="6410" max="6410" width="10.7109375" customWidth="1"/>
    <col min="6411" max="6420" width="0" hidden="1" customWidth="1"/>
    <col min="6421" max="6421" width="10.7109375" customWidth="1"/>
    <col min="6422" max="6422" width="11.7109375" customWidth="1"/>
    <col min="6423" max="6424" width="11.7109375" bestFit="1" customWidth="1"/>
    <col min="6657" max="6657" width="37.7109375" customWidth="1"/>
    <col min="6658" max="6658" width="17" customWidth="1"/>
    <col min="6659" max="6659" width="15.5703125" customWidth="1"/>
    <col min="6660" max="6660" width="16.85546875" customWidth="1"/>
    <col min="6661" max="6661" width="14.5703125" customWidth="1"/>
    <col min="6662" max="6662" width="17.85546875" customWidth="1"/>
    <col min="6663" max="6663" width="12.42578125" customWidth="1"/>
    <col min="6664" max="6664" width="11.42578125" customWidth="1"/>
    <col min="6665" max="6665" width="12.5703125" customWidth="1"/>
    <col min="6666" max="6666" width="10.7109375" customWidth="1"/>
    <col min="6667" max="6676" width="0" hidden="1" customWidth="1"/>
    <col min="6677" max="6677" width="10.7109375" customWidth="1"/>
    <col min="6678" max="6678" width="11.7109375" customWidth="1"/>
    <col min="6679" max="6680" width="11.7109375" bestFit="1" customWidth="1"/>
    <col min="6913" max="6913" width="37.7109375" customWidth="1"/>
    <col min="6914" max="6914" width="17" customWidth="1"/>
    <col min="6915" max="6915" width="15.5703125" customWidth="1"/>
    <col min="6916" max="6916" width="16.85546875" customWidth="1"/>
    <col min="6917" max="6917" width="14.5703125" customWidth="1"/>
    <col min="6918" max="6918" width="17.85546875" customWidth="1"/>
    <col min="6919" max="6919" width="12.42578125" customWidth="1"/>
    <col min="6920" max="6920" width="11.42578125" customWidth="1"/>
    <col min="6921" max="6921" width="12.5703125" customWidth="1"/>
    <col min="6922" max="6922" width="10.7109375" customWidth="1"/>
    <col min="6923" max="6932" width="0" hidden="1" customWidth="1"/>
    <col min="6933" max="6933" width="10.7109375" customWidth="1"/>
    <col min="6934" max="6934" width="11.7109375" customWidth="1"/>
    <col min="6935" max="6936" width="11.7109375" bestFit="1" customWidth="1"/>
    <col min="7169" max="7169" width="37.7109375" customWidth="1"/>
    <col min="7170" max="7170" width="17" customWidth="1"/>
    <col min="7171" max="7171" width="15.5703125" customWidth="1"/>
    <col min="7172" max="7172" width="16.85546875" customWidth="1"/>
    <col min="7173" max="7173" width="14.5703125" customWidth="1"/>
    <col min="7174" max="7174" width="17.85546875" customWidth="1"/>
    <col min="7175" max="7175" width="12.42578125" customWidth="1"/>
    <col min="7176" max="7176" width="11.42578125" customWidth="1"/>
    <col min="7177" max="7177" width="12.5703125" customWidth="1"/>
    <col min="7178" max="7178" width="10.7109375" customWidth="1"/>
    <col min="7179" max="7188" width="0" hidden="1" customWidth="1"/>
    <col min="7189" max="7189" width="10.7109375" customWidth="1"/>
    <col min="7190" max="7190" width="11.7109375" customWidth="1"/>
    <col min="7191" max="7192" width="11.7109375" bestFit="1" customWidth="1"/>
    <col min="7425" max="7425" width="37.7109375" customWidth="1"/>
    <col min="7426" max="7426" width="17" customWidth="1"/>
    <col min="7427" max="7427" width="15.5703125" customWidth="1"/>
    <col min="7428" max="7428" width="16.85546875" customWidth="1"/>
    <col min="7429" max="7429" width="14.5703125" customWidth="1"/>
    <col min="7430" max="7430" width="17.85546875" customWidth="1"/>
    <col min="7431" max="7431" width="12.42578125" customWidth="1"/>
    <col min="7432" max="7432" width="11.42578125" customWidth="1"/>
    <col min="7433" max="7433" width="12.5703125" customWidth="1"/>
    <col min="7434" max="7434" width="10.7109375" customWidth="1"/>
    <col min="7435" max="7444" width="0" hidden="1" customWidth="1"/>
    <col min="7445" max="7445" width="10.7109375" customWidth="1"/>
    <col min="7446" max="7446" width="11.7109375" customWidth="1"/>
    <col min="7447" max="7448" width="11.7109375" bestFit="1" customWidth="1"/>
    <col min="7681" max="7681" width="37.7109375" customWidth="1"/>
    <col min="7682" max="7682" width="17" customWidth="1"/>
    <col min="7683" max="7683" width="15.5703125" customWidth="1"/>
    <col min="7684" max="7684" width="16.85546875" customWidth="1"/>
    <col min="7685" max="7685" width="14.5703125" customWidth="1"/>
    <col min="7686" max="7686" width="17.85546875" customWidth="1"/>
    <col min="7687" max="7687" width="12.42578125" customWidth="1"/>
    <col min="7688" max="7688" width="11.42578125" customWidth="1"/>
    <col min="7689" max="7689" width="12.5703125" customWidth="1"/>
    <col min="7690" max="7690" width="10.7109375" customWidth="1"/>
    <col min="7691" max="7700" width="0" hidden="1" customWidth="1"/>
    <col min="7701" max="7701" width="10.7109375" customWidth="1"/>
    <col min="7702" max="7702" width="11.7109375" customWidth="1"/>
    <col min="7703" max="7704" width="11.7109375" bestFit="1" customWidth="1"/>
    <col min="7937" max="7937" width="37.7109375" customWidth="1"/>
    <col min="7938" max="7938" width="17" customWidth="1"/>
    <col min="7939" max="7939" width="15.5703125" customWidth="1"/>
    <col min="7940" max="7940" width="16.85546875" customWidth="1"/>
    <col min="7941" max="7941" width="14.5703125" customWidth="1"/>
    <col min="7942" max="7942" width="17.85546875" customWidth="1"/>
    <col min="7943" max="7943" width="12.42578125" customWidth="1"/>
    <col min="7944" max="7944" width="11.42578125" customWidth="1"/>
    <col min="7945" max="7945" width="12.5703125" customWidth="1"/>
    <col min="7946" max="7946" width="10.7109375" customWidth="1"/>
    <col min="7947" max="7956" width="0" hidden="1" customWidth="1"/>
    <col min="7957" max="7957" width="10.7109375" customWidth="1"/>
    <col min="7958" max="7958" width="11.7109375" customWidth="1"/>
    <col min="7959" max="7960" width="11.7109375" bestFit="1" customWidth="1"/>
    <col min="8193" max="8193" width="37.7109375" customWidth="1"/>
    <col min="8194" max="8194" width="17" customWidth="1"/>
    <col min="8195" max="8195" width="15.5703125" customWidth="1"/>
    <col min="8196" max="8196" width="16.85546875" customWidth="1"/>
    <col min="8197" max="8197" width="14.5703125" customWidth="1"/>
    <col min="8198" max="8198" width="17.85546875" customWidth="1"/>
    <col min="8199" max="8199" width="12.42578125" customWidth="1"/>
    <col min="8200" max="8200" width="11.42578125" customWidth="1"/>
    <col min="8201" max="8201" width="12.5703125" customWidth="1"/>
    <col min="8202" max="8202" width="10.7109375" customWidth="1"/>
    <col min="8203" max="8212" width="0" hidden="1" customWidth="1"/>
    <col min="8213" max="8213" width="10.7109375" customWidth="1"/>
    <col min="8214" max="8214" width="11.7109375" customWidth="1"/>
    <col min="8215" max="8216" width="11.7109375" bestFit="1" customWidth="1"/>
    <col min="8449" max="8449" width="37.7109375" customWidth="1"/>
    <col min="8450" max="8450" width="17" customWidth="1"/>
    <col min="8451" max="8451" width="15.5703125" customWidth="1"/>
    <col min="8452" max="8452" width="16.85546875" customWidth="1"/>
    <col min="8453" max="8453" width="14.5703125" customWidth="1"/>
    <col min="8454" max="8454" width="17.85546875" customWidth="1"/>
    <col min="8455" max="8455" width="12.42578125" customWidth="1"/>
    <col min="8456" max="8456" width="11.42578125" customWidth="1"/>
    <col min="8457" max="8457" width="12.5703125" customWidth="1"/>
    <col min="8458" max="8458" width="10.7109375" customWidth="1"/>
    <col min="8459" max="8468" width="0" hidden="1" customWidth="1"/>
    <col min="8469" max="8469" width="10.7109375" customWidth="1"/>
    <col min="8470" max="8470" width="11.7109375" customWidth="1"/>
    <col min="8471" max="8472" width="11.7109375" bestFit="1" customWidth="1"/>
    <col min="8705" max="8705" width="37.7109375" customWidth="1"/>
    <col min="8706" max="8706" width="17" customWidth="1"/>
    <col min="8707" max="8707" width="15.5703125" customWidth="1"/>
    <col min="8708" max="8708" width="16.85546875" customWidth="1"/>
    <col min="8709" max="8709" width="14.5703125" customWidth="1"/>
    <col min="8710" max="8710" width="17.85546875" customWidth="1"/>
    <col min="8711" max="8711" width="12.42578125" customWidth="1"/>
    <col min="8712" max="8712" width="11.42578125" customWidth="1"/>
    <col min="8713" max="8713" width="12.5703125" customWidth="1"/>
    <col min="8714" max="8714" width="10.7109375" customWidth="1"/>
    <col min="8715" max="8724" width="0" hidden="1" customWidth="1"/>
    <col min="8725" max="8725" width="10.7109375" customWidth="1"/>
    <col min="8726" max="8726" width="11.7109375" customWidth="1"/>
    <col min="8727" max="8728" width="11.7109375" bestFit="1" customWidth="1"/>
    <col min="8961" max="8961" width="37.7109375" customWidth="1"/>
    <col min="8962" max="8962" width="17" customWidth="1"/>
    <col min="8963" max="8963" width="15.5703125" customWidth="1"/>
    <col min="8964" max="8964" width="16.85546875" customWidth="1"/>
    <col min="8965" max="8965" width="14.5703125" customWidth="1"/>
    <col min="8966" max="8966" width="17.85546875" customWidth="1"/>
    <col min="8967" max="8967" width="12.42578125" customWidth="1"/>
    <col min="8968" max="8968" width="11.42578125" customWidth="1"/>
    <col min="8969" max="8969" width="12.5703125" customWidth="1"/>
    <col min="8970" max="8970" width="10.7109375" customWidth="1"/>
    <col min="8971" max="8980" width="0" hidden="1" customWidth="1"/>
    <col min="8981" max="8981" width="10.7109375" customWidth="1"/>
    <col min="8982" max="8982" width="11.7109375" customWidth="1"/>
    <col min="8983" max="8984" width="11.7109375" bestFit="1" customWidth="1"/>
    <col min="9217" max="9217" width="37.7109375" customWidth="1"/>
    <col min="9218" max="9218" width="17" customWidth="1"/>
    <col min="9219" max="9219" width="15.5703125" customWidth="1"/>
    <col min="9220" max="9220" width="16.85546875" customWidth="1"/>
    <col min="9221" max="9221" width="14.5703125" customWidth="1"/>
    <col min="9222" max="9222" width="17.85546875" customWidth="1"/>
    <col min="9223" max="9223" width="12.42578125" customWidth="1"/>
    <col min="9224" max="9224" width="11.42578125" customWidth="1"/>
    <col min="9225" max="9225" width="12.5703125" customWidth="1"/>
    <col min="9226" max="9226" width="10.7109375" customWidth="1"/>
    <col min="9227" max="9236" width="0" hidden="1" customWidth="1"/>
    <col min="9237" max="9237" width="10.7109375" customWidth="1"/>
    <col min="9238" max="9238" width="11.7109375" customWidth="1"/>
    <col min="9239" max="9240" width="11.7109375" bestFit="1" customWidth="1"/>
    <col min="9473" max="9473" width="37.7109375" customWidth="1"/>
    <col min="9474" max="9474" width="17" customWidth="1"/>
    <col min="9475" max="9475" width="15.5703125" customWidth="1"/>
    <col min="9476" max="9476" width="16.85546875" customWidth="1"/>
    <col min="9477" max="9477" width="14.5703125" customWidth="1"/>
    <col min="9478" max="9478" width="17.85546875" customWidth="1"/>
    <col min="9479" max="9479" width="12.42578125" customWidth="1"/>
    <col min="9480" max="9480" width="11.42578125" customWidth="1"/>
    <col min="9481" max="9481" width="12.5703125" customWidth="1"/>
    <col min="9482" max="9482" width="10.7109375" customWidth="1"/>
    <col min="9483" max="9492" width="0" hidden="1" customWidth="1"/>
    <col min="9493" max="9493" width="10.7109375" customWidth="1"/>
    <col min="9494" max="9494" width="11.7109375" customWidth="1"/>
    <col min="9495" max="9496" width="11.7109375" bestFit="1" customWidth="1"/>
    <col min="9729" max="9729" width="37.7109375" customWidth="1"/>
    <col min="9730" max="9730" width="17" customWidth="1"/>
    <col min="9731" max="9731" width="15.5703125" customWidth="1"/>
    <col min="9732" max="9732" width="16.85546875" customWidth="1"/>
    <col min="9733" max="9733" width="14.5703125" customWidth="1"/>
    <col min="9734" max="9734" width="17.85546875" customWidth="1"/>
    <col min="9735" max="9735" width="12.42578125" customWidth="1"/>
    <col min="9736" max="9736" width="11.42578125" customWidth="1"/>
    <col min="9737" max="9737" width="12.5703125" customWidth="1"/>
    <col min="9738" max="9738" width="10.7109375" customWidth="1"/>
    <col min="9739" max="9748" width="0" hidden="1" customWidth="1"/>
    <col min="9749" max="9749" width="10.7109375" customWidth="1"/>
    <col min="9750" max="9750" width="11.7109375" customWidth="1"/>
    <col min="9751" max="9752" width="11.7109375" bestFit="1" customWidth="1"/>
    <col min="9985" max="9985" width="37.7109375" customWidth="1"/>
    <col min="9986" max="9986" width="17" customWidth="1"/>
    <col min="9987" max="9987" width="15.5703125" customWidth="1"/>
    <col min="9988" max="9988" width="16.85546875" customWidth="1"/>
    <col min="9989" max="9989" width="14.5703125" customWidth="1"/>
    <col min="9990" max="9990" width="17.85546875" customWidth="1"/>
    <col min="9991" max="9991" width="12.42578125" customWidth="1"/>
    <col min="9992" max="9992" width="11.42578125" customWidth="1"/>
    <col min="9993" max="9993" width="12.5703125" customWidth="1"/>
    <col min="9994" max="9994" width="10.7109375" customWidth="1"/>
    <col min="9995" max="10004" width="0" hidden="1" customWidth="1"/>
    <col min="10005" max="10005" width="10.7109375" customWidth="1"/>
    <col min="10006" max="10006" width="11.7109375" customWidth="1"/>
    <col min="10007" max="10008" width="11.7109375" bestFit="1" customWidth="1"/>
    <col min="10241" max="10241" width="37.7109375" customWidth="1"/>
    <col min="10242" max="10242" width="17" customWidth="1"/>
    <col min="10243" max="10243" width="15.5703125" customWidth="1"/>
    <col min="10244" max="10244" width="16.85546875" customWidth="1"/>
    <col min="10245" max="10245" width="14.5703125" customWidth="1"/>
    <col min="10246" max="10246" width="17.85546875" customWidth="1"/>
    <col min="10247" max="10247" width="12.42578125" customWidth="1"/>
    <col min="10248" max="10248" width="11.42578125" customWidth="1"/>
    <col min="10249" max="10249" width="12.5703125" customWidth="1"/>
    <col min="10250" max="10250" width="10.7109375" customWidth="1"/>
    <col min="10251" max="10260" width="0" hidden="1" customWidth="1"/>
    <col min="10261" max="10261" width="10.7109375" customWidth="1"/>
    <col min="10262" max="10262" width="11.7109375" customWidth="1"/>
    <col min="10263" max="10264" width="11.7109375" bestFit="1" customWidth="1"/>
    <col min="10497" max="10497" width="37.7109375" customWidth="1"/>
    <col min="10498" max="10498" width="17" customWidth="1"/>
    <col min="10499" max="10499" width="15.5703125" customWidth="1"/>
    <col min="10500" max="10500" width="16.85546875" customWidth="1"/>
    <col min="10501" max="10501" width="14.5703125" customWidth="1"/>
    <col min="10502" max="10502" width="17.85546875" customWidth="1"/>
    <col min="10503" max="10503" width="12.42578125" customWidth="1"/>
    <col min="10504" max="10504" width="11.42578125" customWidth="1"/>
    <col min="10505" max="10505" width="12.5703125" customWidth="1"/>
    <col min="10506" max="10506" width="10.7109375" customWidth="1"/>
    <col min="10507" max="10516" width="0" hidden="1" customWidth="1"/>
    <col min="10517" max="10517" width="10.7109375" customWidth="1"/>
    <col min="10518" max="10518" width="11.7109375" customWidth="1"/>
    <col min="10519" max="10520" width="11.7109375" bestFit="1" customWidth="1"/>
    <col min="10753" max="10753" width="37.7109375" customWidth="1"/>
    <col min="10754" max="10754" width="17" customWidth="1"/>
    <col min="10755" max="10755" width="15.5703125" customWidth="1"/>
    <col min="10756" max="10756" width="16.85546875" customWidth="1"/>
    <col min="10757" max="10757" width="14.5703125" customWidth="1"/>
    <col min="10758" max="10758" width="17.85546875" customWidth="1"/>
    <col min="10759" max="10759" width="12.42578125" customWidth="1"/>
    <col min="10760" max="10760" width="11.42578125" customWidth="1"/>
    <col min="10761" max="10761" width="12.5703125" customWidth="1"/>
    <col min="10762" max="10762" width="10.7109375" customWidth="1"/>
    <col min="10763" max="10772" width="0" hidden="1" customWidth="1"/>
    <col min="10773" max="10773" width="10.7109375" customWidth="1"/>
    <col min="10774" max="10774" width="11.7109375" customWidth="1"/>
    <col min="10775" max="10776" width="11.7109375" bestFit="1" customWidth="1"/>
    <col min="11009" max="11009" width="37.7109375" customWidth="1"/>
    <col min="11010" max="11010" width="17" customWidth="1"/>
    <col min="11011" max="11011" width="15.5703125" customWidth="1"/>
    <col min="11012" max="11012" width="16.85546875" customWidth="1"/>
    <col min="11013" max="11013" width="14.5703125" customWidth="1"/>
    <col min="11014" max="11014" width="17.85546875" customWidth="1"/>
    <col min="11015" max="11015" width="12.42578125" customWidth="1"/>
    <col min="11016" max="11016" width="11.42578125" customWidth="1"/>
    <col min="11017" max="11017" width="12.5703125" customWidth="1"/>
    <col min="11018" max="11018" width="10.7109375" customWidth="1"/>
    <col min="11019" max="11028" width="0" hidden="1" customWidth="1"/>
    <col min="11029" max="11029" width="10.7109375" customWidth="1"/>
    <col min="11030" max="11030" width="11.7109375" customWidth="1"/>
    <col min="11031" max="11032" width="11.7109375" bestFit="1" customWidth="1"/>
    <col min="11265" max="11265" width="37.7109375" customWidth="1"/>
    <col min="11266" max="11266" width="17" customWidth="1"/>
    <col min="11267" max="11267" width="15.5703125" customWidth="1"/>
    <col min="11268" max="11268" width="16.85546875" customWidth="1"/>
    <col min="11269" max="11269" width="14.5703125" customWidth="1"/>
    <col min="11270" max="11270" width="17.85546875" customWidth="1"/>
    <col min="11271" max="11271" width="12.42578125" customWidth="1"/>
    <col min="11272" max="11272" width="11.42578125" customWidth="1"/>
    <col min="11273" max="11273" width="12.5703125" customWidth="1"/>
    <col min="11274" max="11274" width="10.7109375" customWidth="1"/>
    <col min="11275" max="11284" width="0" hidden="1" customWidth="1"/>
    <col min="11285" max="11285" width="10.7109375" customWidth="1"/>
    <col min="11286" max="11286" width="11.7109375" customWidth="1"/>
    <col min="11287" max="11288" width="11.7109375" bestFit="1" customWidth="1"/>
    <col min="11521" max="11521" width="37.7109375" customWidth="1"/>
    <col min="11522" max="11522" width="17" customWidth="1"/>
    <col min="11523" max="11523" width="15.5703125" customWidth="1"/>
    <col min="11524" max="11524" width="16.85546875" customWidth="1"/>
    <col min="11525" max="11525" width="14.5703125" customWidth="1"/>
    <col min="11526" max="11526" width="17.85546875" customWidth="1"/>
    <col min="11527" max="11527" width="12.42578125" customWidth="1"/>
    <col min="11528" max="11528" width="11.42578125" customWidth="1"/>
    <col min="11529" max="11529" width="12.5703125" customWidth="1"/>
    <col min="11530" max="11530" width="10.7109375" customWidth="1"/>
    <col min="11531" max="11540" width="0" hidden="1" customWidth="1"/>
    <col min="11541" max="11541" width="10.7109375" customWidth="1"/>
    <col min="11542" max="11542" width="11.7109375" customWidth="1"/>
    <col min="11543" max="11544" width="11.7109375" bestFit="1" customWidth="1"/>
    <col min="11777" max="11777" width="37.7109375" customWidth="1"/>
    <col min="11778" max="11778" width="17" customWidth="1"/>
    <col min="11779" max="11779" width="15.5703125" customWidth="1"/>
    <col min="11780" max="11780" width="16.85546875" customWidth="1"/>
    <col min="11781" max="11781" width="14.5703125" customWidth="1"/>
    <col min="11782" max="11782" width="17.85546875" customWidth="1"/>
    <col min="11783" max="11783" width="12.42578125" customWidth="1"/>
    <col min="11784" max="11784" width="11.42578125" customWidth="1"/>
    <col min="11785" max="11785" width="12.5703125" customWidth="1"/>
    <col min="11786" max="11786" width="10.7109375" customWidth="1"/>
    <col min="11787" max="11796" width="0" hidden="1" customWidth="1"/>
    <col min="11797" max="11797" width="10.7109375" customWidth="1"/>
    <col min="11798" max="11798" width="11.7109375" customWidth="1"/>
    <col min="11799" max="11800" width="11.7109375" bestFit="1" customWidth="1"/>
    <col min="12033" max="12033" width="37.7109375" customWidth="1"/>
    <col min="12034" max="12034" width="17" customWidth="1"/>
    <col min="12035" max="12035" width="15.5703125" customWidth="1"/>
    <col min="12036" max="12036" width="16.85546875" customWidth="1"/>
    <col min="12037" max="12037" width="14.5703125" customWidth="1"/>
    <col min="12038" max="12038" width="17.85546875" customWidth="1"/>
    <col min="12039" max="12039" width="12.42578125" customWidth="1"/>
    <col min="12040" max="12040" width="11.42578125" customWidth="1"/>
    <col min="12041" max="12041" width="12.5703125" customWidth="1"/>
    <col min="12042" max="12042" width="10.7109375" customWidth="1"/>
    <col min="12043" max="12052" width="0" hidden="1" customWidth="1"/>
    <col min="12053" max="12053" width="10.7109375" customWidth="1"/>
    <col min="12054" max="12054" width="11.7109375" customWidth="1"/>
    <col min="12055" max="12056" width="11.7109375" bestFit="1" customWidth="1"/>
    <col min="12289" max="12289" width="37.7109375" customWidth="1"/>
    <col min="12290" max="12290" width="17" customWidth="1"/>
    <col min="12291" max="12291" width="15.5703125" customWidth="1"/>
    <col min="12292" max="12292" width="16.85546875" customWidth="1"/>
    <col min="12293" max="12293" width="14.5703125" customWidth="1"/>
    <col min="12294" max="12294" width="17.85546875" customWidth="1"/>
    <col min="12295" max="12295" width="12.42578125" customWidth="1"/>
    <col min="12296" max="12296" width="11.42578125" customWidth="1"/>
    <col min="12297" max="12297" width="12.5703125" customWidth="1"/>
    <col min="12298" max="12298" width="10.7109375" customWidth="1"/>
    <col min="12299" max="12308" width="0" hidden="1" customWidth="1"/>
    <col min="12309" max="12309" width="10.7109375" customWidth="1"/>
    <col min="12310" max="12310" width="11.7109375" customWidth="1"/>
    <col min="12311" max="12312" width="11.7109375" bestFit="1" customWidth="1"/>
    <col min="12545" max="12545" width="37.7109375" customWidth="1"/>
    <col min="12546" max="12546" width="17" customWidth="1"/>
    <col min="12547" max="12547" width="15.5703125" customWidth="1"/>
    <col min="12548" max="12548" width="16.85546875" customWidth="1"/>
    <col min="12549" max="12549" width="14.5703125" customWidth="1"/>
    <col min="12550" max="12550" width="17.85546875" customWidth="1"/>
    <col min="12551" max="12551" width="12.42578125" customWidth="1"/>
    <col min="12552" max="12552" width="11.42578125" customWidth="1"/>
    <col min="12553" max="12553" width="12.5703125" customWidth="1"/>
    <col min="12554" max="12554" width="10.7109375" customWidth="1"/>
    <col min="12555" max="12564" width="0" hidden="1" customWidth="1"/>
    <col min="12565" max="12565" width="10.7109375" customWidth="1"/>
    <col min="12566" max="12566" width="11.7109375" customWidth="1"/>
    <col min="12567" max="12568" width="11.7109375" bestFit="1" customWidth="1"/>
    <col min="12801" max="12801" width="37.7109375" customWidth="1"/>
    <col min="12802" max="12802" width="17" customWidth="1"/>
    <col min="12803" max="12803" width="15.5703125" customWidth="1"/>
    <col min="12804" max="12804" width="16.85546875" customWidth="1"/>
    <col min="12805" max="12805" width="14.5703125" customWidth="1"/>
    <col min="12806" max="12806" width="17.85546875" customWidth="1"/>
    <col min="12807" max="12807" width="12.42578125" customWidth="1"/>
    <col min="12808" max="12808" width="11.42578125" customWidth="1"/>
    <col min="12809" max="12809" width="12.5703125" customWidth="1"/>
    <col min="12810" max="12810" width="10.7109375" customWidth="1"/>
    <col min="12811" max="12820" width="0" hidden="1" customWidth="1"/>
    <col min="12821" max="12821" width="10.7109375" customWidth="1"/>
    <col min="12822" max="12822" width="11.7109375" customWidth="1"/>
    <col min="12823" max="12824" width="11.7109375" bestFit="1" customWidth="1"/>
    <col min="13057" max="13057" width="37.7109375" customWidth="1"/>
    <col min="13058" max="13058" width="17" customWidth="1"/>
    <col min="13059" max="13059" width="15.5703125" customWidth="1"/>
    <col min="13060" max="13060" width="16.85546875" customWidth="1"/>
    <col min="13061" max="13061" width="14.5703125" customWidth="1"/>
    <col min="13062" max="13062" width="17.85546875" customWidth="1"/>
    <col min="13063" max="13063" width="12.42578125" customWidth="1"/>
    <col min="13064" max="13064" width="11.42578125" customWidth="1"/>
    <col min="13065" max="13065" width="12.5703125" customWidth="1"/>
    <col min="13066" max="13066" width="10.7109375" customWidth="1"/>
    <col min="13067" max="13076" width="0" hidden="1" customWidth="1"/>
    <col min="13077" max="13077" width="10.7109375" customWidth="1"/>
    <col min="13078" max="13078" width="11.7109375" customWidth="1"/>
    <col min="13079" max="13080" width="11.7109375" bestFit="1" customWidth="1"/>
    <col min="13313" max="13313" width="37.7109375" customWidth="1"/>
    <col min="13314" max="13314" width="17" customWidth="1"/>
    <col min="13315" max="13315" width="15.5703125" customWidth="1"/>
    <col min="13316" max="13316" width="16.85546875" customWidth="1"/>
    <col min="13317" max="13317" width="14.5703125" customWidth="1"/>
    <col min="13318" max="13318" width="17.85546875" customWidth="1"/>
    <col min="13319" max="13319" width="12.42578125" customWidth="1"/>
    <col min="13320" max="13320" width="11.42578125" customWidth="1"/>
    <col min="13321" max="13321" width="12.5703125" customWidth="1"/>
    <col min="13322" max="13322" width="10.7109375" customWidth="1"/>
    <col min="13323" max="13332" width="0" hidden="1" customWidth="1"/>
    <col min="13333" max="13333" width="10.7109375" customWidth="1"/>
    <col min="13334" max="13334" width="11.7109375" customWidth="1"/>
    <col min="13335" max="13336" width="11.7109375" bestFit="1" customWidth="1"/>
    <col min="13569" max="13569" width="37.7109375" customWidth="1"/>
    <col min="13570" max="13570" width="17" customWidth="1"/>
    <col min="13571" max="13571" width="15.5703125" customWidth="1"/>
    <col min="13572" max="13572" width="16.85546875" customWidth="1"/>
    <col min="13573" max="13573" width="14.5703125" customWidth="1"/>
    <col min="13574" max="13574" width="17.85546875" customWidth="1"/>
    <col min="13575" max="13575" width="12.42578125" customWidth="1"/>
    <col min="13576" max="13576" width="11.42578125" customWidth="1"/>
    <col min="13577" max="13577" width="12.5703125" customWidth="1"/>
    <col min="13578" max="13578" width="10.7109375" customWidth="1"/>
    <col min="13579" max="13588" width="0" hidden="1" customWidth="1"/>
    <col min="13589" max="13589" width="10.7109375" customWidth="1"/>
    <col min="13590" max="13590" width="11.7109375" customWidth="1"/>
    <col min="13591" max="13592" width="11.7109375" bestFit="1" customWidth="1"/>
    <col min="13825" max="13825" width="37.7109375" customWidth="1"/>
    <col min="13826" max="13826" width="17" customWidth="1"/>
    <col min="13827" max="13827" width="15.5703125" customWidth="1"/>
    <col min="13828" max="13828" width="16.85546875" customWidth="1"/>
    <col min="13829" max="13829" width="14.5703125" customWidth="1"/>
    <col min="13830" max="13830" width="17.85546875" customWidth="1"/>
    <col min="13831" max="13831" width="12.42578125" customWidth="1"/>
    <col min="13832" max="13832" width="11.42578125" customWidth="1"/>
    <col min="13833" max="13833" width="12.5703125" customWidth="1"/>
    <col min="13834" max="13834" width="10.7109375" customWidth="1"/>
    <col min="13835" max="13844" width="0" hidden="1" customWidth="1"/>
    <col min="13845" max="13845" width="10.7109375" customWidth="1"/>
    <col min="13846" max="13846" width="11.7109375" customWidth="1"/>
    <col min="13847" max="13848" width="11.7109375" bestFit="1" customWidth="1"/>
    <col min="14081" max="14081" width="37.7109375" customWidth="1"/>
    <col min="14082" max="14082" width="17" customWidth="1"/>
    <col min="14083" max="14083" width="15.5703125" customWidth="1"/>
    <col min="14084" max="14084" width="16.85546875" customWidth="1"/>
    <col min="14085" max="14085" width="14.5703125" customWidth="1"/>
    <col min="14086" max="14086" width="17.85546875" customWidth="1"/>
    <col min="14087" max="14087" width="12.42578125" customWidth="1"/>
    <col min="14088" max="14088" width="11.42578125" customWidth="1"/>
    <col min="14089" max="14089" width="12.5703125" customWidth="1"/>
    <col min="14090" max="14090" width="10.7109375" customWidth="1"/>
    <col min="14091" max="14100" width="0" hidden="1" customWidth="1"/>
    <col min="14101" max="14101" width="10.7109375" customWidth="1"/>
    <col min="14102" max="14102" width="11.7109375" customWidth="1"/>
    <col min="14103" max="14104" width="11.7109375" bestFit="1" customWidth="1"/>
    <col min="14337" max="14337" width="37.7109375" customWidth="1"/>
    <col min="14338" max="14338" width="17" customWidth="1"/>
    <col min="14339" max="14339" width="15.5703125" customWidth="1"/>
    <col min="14340" max="14340" width="16.85546875" customWidth="1"/>
    <col min="14341" max="14341" width="14.5703125" customWidth="1"/>
    <col min="14342" max="14342" width="17.85546875" customWidth="1"/>
    <col min="14343" max="14343" width="12.42578125" customWidth="1"/>
    <col min="14344" max="14344" width="11.42578125" customWidth="1"/>
    <col min="14345" max="14345" width="12.5703125" customWidth="1"/>
    <col min="14346" max="14346" width="10.7109375" customWidth="1"/>
    <col min="14347" max="14356" width="0" hidden="1" customWidth="1"/>
    <col min="14357" max="14357" width="10.7109375" customWidth="1"/>
    <col min="14358" max="14358" width="11.7109375" customWidth="1"/>
    <col min="14359" max="14360" width="11.7109375" bestFit="1" customWidth="1"/>
    <col min="14593" max="14593" width="37.7109375" customWidth="1"/>
    <col min="14594" max="14594" width="17" customWidth="1"/>
    <col min="14595" max="14595" width="15.5703125" customWidth="1"/>
    <col min="14596" max="14596" width="16.85546875" customWidth="1"/>
    <col min="14597" max="14597" width="14.5703125" customWidth="1"/>
    <col min="14598" max="14598" width="17.85546875" customWidth="1"/>
    <col min="14599" max="14599" width="12.42578125" customWidth="1"/>
    <col min="14600" max="14600" width="11.42578125" customWidth="1"/>
    <col min="14601" max="14601" width="12.5703125" customWidth="1"/>
    <col min="14602" max="14602" width="10.7109375" customWidth="1"/>
    <col min="14603" max="14612" width="0" hidden="1" customWidth="1"/>
    <col min="14613" max="14613" width="10.7109375" customWidth="1"/>
    <col min="14614" max="14614" width="11.7109375" customWidth="1"/>
    <col min="14615" max="14616" width="11.7109375" bestFit="1" customWidth="1"/>
    <col min="14849" max="14849" width="37.7109375" customWidth="1"/>
    <col min="14850" max="14850" width="17" customWidth="1"/>
    <col min="14851" max="14851" width="15.5703125" customWidth="1"/>
    <col min="14852" max="14852" width="16.85546875" customWidth="1"/>
    <col min="14853" max="14853" width="14.5703125" customWidth="1"/>
    <col min="14854" max="14854" width="17.85546875" customWidth="1"/>
    <col min="14855" max="14855" width="12.42578125" customWidth="1"/>
    <col min="14856" max="14856" width="11.42578125" customWidth="1"/>
    <col min="14857" max="14857" width="12.5703125" customWidth="1"/>
    <col min="14858" max="14858" width="10.7109375" customWidth="1"/>
    <col min="14859" max="14868" width="0" hidden="1" customWidth="1"/>
    <col min="14869" max="14869" width="10.7109375" customWidth="1"/>
    <col min="14870" max="14870" width="11.7109375" customWidth="1"/>
    <col min="14871" max="14872" width="11.7109375" bestFit="1" customWidth="1"/>
    <col min="15105" max="15105" width="37.7109375" customWidth="1"/>
    <col min="15106" max="15106" width="17" customWidth="1"/>
    <col min="15107" max="15107" width="15.5703125" customWidth="1"/>
    <col min="15108" max="15108" width="16.85546875" customWidth="1"/>
    <col min="15109" max="15109" width="14.5703125" customWidth="1"/>
    <col min="15110" max="15110" width="17.85546875" customWidth="1"/>
    <col min="15111" max="15111" width="12.42578125" customWidth="1"/>
    <col min="15112" max="15112" width="11.42578125" customWidth="1"/>
    <col min="15113" max="15113" width="12.5703125" customWidth="1"/>
    <col min="15114" max="15114" width="10.7109375" customWidth="1"/>
    <col min="15115" max="15124" width="0" hidden="1" customWidth="1"/>
    <col min="15125" max="15125" width="10.7109375" customWidth="1"/>
    <col min="15126" max="15126" width="11.7109375" customWidth="1"/>
    <col min="15127" max="15128" width="11.7109375" bestFit="1" customWidth="1"/>
    <col min="15361" max="15361" width="37.7109375" customWidth="1"/>
    <col min="15362" max="15362" width="17" customWidth="1"/>
    <col min="15363" max="15363" width="15.5703125" customWidth="1"/>
    <col min="15364" max="15364" width="16.85546875" customWidth="1"/>
    <col min="15365" max="15365" width="14.5703125" customWidth="1"/>
    <col min="15366" max="15366" width="17.85546875" customWidth="1"/>
    <col min="15367" max="15367" width="12.42578125" customWidth="1"/>
    <col min="15368" max="15368" width="11.42578125" customWidth="1"/>
    <col min="15369" max="15369" width="12.5703125" customWidth="1"/>
    <col min="15370" max="15370" width="10.7109375" customWidth="1"/>
    <col min="15371" max="15380" width="0" hidden="1" customWidth="1"/>
    <col min="15381" max="15381" width="10.7109375" customWidth="1"/>
    <col min="15382" max="15382" width="11.7109375" customWidth="1"/>
    <col min="15383" max="15384" width="11.7109375" bestFit="1" customWidth="1"/>
    <col min="15617" max="15617" width="37.7109375" customWidth="1"/>
    <col min="15618" max="15618" width="17" customWidth="1"/>
    <col min="15619" max="15619" width="15.5703125" customWidth="1"/>
    <col min="15620" max="15620" width="16.85546875" customWidth="1"/>
    <col min="15621" max="15621" width="14.5703125" customWidth="1"/>
    <col min="15622" max="15622" width="17.85546875" customWidth="1"/>
    <col min="15623" max="15623" width="12.42578125" customWidth="1"/>
    <col min="15624" max="15624" width="11.42578125" customWidth="1"/>
    <col min="15625" max="15625" width="12.5703125" customWidth="1"/>
    <col min="15626" max="15626" width="10.7109375" customWidth="1"/>
    <col min="15627" max="15636" width="0" hidden="1" customWidth="1"/>
    <col min="15637" max="15637" width="10.7109375" customWidth="1"/>
    <col min="15638" max="15638" width="11.7109375" customWidth="1"/>
    <col min="15639" max="15640" width="11.7109375" bestFit="1" customWidth="1"/>
    <col min="15873" max="15873" width="37.7109375" customWidth="1"/>
    <col min="15874" max="15874" width="17" customWidth="1"/>
    <col min="15875" max="15875" width="15.5703125" customWidth="1"/>
    <col min="15876" max="15876" width="16.85546875" customWidth="1"/>
    <col min="15877" max="15877" width="14.5703125" customWidth="1"/>
    <col min="15878" max="15878" width="17.85546875" customWidth="1"/>
    <col min="15879" max="15879" width="12.42578125" customWidth="1"/>
    <col min="15880" max="15880" width="11.42578125" customWidth="1"/>
    <col min="15881" max="15881" width="12.5703125" customWidth="1"/>
    <col min="15882" max="15882" width="10.7109375" customWidth="1"/>
    <col min="15883" max="15892" width="0" hidden="1" customWidth="1"/>
    <col min="15893" max="15893" width="10.7109375" customWidth="1"/>
    <col min="15894" max="15894" width="11.7109375" customWidth="1"/>
    <col min="15895" max="15896" width="11.7109375" bestFit="1" customWidth="1"/>
    <col min="16129" max="16129" width="37.7109375" customWidth="1"/>
    <col min="16130" max="16130" width="17" customWidth="1"/>
    <col min="16131" max="16131" width="15.5703125" customWidth="1"/>
    <col min="16132" max="16132" width="16.85546875" customWidth="1"/>
    <col min="16133" max="16133" width="14.5703125" customWidth="1"/>
    <col min="16134" max="16134" width="17.85546875" customWidth="1"/>
    <col min="16135" max="16135" width="12.42578125" customWidth="1"/>
    <col min="16136" max="16136" width="11.42578125" customWidth="1"/>
    <col min="16137" max="16137" width="12.5703125" customWidth="1"/>
    <col min="16138" max="16138" width="10.7109375" customWidth="1"/>
    <col min="16139" max="16148" width="0" hidden="1" customWidth="1"/>
    <col min="16149" max="16149" width="10.7109375" customWidth="1"/>
    <col min="16150" max="16150" width="11.7109375" customWidth="1"/>
    <col min="16151" max="16152" width="11.7109375" bestFit="1" customWidth="1"/>
  </cols>
  <sheetData>
    <row r="1" spans="1:24" ht="15.75" x14ac:dyDescent="0.25">
      <c r="V1" s="239"/>
    </row>
    <row r="2" spans="1:24" ht="18" x14ac:dyDescent="0.25">
      <c r="A2" s="461" t="s">
        <v>539</v>
      </c>
      <c r="B2" s="462"/>
      <c r="C2" s="245"/>
      <c r="D2" s="245"/>
      <c r="E2" s="245"/>
      <c r="F2" s="245"/>
      <c r="J2" s="246"/>
    </row>
    <row r="3" spans="1:24" ht="18.75" x14ac:dyDescent="0.3">
      <c r="A3" s="463"/>
      <c r="B3" s="462"/>
      <c r="C3" s="247"/>
      <c r="D3" s="247"/>
      <c r="E3" s="247"/>
      <c r="F3" s="247"/>
      <c r="J3" s="247"/>
    </row>
    <row r="4" spans="1:24" ht="16.5" thickBot="1" x14ac:dyDescent="0.3">
      <c r="A4" s="464"/>
      <c r="B4" s="462"/>
      <c r="C4" s="245"/>
      <c r="D4" s="245"/>
      <c r="E4" s="245"/>
      <c r="F4" s="245"/>
      <c r="G4" s="245"/>
      <c r="H4" s="245"/>
      <c r="I4" s="245"/>
      <c r="J4" s="245"/>
    </row>
    <row r="5" spans="1:24" s="73" customFormat="1" ht="12.75" customHeight="1" x14ac:dyDescent="0.2">
      <c r="A5" s="682" t="s">
        <v>146</v>
      </c>
      <c r="B5" s="685" t="s">
        <v>147</v>
      </c>
      <c r="C5" s="688" t="s">
        <v>37</v>
      </c>
      <c r="D5" s="688"/>
      <c r="E5" s="688"/>
      <c r="F5" s="689"/>
      <c r="G5" s="690" t="s">
        <v>148</v>
      </c>
      <c r="H5" s="693" t="s">
        <v>37</v>
      </c>
      <c r="I5" s="694"/>
      <c r="J5" s="703" t="s">
        <v>149</v>
      </c>
      <c r="K5" s="476"/>
      <c r="L5" s="476"/>
      <c r="M5" s="476"/>
      <c r="N5" s="476"/>
      <c r="O5" s="476"/>
      <c r="P5" s="476"/>
      <c r="Q5" s="476"/>
      <c r="R5" s="476"/>
      <c r="S5" s="476"/>
      <c r="T5" s="476"/>
      <c r="U5" s="693" t="s">
        <v>37</v>
      </c>
      <c r="V5" s="694"/>
    </row>
    <row r="6" spans="1:24" s="73" customFormat="1" ht="12.75" customHeight="1" x14ac:dyDescent="0.2">
      <c r="A6" s="683"/>
      <c r="B6" s="686"/>
      <c r="C6" s="695" t="s">
        <v>150</v>
      </c>
      <c r="D6" s="695" t="s">
        <v>151</v>
      </c>
      <c r="E6" s="697" t="s">
        <v>37</v>
      </c>
      <c r="F6" s="698"/>
      <c r="G6" s="691"/>
      <c r="H6" s="699" t="s">
        <v>236</v>
      </c>
      <c r="I6" s="701" t="s">
        <v>237</v>
      </c>
      <c r="J6" s="704"/>
      <c r="K6" s="477"/>
      <c r="L6" s="477"/>
      <c r="M6" s="477"/>
      <c r="N6" s="477"/>
      <c r="O6" s="477"/>
      <c r="P6" s="477"/>
      <c r="Q6" s="477"/>
      <c r="R6" s="477"/>
      <c r="S6" s="477"/>
      <c r="T6" s="477"/>
      <c r="U6" s="699" t="s">
        <v>236</v>
      </c>
      <c r="V6" s="701" t="s">
        <v>237</v>
      </c>
    </row>
    <row r="7" spans="1:24" s="73" customFormat="1" ht="28.5" customHeight="1" thickBot="1" x14ac:dyDescent="0.25">
      <c r="A7" s="684"/>
      <c r="B7" s="687"/>
      <c r="C7" s="696"/>
      <c r="D7" s="696"/>
      <c r="E7" s="478" t="s">
        <v>238</v>
      </c>
      <c r="F7" s="479" t="s">
        <v>239</v>
      </c>
      <c r="G7" s="692"/>
      <c r="H7" s="700"/>
      <c r="I7" s="702"/>
      <c r="J7" s="705"/>
      <c r="K7" s="480"/>
      <c r="L7" s="480"/>
      <c r="M7" s="480"/>
      <c r="N7" s="480"/>
      <c r="O7" s="480"/>
      <c r="P7" s="480"/>
      <c r="Q7" s="480"/>
      <c r="R7" s="480"/>
      <c r="S7" s="480"/>
      <c r="T7" s="480"/>
      <c r="U7" s="700"/>
      <c r="V7" s="702"/>
    </row>
    <row r="8" spans="1:24" ht="15.75" thickBot="1" x14ac:dyDescent="0.3">
      <c r="A8" s="465"/>
      <c r="B8" s="466"/>
      <c r="C8" s="253"/>
      <c r="D8" s="253"/>
      <c r="E8" s="253"/>
      <c r="F8" s="252"/>
      <c r="G8" s="257"/>
      <c r="H8" s="253"/>
      <c r="I8" s="252"/>
      <c r="J8" s="251"/>
      <c r="K8" s="75"/>
      <c r="L8" s="75"/>
      <c r="M8" s="75"/>
      <c r="N8" s="75"/>
      <c r="O8" s="75"/>
      <c r="P8" s="75"/>
      <c r="Q8" s="75"/>
      <c r="R8" s="75"/>
      <c r="S8" s="75"/>
      <c r="T8" s="75"/>
      <c r="U8" s="253"/>
      <c r="V8" s="252"/>
    </row>
    <row r="9" spans="1:24" ht="15.75" thickBot="1" x14ac:dyDescent="0.3">
      <c r="A9" s="576" t="s">
        <v>152</v>
      </c>
      <c r="B9" s="254">
        <f>C9+D9</f>
        <v>986277291</v>
      </c>
      <c r="C9" s="255">
        <f t="shared" ref="C9:I9" si="0">C24+C27</f>
        <v>72954578</v>
      </c>
      <c r="D9" s="255">
        <f t="shared" si="0"/>
        <v>913322713</v>
      </c>
      <c r="E9" s="255">
        <f>E24</f>
        <v>776339116</v>
      </c>
      <c r="F9" s="256">
        <f t="shared" si="0"/>
        <v>136983597</v>
      </c>
      <c r="G9" s="270">
        <f t="shared" si="0"/>
        <v>1634.65</v>
      </c>
      <c r="H9" s="271">
        <f>H24</f>
        <v>1348.24</v>
      </c>
      <c r="I9" s="272">
        <f t="shared" si="0"/>
        <v>286.40999999999997</v>
      </c>
      <c r="J9" s="254">
        <f>IF(G9=0,0,ROUND(D9/G9/12,0))</f>
        <v>46561</v>
      </c>
      <c r="K9" s="76"/>
      <c r="L9" s="76"/>
      <c r="M9" s="76"/>
      <c r="N9" s="76"/>
      <c r="O9" s="76"/>
      <c r="P9" s="76"/>
      <c r="Q9" s="76"/>
      <c r="R9" s="76"/>
      <c r="S9" s="76"/>
      <c r="T9" s="76"/>
      <c r="U9" s="255">
        <f>IF(H9=0,0,ROUND(E9/H9/12,0))</f>
        <v>47985</v>
      </c>
      <c r="V9" s="256">
        <f>IF(I9=0,0,ROUND(F9/I9/12,0))</f>
        <v>39856</v>
      </c>
    </row>
    <row r="10" spans="1:24" x14ac:dyDescent="0.25">
      <c r="A10" s="577" t="s">
        <v>153</v>
      </c>
      <c r="B10" s="549">
        <f>C10+D10</f>
        <v>603073714</v>
      </c>
      <c r="C10" s="77">
        <f>C12+C13+C14+C15</f>
        <v>46226820</v>
      </c>
      <c r="D10" s="77">
        <f>F10+E10</f>
        <v>556846894</v>
      </c>
      <c r="E10" s="77">
        <f>E12++E13+E14+E15</f>
        <v>519362154</v>
      </c>
      <c r="F10" s="78">
        <f>F12++F13+F14+F15</f>
        <v>37484740</v>
      </c>
      <c r="G10" s="273">
        <f>H10+I10</f>
        <v>966.05000000000007</v>
      </c>
      <c r="H10" s="274">
        <f>H12+H13+H14+H15</f>
        <v>886.44</v>
      </c>
      <c r="I10" s="275">
        <f>I12+I13+I14+I15</f>
        <v>79.61</v>
      </c>
      <c r="J10" s="79">
        <f>IF(G10=0,0,ROUND(D10/G10/12,0))</f>
        <v>48035</v>
      </c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77">
        <f>IF(H10=0,0,ROUND(E10/H10/12,0))</f>
        <v>48825</v>
      </c>
      <c r="V10" s="78">
        <f>IF(I10=0,0,ROUND(F10/I10/12,0))</f>
        <v>39238</v>
      </c>
      <c r="W10" s="81"/>
    </row>
    <row r="11" spans="1:24" x14ac:dyDescent="0.25">
      <c r="A11" s="578" t="s">
        <v>154</v>
      </c>
      <c r="B11" s="82"/>
      <c r="C11" s="83"/>
      <c r="D11" s="83"/>
      <c r="E11" s="83"/>
      <c r="F11" s="84"/>
      <c r="G11" s="82"/>
      <c r="H11" s="83"/>
      <c r="I11" s="84"/>
      <c r="J11" s="82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3"/>
      <c r="V11" s="84"/>
    </row>
    <row r="12" spans="1:24" x14ac:dyDescent="0.25">
      <c r="A12" s="579" t="s">
        <v>155</v>
      </c>
      <c r="B12" s="86">
        <f>C12+D12</f>
        <v>342680844</v>
      </c>
      <c r="C12" s="87">
        <v>46049820</v>
      </c>
      <c r="D12" s="87">
        <f>E12+F12</f>
        <v>296631024</v>
      </c>
      <c r="E12" s="87">
        <v>263457682</v>
      </c>
      <c r="F12" s="88">
        <v>33173342</v>
      </c>
      <c r="G12" s="276">
        <f>H12+I12</f>
        <v>520.62</v>
      </c>
      <c r="H12" s="277">
        <v>448.37</v>
      </c>
      <c r="I12" s="278">
        <v>72.25</v>
      </c>
      <c r="J12" s="86">
        <f>IF(G12=0,0,ROUND(D12/G12/12,0))</f>
        <v>47480</v>
      </c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7">
        <f t="shared" ref="U12:V14" si="1">IF(H12=0,0,ROUND(E12/H12/12,0))</f>
        <v>48966</v>
      </c>
      <c r="V12" s="88">
        <f t="shared" si="1"/>
        <v>38262</v>
      </c>
      <c r="X12" s="81"/>
    </row>
    <row r="13" spans="1:24" x14ac:dyDescent="0.25">
      <c r="A13" s="580" t="s">
        <v>157</v>
      </c>
      <c r="B13" s="90">
        <f>C13+D13</f>
        <v>256031353</v>
      </c>
      <c r="C13" s="91">
        <v>0</v>
      </c>
      <c r="D13" s="87">
        <f>E13+F13</f>
        <v>256031353</v>
      </c>
      <c r="E13" s="91">
        <v>253320395</v>
      </c>
      <c r="F13" s="92">
        <v>2710958</v>
      </c>
      <c r="G13" s="279">
        <f>H13+I13</f>
        <v>438</v>
      </c>
      <c r="H13" s="280">
        <v>433.55</v>
      </c>
      <c r="I13" s="281">
        <v>4.45</v>
      </c>
      <c r="J13" s="90">
        <f t="shared" ref="J13:J20" si="2">IF(G13=0,0,ROUND(D13/G13/12,0))</f>
        <v>48712</v>
      </c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1">
        <f t="shared" si="1"/>
        <v>48691</v>
      </c>
      <c r="V13" s="581">
        <f t="shared" si="1"/>
        <v>50767</v>
      </c>
      <c r="X13" s="81"/>
    </row>
    <row r="14" spans="1:24" x14ac:dyDescent="0.25">
      <c r="A14" s="580" t="s">
        <v>540</v>
      </c>
      <c r="B14" s="90">
        <f>C14+D14</f>
        <v>4184517</v>
      </c>
      <c r="C14" s="91">
        <v>0</v>
      </c>
      <c r="D14" s="91">
        <f>E14+F14</f>
        <v>4184517</v>
      </c>
      <c r="E14" s="91">
        <v>2584077</v>
      </c>
      <c r="F14" s="92">
        <v>1600440</v>
      </c>
      <c r="G14" s="279">
        <f>H14+I14</f>
        <v>7.43</v>
      </c>
      <c r="H14" s="280">
        <v>4.5199999999999996</v>
      </c>
      <c r="I14" s="281">
        <v>2.91</v>
      </c>
      <c r="J14" s="90">
        <f>IF(G14=0,0,ROUND((D14-400000)/G14/12,0))</f>
        <v>42446</v>
      </c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1">
        <f>IF(H14=0,0,ROUND((E14-400000)/H14/12,0))</f>
        <v>40267</v>
      </c>
      <c r="V14" s="582">
        <f t="shared" si="1"/>
        <v>45832</v>
      </c>
    </row>
    <row r="15" spans="1:24" x14ac:dyDescent="0.25">
      <c r="A15" s="583" t="s">
        <v>240</v>
      </c>
      <c r="B15" s="550">
        <f>C15+D15</f>
        <v>177000</v>
      </c>
      <c r="C15" s="240">
        <v>177000</v>
      </c>
      <c r="D15" s="240">
        <f>E15+F15</f>
        <v>0</v>
      </c>
      <c r="E15" s="240">
        <v>0</v>
      </c>
      <c r="F15" s="241">
        <v>0</v>
      </c>
      <c r="G15" s="282">
        <f>H15+I15</f>
        <v>0</v>
      </c>
      <c r="H15" s="283">
        <v>0</v>
      </c>
      <c r="I15" s="284">
        <v>0</v>
      </c>
      <c r="J15" s="242" t="s">
        <v>156</v>
      </c>
      <c r="K15" s="243"/>
      <c r="L15" s="243"/>
      <c r="M15" s="243"/>
      <c r="N15" s="243"/>
      <c r="O15" s="243"/>
      <c r="P15" s="243"/>
      <c r="Q15" s="243"/>
      <c r="R15" s="243"/>
      <c r="S15" s="243"/>
      <c r="T15" s="243"/>
      <c r="U15" s="244" t="s">
        <v>156</v>
      </c>
      <c r="V15" s="581" t="s">
        <v>156</v>
      </c>
    </row>
    <row r="16" spans="1:24" x14ac:dyDescent="0.25">
      <c r="A16" s="584"/>
      <c r="B16" s="95"/>
      <c r="C16" s="96"/>
      <c r="D16" s="96"/>
      <c r="E16" s="96"/>
      <c r="F16" s="97"/>
      <c r="G16" s="95"/>
      <c r="H16" s="96"/>
      <c r="I16" s="97"/>
      <c r="J16" s="95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6"/>
      <c r="V16" s="97"/>
    </row>
    <row r="17" spans="1:26" x14ac:dyDescent="0.25">
      <c r="A17" s="577" t="s">
        <v>158</v>
      </c>
      <c r="B17" s="549">
        <f>C17+D17</f>
        <v>311036916</v>
      </c>
      <c r="C17" s="77">
        <f>C19+C20+C21+C22</f>
        <v>19185947</v>
      </c>
      <c r="D17" s="77">
        <f>D19+D20+D21+D22</f>
        <v>291850969</v>
      </c>
      <c r="E17" s="77">
        <f>E19+E20+E21+E22</f>
        <v>256976962</v>
      </c>
      <c r="F17" s="78">
        <f>F19+F20+F21+F22</f>
        <v>34874007</v>
      </c>
      <c r="G17" s="273">
        <f>I17+H17</f>
        <v>541.6</v>
      </c>
      <c r="H17" s="274">
        <f>H19+H20+H21+H22</f>
        <v>461.8</v>
      </c>
      <c r="I17" s="275">
        <f>I19+I20+I21+I22</f>
        <v>79.8</v>
      </c>
      <c r="J17" s="79">
        <f t="shared" si="2"/>
        <v>44906</v>
      </c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77">
        <f>IF(H17=0,0,ROUND(E17/H17/12,0))</f>
        <v>46372</v>
      </c>
      <c r="V17" s="78">
        <f>IF(I17=0,0,ROUND(F17/I17/12,0))</f>
        <v>36418</v>
      </c>
      <c r="W17" s="81"/>
    </row>
    <row r="18" spans="1:26" x14ac:dyDescent="0.25">
      <c r="A18" s="578" t="s">
        <v>154</v>
      </c>
      <c r="B18" s="82"/>
      <c r="C18" s="83"/>
      <c r="D18" s="83"/>
      <c r="E18" s="83"/>
      <c r="F18" s="84"/>
      <c r="G18" s="82"/>
      <c r="H18" s="83"/>
      <c r="I18" s="84"/>
      <c r="J18" s="82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3"/>
      <c r="V18" s="84"/>
    </row>
    <row r="19" spans="1:26" x14ac:dyDescent="0.25">
      <c r="A19" s="579" t="s">
        <v>159</v>
      </c>
      <c r="B19" s="86">
        <f>C19+D19</f>
        <v>276233409</v>
      </c>
      <c r="C19" s="87">
        <v>6616164</v>
      </c>
      <c r="D19" s="87">
        <f>E19+F19</f>
        <v>269617245</v>
      </c>
      <c r="E19" s="87">
        <v>251477585</v>
      </c>
      <c r="F19" s="88">
        <v>18139660</v>
      </c>
      <c r="G19" s="276">
        <f>H19+I19</f>
        <v>502</v>
      </c>
      <c r="H19" s="277">
        <v>454</v>
      </c>
      <c r="I19" s="278">
        <v>48</v>
      </c>
      <c r="J19" s="86">
        <f t="shared" si="2"/>
        <v>44757</v>
      </c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7">
        <f>IF(H19=0,0,ROUND(E19/H19/12,0))</f>
        <v>46160</v>
      </c>
      <c r="V19" s="88">
        <f>IF(I19=0,0,ROUND(F19/I19/12,0))</f>
        <v>31492</v>
      </c>
    </row>
    <row r="20" spans="1:26" x14ac:dyDescent="0.25">
      <c r="A20" s="580" t="s">
        <v>541</v>
      </c>
      <c r="B20" s="90">
        <f>C20+D20</f>
        <v>3507268</v>
      </c>
      <c r="C20" s="91">
        <v>0</v>
      </c>
      <c r="D20" s="87">
        <f>E20+F20</f>
        <v>3507268</v>
      </c>
      <c r="E20" s="91">
        <v>3507268</v>
      </c>
      <c r="F20" s="92">
        <v>0</v>
      </c>
      <c r="G20" s="279">
        <f>H20+I20</f>
        <v>6</v>
      </c>
      <c r="H20" s="280">
        <v>6</v>
      </c>
      <c r="I20" s="281">
        <v>0</v>
      </c>
      <c r="J20" s="93">
        <f t="shared" si="2"/>
        <v>48712</v>
      </c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91">
        <f>IF(H20=0,0,ROUND(E20/H20/12,0))</f>
        <v>48712</v>
      </c>
      <c r="V20" s="582" t="s">
        <v>156</v>
      </c>
    </row>
    <row r="21" spans="1:26" x14ac:dyDescent="0.25">
      <c r="A21" s="580" t="s">
        <v>542</v>
      </c>
      <c r="B21" s="90">
        <f>C21+D21</f>
        <v>27220179</v>
      </c>
      <c r="C21" s="91">
        <v>11548683</v>
      </c>
      <c r="D21" s="91">
        <f>E21+F21</f>
        <v>15671496</v>
      </c>
      <c r="E21" s="91">
        <v>0</v>
      </c>
      <c r="F21" s="92">
        <v>15671496</v>
      </c>
      <c r="G21" s="279">
        <f>H21+I21</f>
        <v>30</v>
      </c>
      <c r="H21" s="280">
        <v>0</v>
      </c>
      <c r="I21" s="281">
        <v>30</v>
      </c>
      <c r="J21" s="93">
        <f>IF(G21=0,0,ROUND(D21/G21/12,0))</f>
        <v>43532</v>
      </c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426" t="s">
        <v>156</v>
      </c>
      <c r="V21" s="582">
        <f>IF(I21=0,0,ROUND(F21/I21/12,0))</f>
        <v>43532</v>
      </c>
    </row>
    <row r="22" spans="1:26" x14ac:dyDescent="0.25">
      <c r="A22" s="585" t="s">
        <v>543</v>
      </c>
      <c r="B22" s="551">
        <f>C22+D22</f>
        <v>4076060</v>
      </c>
      <c r="C22" s="552">
        <v>1021100</v>
      </c>
      <c r="D22" s="552">
        <f>E22+F22</f>
        <v>3054960</v>
      </c>
      <c r="E22" s="552">
        <v>1992109</v>
      </c>
      <c r="F22" s="553">
        <v>1062851</v>
      </c>
      <c r="G22" s="554">
        <f>H22+I22</f>
        <v>3.6</v>
      </c>
      <c r="H22" s="555">
        <v>1.8</v>
      </c>
      <c r="I22" s="556">
        <v>1.8</v>
      </c>
      <c r="J22" s="557">
        <f>IF(G22=0,0,ROUND((D22-911072)/G22/12,0))</f>
        <v>49627</v>
      </c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558">
        <f>IF(H22=0,0,ROUND((E22-911072)/(H22)/12,0))</f>
        <v>50048</v>
      </c>
      <c r="V22" s="586">
        <f>IF(I22=0,0,ROUND(F22/I22/12,0))</f>
        <v>49206</v>
      </c>
    </row>
    <row r="23" spans="1:26" s="103" customFormat="1" ht="15.75" thickBot="1" x14ac:dyDescent="0.3">
      <c r="A23" s="584"/>
      <c r="B23" s="95"/>
      <c r="C23" s="96"/>
      <c r="D23" s="96"/>
      <c r="E23" s="96"/>
      <c r="F23" s="97"/>
      <c r="G23" s="95"/>
      <c r="H23" s="96"/>
      <c r="I23" s="97"/>
      <c r="J23" s="95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6"/>
      <c r="V23" s="97"/>
    </row>
    <row r="24" spans="1:26" ht="15.75" thickBot="1" x14ac:dyDescent="0.3">
      <c r="A24" s="587" t="s">
        <v>160</v>
      </c>
      <c r="B24" s="99">
        <f>C24+D24</f>
        <v>914110630</v>
      </c>
      <c r="C24" s="100">
        <f t="shared" ref="C24:I24" si="3">C17+C10</f>
        <v>65412767</v>
      </c>
      <c r="D24" s="100">
        <f t="shared" si="3"/>
        <v>848697863</v>
      </c>
      <c r="E24" s="100">
        <f t="shared" si="3"/>
        <v>776339116</v>
      </c>
      <c r="F24" s="101">
        <f t="shared" si="3"/>
        <v>72358747</v>
      </c>
      <c r="G24" s="285">
        <f t="shared" si="3"/>
        <v>1507.65</v>
      </c>
      <c r="H24" s="286">
        <f t="shared" si="3"/>
        <v>1348.24</v>
      </c>
      <c r="I24" s="287">
        <f t="shared" si="3"/>
        <v>159.41</v>
      </c>
      <c r="J24" s="99">
        <f>IF(G24=0,0,ROUND(D24/G24/12,0))</f>
        <v>46911</v>
      </c>
      <c r="K24" s="102"/>
      <c r="L24" s="102"/>
      <c r="M24" s="102"/>
      <c r="N24" s="102"/>
      <c r="O24" s="102"/>
      <c r="P24" s="102"/>
      <c r="Q24" s="102"/>
      <c r="R24" s="102"/>
      <c r="S24" s="102"/>
      <c r="T24" s="102"/>
      <c r="U24" s="100">
        <f>IF(H24=0,0,ROUND(E24/H24/12,0))</f>
        <v>47985</v>
      </c>
      <c r="V24" s="101">
        <f>IF(I24=0,0,ROUND(F24/I24/12,0))</f>
        <v>37826</v>
      </c>
    </row>
    <row r="25" spans="1:26" x14ac:dyDescent="0.25">
      <c r="A25" s="588"/>
      <c r="B25" s="95"/>
      <c r="C25" s="96"/>
      <c r="D25" s="96"/>
      <c r="E25" s="96"/>
      <c r="F25" s="97"/>
      <c r="G25" s="95"/>
      <c r="H25" s="96"/>
      <c r="I25" s="97"/>
      <c r="J25" s="95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6"/>
      <c r="V25" s="97"/>
    </row>
    <row r="26" spans="1:26" x14ac:dyDescent="0.25">
      <c r="A26" s="589" t="s">
        <v>161</v>
      </c>
      <c r="B26" s="95"/>
      <c r="C26" s="104"/>
      <c r="D26" s="104"/>
      <c r="E26" s="104"/>
      <c r="F26" s="105"/>
      <c r="G26" s="357"/>
      <c r="H26" s="104"/>
      <c r="I26" s="105"/>
      <c r="J26" s="95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104"/>
      <c r="V26" s="105"/>
    </row>
    <row r="27" spans="1:26" x14ac:dyDescent="0.25">
      <c r="A27" s="590" t="s">
        <v>162</v>
      </c>
      <c r="B27" s="106">
        <f>C27+D27</f>
        <v>72166661</v>
      </c>
      <c r="C27" s="107">
        <v>7541811</v>
      </c>
      <c r="D27" s="107">
        <f>F27</f>
        <v>64624850</v>
      </c>
      <c r="E27" s="109" t="s">
        <v>156</v>
      </c>
      <c r="F27" s="108">
        <v>64624850</v>
      </c>
      <c r="G27" s="427">
        <f>I27</f>
        <v>127</v>
      </c>
      <c r="H27" s="109" t="s">
        <v>156</v>
      </c>
      <c r="I27" s="428">
        <v>127</v>
      </c>
      <c r="J27" s="106">
        <f>IF(G27=0,0,ROUND(D27/G27/12,0))</f>
        <v>42405</v>
      </c>
      <c r="K27" s="74"/>
      <c r="L27" s="74"/>
      <c r="M27" s="74"/>
      <c r="N27" s="74"/>
      <c r="O27" s="74"/>
      <c r="P27" s="74"/>
      <c r="Q27" s="74"/>
      <c r="R27" s="74"/>
      <c r="S27" s="74"/>
      <c r="T27" s="74"/>
      <c r="U27" s="109" t="s">
        <v>156</v>
      </c>
      <c r="V27" s="108">
        <f>IF(I27=0,0,ROUND(F27/I27/12,0))</f>
        <v>42405</v>
      </c>
    </row>
    <row r="28" spans="1:26" ht="15.75" thickBot="1" x14ac:dyDescent="0.3">
      <c r="A28" s="591"/>
      <c r="B28" s="249"/>
      <c r="C28" s="248"/>
      <c r="D28" s="248"/>
      <c r="E28" s="248"/>
      <c r="F28" s="250"/>
      <c r="G28" s="249"/>
      <c r="H28" s="248"/>
      <c r="I28" s="250"/>
      <c r="J28" s="249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248"/>
      <c r="V28" s="250"/>
      <c r="Z28" t="s">
        <v>163</v>
      </c>
    </row>
    <row r="29" spans="1:26" ht="15.75" thickBot="1" x14ac:dyDescent="0.3">
      <c r="A29" s="592" t="s">
        <v>164</v>
      </c>
      <c r="B29" s="559">
        <f>C29+D29</f>
        <v>110549586758</v>
      </c>
      <c r="C29" s="110">
        <f>C30+C38+C40</f>
        <v>1156354543</v>
      </c>
      <c r="D29" s="110">
        <f>D30+D38+D40</f>
        <v>109393232215</v>
      </c>
      <c r="E29" s="110">
        <v>0</v>
      </c>
      <c r="F29" s="111">
        <f>F30+F38+F40</f>
        <v>109393232215</v>
      </c>
      <c r="G29" s="288">
        <f>G30+G38+G40</f>
        <v>253872.7</v>
      </c>
      <c r="H29" s="289">
        <v>0</v>
      </c>
      <c r="I29" s="290">
        <f>I30+I38+I40</f>
        <v>253872.7</v>
      </c>
      <c r="J29" s="112">
        <f>IF(G29=0,0,ROUND(D29/G29/12,0))</f>
        <v>35908</v>
      </c>
      <c r="K29" s="113"/>
      <c r="L29" s="113"/>
      <c r="M29" s="113"/>
      <c r="N29" s="113"/>
      <c r="O29" s="113"/>
      <c r="P29" s="113"/>
      <c r="Q29" s="113"/>
      <c r="R29" s="113"/>
      <c r="S29" s="113"/>
      <c r="T29" s="113"/>
      <c r="U29" s="114" t="s">
        <v>156</v>
      </c>
      <c r="V29" s="593">
        <f>J29</f>
        <v>35908</v>
      </c>
    </row>
    <row r="30" spans="1:26" x14ac:dyDescent="0.25">
      <c r="A30" s="594" t="s">
        <v>165</v>
      </c>
      <c r="B30" s="115">
        <f>C30+D30</f>
        <v>661743098</v>
      </c>
      <c r="C30" s="116">
        <f>SUM(C32:C36)</f>
        <v>243890393</v>
      </c>
      <c r="D30" s="116">
        <f>SUM(D32:D36)</f>
        <v>417852705</v>
      </c>
      <c r="E30" s="116">
        <v>0</v>
      </c>
      <c r="F30" s="117">
        <f>SUM(F32:F36)</f>
        <v>417852705</v>
      </c>
      <c r="G30" s="291">
        <f>SUM(G32:G36)</f>
        <v>934.7</v>
      </c>
      <c r="H30" s="292">
        <v>0</v>
      </c>
      <c r="I30" s="293">
        <f>SUM(I32:I36)</f>
        <v>934.7</v>
      </c>
      <c r="J30" s="115">
        <f t="shared" ref="J30:J36" si="4">IF(G30=0,0,ROUND(D30/G30/12,0))</f>
        <v>37254</v>
      </c>
      <c r="K30" s="118"/>
      <c r="L30" s="118"/>
      <c r="M30" s="118"/>
      <c r="N30" s="118"/>
      <c r="O30" s="118"/>
      <c r="P30" s="118"/>
      <c r="Q30" s="118"/>
      <c r="R30" s="118"/>
      <c r="S30" s="118"/>
      <c r="T30" s="118"/>
      <c r="U30" s="119" t="s">
        <v>156</v>
      </c>
      <c r="V30" s="595">
        <f>J30</f>
        <v>37254</v>
      </c>
    </row>
    <row r="31" spans="1:26" x14ac:dyDescent="0.25">
      <c r="A31" s="596" t="s">
        <v>37</v>
      </c>
      <c r="B31" s="120"/>
      <c r="C31" s="121"/>
      <c r="D31" s="121"/>
      <c r="E31" s="121"/>
      <c r="F31" s="122"/>
      <c r="G31" s="120"/>
      <c r="H31" s="121"/>
      <c r="I31" s="122"/>
      <c r="J31" s="120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121"/>
      <c r="V31" s="597"/>
    </row>
    <row r="32" spans="1:26" ht="15.75" customHeight="1" x14ac:dyDescent="0.25">
      <c r="A32" s="598" t="s">
        <v>544</v>
      </c>
      <c r="B32" s="86">
        <f>C32+D32</f>
        <v>392141786</v>
      </c>
      <c r="C32" s="87">
        <v>116599988</v>
      </c>
      <c r="D32" s="87">
        <f>F32</f>
        <v>275541798</v>
      </c>
      <c r="E32" s="429" t="s">
        <v>156</v>
      </c>
      <c r="F32" s="88">
        <v>275541798</v>
      </c>
      <c r="G32" s="276">
        <f>I32</f>
        <v>612</v>
      </c>
      <c r="H32" s="429" t="s">
        <v>156</v>
      </c>
      <c r="I32" s="294">
        <v>612</v>
      </c>
      <c r="J32" s="86">
        <f t="shared" si="4"/>
        <v>37519</v>
      </c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429" t="s">
        <v>156</v>
      </c>
      <c r="V32" s="88">
        <f>IF(I32=0,0,ROUND(F32/I32/12,0))</f>
        <v>37519</v>
      </c>
    </row>
    <row r="33" spans="1:25" ht="13.5" customHeight="1" x14ac:dyDescent="0.25">
      <c r="A33" s="599" t="s">
        <v>241</v>
      </c>
      <c r="B33" s="90">
        <f t="shared" ref="B33:B40" si="5">C33+D33</f>
        <v>208172356</v>
      </c>
      <c r="C33" s="91">
        <v>101955240</v>
      </c>
      <c r="D33" s="91">
        <f>F33</f>
        <v>106217116</v>
      </c>
      <c r="E33" s="426" t="s">
        <v>156</v>
      </c>
      <c r="F33" s="92">
        <v>106217116</v>
      </c>
      <c r="G33" s="279">
        <f>I33</f>
        <v>246</v>
      </c>
      <c r="H33" s="426" t="s">
        <v>156</v>
      </c>
      <c r="I33" s="281">
        <v>246</v>
      </c>
      <c r="J33" s="90">
        <f t="shared" si="4"/>
        <v>35981</v>
      </c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426" t="s">
        <v>156</v>
      </c>
      <c r="V33" s="92">
        <f>IF(I33=0,0,ROUND(F33/I33/12,0))</f>
        <v>35981</v>
      </c>
    </row>
    <row r="34" spans="1:25" ht="13.5" customHeight="1" x14ac:dyDescent="0.25">
      <c r="A34" s="599" t="s">
        <v>242</v>
      </c>
      <c r="B34" s="90">
        <f t="shared" si="5"/>
        <v>14795569</v>
      </c>
      <c r="C34" s="91">
        <v>3995569</v>
      </c>
      <c r="D34" s="91">
        <f>F34</f>
        <v>10800000</v>
      </c>
      <c r="E34" s="426" t="s">
        <v>156</v>
      </c>
      <c r="F34" s="92">
        <v>10800000</v>
      </c>
      <c r="G34" s="279">
        <f>I34</f>
        <v>20</v>
      </c>
      <c r="H34" s="426" t="s">
        <v>156</v>
      </c>
      <c r="I34" s="281">
        <v>20</v>
      </c>
      <c r="J34" s="90">
        <f t="shared" si="4"/>
        <v>45000</v>
      </c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426" t="s">
        <v>156</v>
      </c>
      <c r="V34" s="92">
        <f>IF(I34=0,0,ROUND(F34/I34/12,0))</f>
        <v>45000</v>
      </c>
    </row>
    <row r="35" spans="1:25" ht="13.5" customHeight="1" x14ac:dyDescent="0.25">
      <c r="A35" s="599" t="s">
        <v>545</v>
      </c>
      <c r="B35" s="90">
        <f t="shared" si="5"/>
        <v>44860951</v>
      </c>
      <c r="C35" s="91">
        <v>21009596</v>
      </c>
      <c r="D35" s="91">
        <f>F35</f>
        <v>23851355</v>
      </c>
      <c r="E35" s="426" t="s">
        <v>156</v>
      </c>
      <c r="F35" s="92">
        <v>23851355</v>
      </c>
      <c r="G35" s="279">
        <f>I35</f>
        <v>52.7</v>
      </c>
      <c r="H35" s="426"/>
      <c r="I35" s="281">
        <v>52.7</v>
      </c>
      <c r="J35" s="90">
        <f t="shared" si="4"/>
        <v>37716</v>
      </c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426"/>
      <c r="V35" s="92">
        <f>IF(I35=0,0,ROUND(F35/I35/12,0))</f>
        <v>37716</v>
      </c>
    </row>
    <row r="36" spans="1:25" ht="13.5" customHeight="1" x14ac:dyDescent="0.25">
      <c r="A36" s="599" t="s">
        <v>546</v>
      </c>
      <c r="B36" s="90">
        <f t="shared" si="5"/>
        <v>1772436</v>
      </c>
      <c r="C36" s="91">
        <v>330000</v>
      </c>
      <c r="D36" s="91">
        <f>F36</f>
        <v>1442436</v>
      </c>
      <c r="E36" s="426" t="s">
        <v>156</v>
      </c>
      <c r="F36" s="92">
        <v>1442436</v>
      </c>
      <c r="G36" s="279">
        <f>I36</f>
        <v>4</v>
      </c>
      <c r="H36" s="426" t="s">
        <v>156</v>
      </c>
      <c r="I36" s="281">
        <v>4</v>
      </c>
      <c r="J36" s="90">
        <f t="shared" si="4"/>
        <v>30051</v>
      </c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426" t="s">
        <v>156</v>
      </c>
      <c r="V36" s="582">
        <f>IF(I36=0,0,ROUND(F36/I36/12,0))</f>
        <v>30051</v>
      </c>
    </row>
    <row r="37" spans="1:25" x14ac:dyDescent="0.25">
      <c r="A37" s="600"/>
      <c r="B37" s="95"/>
      <c r="C37" s="96"/>
      <c r="D37" s="96"/>
      <c r="E37" s="96"/>
      <c r="F37" s="97"/>
      <c r="G37" s="95"/>
      <c r="H37" s="96"/>
      <c r="I37" s="97"/>
      <c r="J37" s="95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6"/>
      <c r="V37" s="97"/>
    </row>
    <row r="38" spans="1:25" ht="15.75" thickBot="1" x14ac:dyDescent="0.3">
      <c r="A38" s="601" t="s">
        <v>334</v>
      </c>
      <c r="B38" s="123">
        <f t="shared" si="5"/>
        <v>107677625004</v>
      </c>
      <c r="C38" s="124">
        <v>895106454</v>
      </c>
      <c r="D38" s="124">
        <f>F38</f>
        <v>106782518550</v>
      </c>
      <c r="E38" s="358" t="s">
        <v>156</v>
      </c>
      <c r="F38" s="125">
        <v>106782518550</v>
      </c>
      <c r="G38" s="295">
        <f>I38</f>
        <v>248481.5</v>
      </c>
      <c r="H38" s="358" t="s">
        <v>156</v>
      </c>
      <c r="I38" s="296">
        <v>248481.5</v>
      </c>
      <c r="J38" s="123">
        <f>IF(G38=0,0,ROUND(D38/G38/12,0))</f>
        <v>35812</v>
      </c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126" t="s">
        <v>156</v>
      </c>
      <c r="V38" s="125">
        <f>IF(I38=0,0,ROUND(F38/I38/12,0))</f>
        <v>35812</v>
      </c>
      <c r="X38" t="s">
        <v>166</v>
      </c>
    </row>
    <row r="39" spans="1:25" x14ac:dyDescent="0.25">
      <c r="A39" s="600"/>
      <c r="B39" s="95"/>
      <c r="C39" s="96"/>
      <c r="D39" s="96"/>
      <c r="E39" s="96"/>
      <c r="F39" s="97"/>
      <c r="G39" s="95"/>
      <c r="H39" s="96"/>
      <c r="I39" s="97"/>
      <c r="J39" s="560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6"/>
      <c r="V39" s="97"/>
      <c r="W39" s="98"/>
    </row>
    <row r="40" spans="1:25" ht="15.75" thickBot="1" x14ac:dyDescent="0.3">
      <c r="A40" s="601" t="s">
        <v>167</v>
      </c>
      <c r="B40" s="123">
        <f t="shared" si="5"/>
        <v>2210218656</v>
      </c>
      <c r="C40" s="124">
        <v>17357696</v>
      </c>
      <c r="D40" s="124">
        <f>F40</f>
        <v>2192860960</v>
      </c>
      <c r="E40" s="358" t="s">
        <v>156</v>
      </c>
      <c r="F40" s="125">
        <v>2192860960</v>
      </c>
      <c r="G40" s="295">
        <f>I40</f>
        <v>4456.5</v>
      </c>
      <c r="H40" s="358" t="s">
        <v>156</v>
      </c>
      <c r="I40" s="296">
        <v>4456.5</v>
      </c>
      <c r="J40" s="123">
        <f>IF(G40=0,0,ROUND(D40/G40/12,0))</f>
        <v>41005</v>
      </c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126" t="s">
        <v>156</v>
      </c>
      <c r="V40" s="125">
        <f>IF(I40=0,0,ROUND(F40/I40/12,0))</f>
        <v>41005</v>
      </c>
    </row>
    <row r="41" spans="1:25" ht="15" hidden="1" customHeight="1" x14ac:dyDescent="0.25">
      <c r="A41" s="602"/>
      <c r="B41" s="561"/>
      <c r="C41" s="562"/>
      <c r="D41" s="562"/>
      <c r="E41" s="562"/>
      <c r="F41" s="563"/>
      <c r="G41" s="561"/>
      <c r="H41" s="562"/>
      <c r="I41" s="563"/>
      <c r="J41" s="561">
        <f>IF(G41=0,0,ROUND(D41/G41/12*1000,0))</f>
        <v>0</v>
      </c>
      <c r="K41" s="98"/>
      <c r="L41" s="98"/>
      <c r="M41" s="98"/>
      <c r="N41" s="98"/>
      <c r="O41" s="98"/>
      <c r="P41" s="98"/>
      <c r="Q41" s="98"/>
      <c r="R41" s="98"/>
      <c r="S41" s="98"/>
      <c r="T41" s="98"/>
      <c r="U41" s="562"/>
      <c r="V41" s="563"/>
    </row>
    <row r="42" spans="1:25" x14ac:dyDescent="0.25">
      <c r="A42" s="679" t="s">
        <v>168</v>
      </c>
      <c r="B42" s="469"/>
      <c r="C42" s="471"/>
      <c r="D42" s="471"/>
      <c r="E42" s="471"/>
      <c r="F42" s="468"/>
      <c r="G42" s="469"/>
      <c r="H42" s="471"/>
      <c r="I42" s="468"/>
      <c r="J42" s="469"/>
      <c r="K42" s="470"/>
      <c r="L42" s="470"/>
      <c r="M42" s="470"/>
      <c r="N42" s="470"/>
      <c r="O42" s="470"/>
      <c r="P42" s="470"/>
      <c r="Q42" s="470"/>
      <c r="R42" s="470"/>
      <c r="S42" s="470"/>
      <c r="T42" s="470"/>
      <c r="U42" s="471"/>
      <c r="V42" s="468"/>
    </row>
    <row r="43" spans="1:25" ht="17.25" customHeight="1" x14ac:dyDescent="0.25">
      <c r="A43" s="680"/>
      <c r="B43" s="474">
        <f>D43+C43</f>
        <v>111535864049</v>
      </c>
      <c r="C43" s="475">
        <f t="shared" ref="C43:I43" si="6">C29+C9</f>
        <v>1229309121</v>
      </c>
      <c r="D43" s="475">
        <f t="shared" si="6"/>
        <v>110306554928</v>
      </c>
      <c r="E43" s="475">
        <f t="shared" si="6"/>
        <v>776339116</v>
      </c>
      <c r="F43" s="472">
        <f t="shared" si="6"/>
        <v>109530215812</v>
      </c>
      <c r="G43" s="473">
        <f t="shared" si="6"/>
        <v>255507.35</v>
      </c>
      <c r="H43" s="564">
        <f t="shared" si="6"/>
        <v>1348.24</v>
      </c>
      <c r="I43" s="565">
        <f t="shared" si="6"/>
        <v>254159.11000000002</v>
      </c>
      <c r="J43" s="474">
        <f>IF(G43=0,0,ROUND(D43/G43/12,0))</f>
        <v>35976</v>
      </c>
      <c r="K43" s="470"/>
      <c r="L43" s="470"/>
      <c r="M43" s="470"/>
      <c r="N43" s="470"/>
      <c r="O43" s="470"/>
      <c r="P43" s="470"/>
      <c r="Q43" s="470"/>
      <c r="R43" s="470"/>
      <c r="S43" s="470"/>
      <c r="T43" s="470"/>
      <c r="U43" s="475">
        <f>IF(H43=0,0,ROUND(E43/H43/12,0))</f>
        <v>47985</v>
      </c>
      <c r="V43" s="472">
        <f>IF(I43=0,0,ROUND(F43/I43/12,0))</f>
        <v>35913</v>
      </c>
      <c r="W43" s="81"/>
      <c r="X43" s="81"/>
      <c r="Y43" s="81"/>
    </row>
    <row r="44" spans="1:25" ht="15.75" thickBot="1" x14ac:dyDescent="0.3">
      <c r="A44" s="681"/>
      <c r="B44" s="603"/>
      <c r="C44" s="604"/>
      <c r="D44" s="604"/>
      <c r="E44" s="604"/>
      <c r="F44" s="605"/>
      <c r="G44" s="603"/>
      <c r="H44" s="604"/>
      <c r="I44" s="605"/>
      <c r="J44" s="603"/>
      <c r="K44" s="606"/>
      <c r="L44" s="606"/>
      <c r="M44" s="606"/>
      <c r="N44" s="606"/>
      <c r="O44" s="606"/>
      <c r="P44" s="606"/>
      <c r="Q44" s="606"/>
      <c r="R44" s="606"/>
      <c r="S44" s="606"/>
      <c r="T44" s="606"/>
      <c r="U44" s="604"/>
      <c r="V44" s="605"/>
      <c r="W44" s="81"/>
      <c r="X44" s="81"/>
    </row>
  </sheetData>
  <mergeCells count="15">
    <mergeCell ref="H5:I5"/>
    <mergeCell ref="U5:V5"/>
    <mergeCell ref="C6:C7"/>
    <mergeCell ref="D6:D7"/>
    <mergeCell ref="E6:F6"/>
    <mergeCell ref="H6:H7"/>
    <mergeCell ref="I6:I7"/>
    <mergeCell ref="U6:U7"/>
    <mergeCell ref="V6:V7"/>
    <mergeCell ref="J5:J7"/>
    <mergeCell ref="A42:A44"/>
    <mergeCell ref="A5:A7"/>
    <mergeCell ref="B5:B7"/>
    <mergeCell ref="C5:F5"/>
    <mergeCell ref="G5:G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2" fitToHeight="0" orientation="landscape" r:id="rId1"/>
  <headerFooter scaleWithDoc="0" alignWithMargins="0">
    <oddHeader>&amp;RKapitola A
Tabulka č. 6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J19"/>
  <sheetViews>
    <sheetView workbookViewId="0">
      <selection activeCell="A19" sqref="A19"/>
    </sheetView>
  </sheetViews>
  <sheetFormatPr defaultRowHeight="12.75" x14ac:dyDescent="0.2"/>
  <cols>
    <col min="1" max="1" width="68.85546875" style="67" customWidth="1"/>
    <col min="2" max="2" width="15" style="67" bestFit="1" customWidth="1"/>
    <col min="3" max="3" width="15.7109375" style="67" bestFit="1" customWidth="1"/>
    <col min="4" max="4" width="13.42578125" style="67" customWidth="1"/>
    <col min="5" max="5" width="12.42578125" style="67" bestFit="1" customWidth="1"/>
    <col min="6" max="6" width="17.5703125" style="67" customWidth="1"/>
    <col min="7" max="7" width="15.28515625" style="67" customWidth="1"/>
    <col min="8" max="8" width="14.28515625" style="67" customWidth="1"/>
    <col min="9" max="9" width="15.7109375" style="67" bestFit="1" customWidth="1"/>
    <col min="10" max="11" width="15.28515625" style="67" bestFit="1" customWidth="1"/>
    <col min="12" max="12" width="16.28515625" style="67" bestFit="1" customWidth="1"/>
    <col min="13" max="255" width="9.140625" style="67"/>
    <col min="256" max="256" width="81" style="67" customWidth="1"/>
    <col min="257" max="257" width="13.85546875" style="67" bestFit="1" customWidth="1"/>
    <col min="258" max="259" width="13.140625" style="67" bestFit="1" customWidth="1"/>
    <col min="260" max="260" width="11.5703125" style="67" bestFit="1" customWidth="1"/>
    <col min="261" max="261" width="12.28515625" style="67" bestFit="1" customWidth="1"/>
    <col min="262" max="262" width="14.5703125" style="67" bestFit="1" customWidth="1"/>
    <col min="263" max="263" width="12.28515625" style="67" bestFit="1" customWidth="1"/>
    <col min="264" max="264" width="12.5703125" style="67" bestFit="1" customWidth="1"/>
    <col min="265" max="265" width="12.28515625" style="67" bestFit="1" customWidth="1"/>
    <col min="266" max="267" width="15.28515625" style="67" bestFit="1" customWidth="1"/>
    <col min="268" max="268" width="16.28515625" style="67" bestFit="1" customWidth="1"/>
    <col min="269" max="511" width="9.140625" style="67"/>
    <col min="512" max="512" width="81" style="67" customWidth="1"/>
    <col min="513" max="513" width="13.85546875" style="67" bestFit="1" customWidth="1"/>
    <col min="514" max="515" width="13.140625" style="67" bestFit="1" customWidth="1"/>
    <col min="516" max="516" width="11.5703125" style="67" bestFit="1" customWidth="1"/>
    <col min="517" max="517" width="12.28515625" style="67" bestFit="1" customWidth="1"/>
    <col min="518" max="518" width="14.5703125" style="67" bestFit="1" customWidth="1"/>
    <col min="519" max="519" width="12.28515625" style="67" bestFit="1" customWidth="1"/>
    <col min="520" max="520" width="12.5703125" style="67" bestFit="1" customWidth="1"/>
    <col min="521" max="521" width="12.28515625" style="67" bestFit="1" customWidth="1"/>
    <col min="522" max="523" width="15.28515625" style="67" bestFit="1" customWidth="1"/>
    <col min="524" max="524" width="16.28515625" style="67" bestFit="1" customWidth="1"/>
    <col min="525" max="767" width="9.140625" style="67"/>
    <col min="768" max="768" width="81" style="67" customWidth="1"/>
    <col min="769" max="769" width="13.85546875" style="67" bestFit="1" customWidth="1"/>
    <col min="770" max="771" width="13.140625" style="67" bestFit="1" customWidth="1"/>
    <col min="772" max="772" width="11.5703125" style="67" bestFit="1" customWidth="1"/>
    <col min="773" max="773" width="12.28515625" style="67" bestFit="1" customWidth="1"/>
    <col min="774" max="774" width="14.5703125" style="67" bestFit="1" customWidth="1"/>
    <col min="775" max="775" width="12.28515625" style="67" bestFit="1" customWidth="1"/>
    <col min="776" max="776" width="12.5703125" style="67" bestFit="1" customWidth="1"/>
    <col min="777" max="777" width="12.28515625" style="67" bestFit="1" customWidth="1"/>
    <col min="778" max="779" width="15.28515625" style="67" bestFit="1" customWidth="1"/>
    <col min="780" max="780" width="16.28515625" style="67" bestFit="1" customWidth="1"/>
    <col min="781" max="1023" width="9.140625" style="67"/>
    <col min="1024" max="1024" width="81" style="67" customWidth="1"/>
    <col min="1025" max="1025" width="13.85546875" style="67" bestFit="1" customWidth="1"/>
    <col min="1026" max="1027" width="13.140625" style="67" bestFit="1" customWidth="1"/>
    <col min="1028" max="1028" width="11.5703125" style="67" bestFit="1" customWidth="1"/>
    <col min="1029" max="1029" width="12.28515625" style="67" bestFit="1" customWidth="1"/>
    <col min="1030" max="1030" width="14.5703125" style="67" bestFit="1" customWidth="1"/>
    <col min="1031" max="1031" width="12.28515625" style="67" bestFit="1" customWidth="1"/>
    <col min="1032" max="1032" width="12.5703125" style="67" bestFit="1" customWidth="1"/>
    <col min="1033" max="1033" width="12.28515625" style="67" bestFit="1" customWidth="1"/>
    <col min="1034" max="1035" width="15.28515625" style="67" bestFit="1" customWidth="1"/>
    <col min="1036" max="1036" width="16.28515625" style="67" bestFit="1" customWidth="1"/>
    <col min="1037" max="1279" width="9.140625" style="67"/>
    <col min="1280" max="1280" width="81" style="67" customWidth="1"/>
    <col min="1281" max="1281" width="13.85546875" style="67" bestFit="1" customWidth="1"/>
    <col min="1282" max="1283" width="13.140625" style="67" bestFit="1" customWidth="1"/>
    <col min="1284" max="1284" width="11.5703125" style="67" bestFit="1" customWidth="1"/>
    <col min="1285" max="1285" width="12.28515625" style="67" bestFit="1" customWidth="1"/>
    <col min="1286" max="1286" width="14.5703125" style="67" bestFit="1" customWidth="1"/>
    <col min="1287" max="1287" width="12.28515625" style="67" bestFit="1" customWidth="1"/>
    <col min="1288" max="1288" width="12.5703125" style="67" bestFit="1" customWidth="1"/>
    <col min="1289" max="1289" width="12.28515625" style="67" bestFit="1" customWidth="1"/>
    <col min="1290" max="1291" width="15.28515625" style="67" bestFit="1" customWidth="1"/>
    <col min="1292" max="1292" width="16.28515625" style="67" bestFit="1" customWidth="1"/>
    <col min="1293" max="1535" width="9.140625" style="67"/>
    <col min="1536" max="1536" width="81" style="67" customWidth="1"/>
    <col min="1537" max="1537" width="13.85546875" style="67" bestFit="1" customWidth="1"/>
    <col min="1538" max="1539" width="13.140625" style="67" bestFit="1" customWidth="1"/>
    <col min="1540" max="1540" width="11.5703125" style="67" bestFit="1" customWidth="1"/>
    <col min="1541" max="1541" width="12.28515625" style="67" bestFit="1" customWidth="1"/>
    <col min="1542" max="1542" width="14.5703125" style="67" bestFit="1" customWidth="1"/>
    <col min="1543" max="1543" width="12.28515625" style="67" bestFit="1" customWidth="1"/>
    <col min="1544" max="1544" width="12.5703125" style="67" bestFit="1" customWidth="1"/>
    <col min="1545" max="1545" width="12.28515625" style="67" bestFit="1" customWidth="1"/>
    <col min="1546" max="1547" width="15.28515625" style="67" bestFit="1" customWidth="1"/>
    <col min="1548" max="1548" width="16.28515625" style="67" bestFit="1" customWidth="1"/>
    <col min="1549" max="1791" width="9.140625" style="67"/>
    <col min="1792" max="1792" width="81" style="67" customWidth="1"/>
    <col min="1793" max="1793" width="13.85546875" style="67" bestFit="1" customWidth="1"/>
    <col min="1794" max="1795" width="13.140625" style="67" bestFit="1" customWidth="1"/>
    <col min="1796" max="1796" width="11.5703125" style="67" bestFit="1" customWidth="1"/>
    <col min="1797" max="1797" width="12.28515625" style="67" bestFit="1" customWidth="1"/>
    <col min="1798" max="1798" width="14.5703125" style="67" bestFit="1" customWidth="1"/>
    <col min="1799" max="1799" width="12.28515625" style="67" bestFit="1" customWidth="1"/>
    <col min="1800" max="1800" width="12.5703125" style="67" bestFit="1" customWidth="1"/>
    <col min="1801" max="1801" width="12.28515625" style="67" bestFit="1" customWidth="1"/>
    <col min="1802" max="1803" width="15.28515625" style="67" bestFit="1" customWidth="1"/>
    <col min="1804" max="1804" width="16.28515625" style="67" bestFit="1" customWidth="1"/>
    <col min="1805" max="2047" width="9.140625" style="67"/>
    <col min="2048" max="2048" width="81" style="67" customWidth="1"/>
    <col min="2049" max="2049" width="13.85546875" style="67" bestFit="1" customWidth="1"/>
    <col min="2050" max="2051" width="13.140625" style="67" bestFit="1" customWidth="1"/>
    <col min="2052" max="2052" width="11.5703125" style="67" bestFit="1" customWidth="1"/>
    <col min="2053" max="2053" width="12.28515625" style="67" bestFit="1" customWidth="1"/>
    <col min="2054" max="2054" width="14.5703125" style="67" bestFit="1" customWidth="1"/>
    <col min="2055" max="2055" width="12.28515625" style="67" bestFit="1" customWidth="1"/>
    <col min="2056" max="2056" width="12.5703125" style="67" bestFit="1" customWidth="1"/>
    <col min="2057" max="2057" width="12.28515625" style="67" bestFit="1" customWidth="1"/>
    <col min="2058" max="2059" width="15.28515625" style="67" bestFit="1" customWidth="1"/>
    <col min="2060" max="2060" width="16.28515625" style="67" bestFit="1" customWidth="1"/>
    <col min="2061" max="2303" width="9.140625" style="67"/>
    <col min="2304" max="2304" width="81" style="67" customWidth="1"/>
    <col min="2305" max="2305" width="13.85546875" style="67" bestFit="1" customWidth="1"/>
    <col min="2306" max="2307" width="13.140625" style="67" bestFit="1" customWidth="1"/>
    <col min="2308" max="2308" width="11.5703125" style="67" bestFit="1" customWidth="1"/>
    <col min="2309" max="2309" width="12.28515625" style="67" bestFit="1" customWidth="1"/>
    <col min="2310" max="2310" width="14.5703125" style="67" bestFit="1" customWidth="1"/>
    <col min="2311" max="2311" width="12.28515625" style="67" bestFit="1" customWidth="1"/>
    <col min="2312" max="2312" width="12.5703125" style="67" bestFit="1" customWidth="1"/>
    <col min="2313" max="2313" width="12.28515625" style="67" bestFit="1" customWidth="1"/>
    <col min="2314" max="2315" width="15.28515625" style="67" bestFit="1" customWidth="1"/>
    <col min="2316" max="2316" width="16.28515625" style="67" bestFit="1" customWidth="1"/>
    <col min="2317" max="2559" width="9.140625" style="67"/>
    <col min="2560" max="2560" width="81" style="67" customWidth="1"/>
    <col min="2561" max="2561" width="13.85546875" style="67" bestFit="1" customWidth="1"/>
    <col min="2562" max="2563" width="13.140625" style="67" bestFit="1" customWidth="1"/>
    <col min="2564" max="2564" width="11.5703125" style="67" bestFit="1" customWidth="1"/>
    <col min="2565" max="2565" width="12.28515625" style="67" bestFit="1" customWidth="1"/>
    <col min="2566" max="2566" width="14.5703125" style="67" bestFit="1" customWidth="1"/>
    <col min="2567" max="2567" width="12.28515625" style="67" bestFit="1" customWidth="1"/>
    <col min="2568" max="2568" width="12.5703125" style="67" bestFit="1" customWidth="1"/>
    <col min="2569" max="2569" width="12.28515625" style="67" bestFit="1" customWidth="1"/>
    <col min="2570" max="2571" width="15.28515625" style="67" bestFit="1" customWidth="1"/>
    <col min="2572" max="2572" width="16.28515625" style="67" bestFit="1" customWidth="1"/>
    <col min="2573" max="2815" width="9.140625" style="67"/>
    <col min="2816" max="2816" width="81" style="67" customWidth="1"/>
    <col min="2817" max="2817" width="13.85546875" style="67" bestFit="1" customWidth="1"/>
    <col min="2818" max="2819" width="13.140625" style="67" bestFit="1" customWidth="1"/>
    <col min="2820" max="2820" width="11.5703125" style="67" bestFit="1" customWidth="1"/>
    <col min="2821" max="2821" width="12.28515625" style="67" bestFit="1" customWidth="1"/>
    <col min="2822" max="2822" width="14.5703125" style="67" bestFit="1" customWidth="1"/>
    <col min="2823" max="2823" width="12.28515625" style="67" bestFit="1" customWidth="1"/>
    <col min="2824" max="2824" width="12.5703125" style="67" bestFit="1" customWidth="1"/>
    <col min="2825" max="2825" width="12.28515625" style="67" bestFit="1" customWidth="1"/>
    <col min="2826" max="2827" width="15.28515625" style="67" bestFit="1" customWidth="1"/>
    <col min="2828" max="2828" width="16.28515625" style="67" bestFit="1" customWidth="1"/>
    <col min="2829" max="3071" width="9.140625" style="67"/>
    <col min="3072" max="3072" width="81" style="67" customWidth="1"/>
    <col min="3073" max="3073" width="13.85546875" style="67" bestFit="1" customWidth="1"/>
    <col min="3074" max="3075" width="13.140625" style="67" bestFit="1" customWidth="1"/>
    <col min="3076" max="3076" width="11.5703125" style="67" bestFit="1" customWidth="1"/>
    <col min="3077" max="3077" width="12.28515625" style="67" bestFit="1" customWidth="1"/>
    <col min="3078" max="3078" width="14.5703125" style="67" bestFit="1" customWidth="1"/>
    <col min="3079" max="3079" width="12.28515625" style="67" bestFit="1" customWidth="1"/>
    <col min="3080" max="3080" width="12.5703125" style="67" bestFit="1" customWidth="1"/>
    <col min="3081" max="3081" width="12.28515625" style="67" bestFit="1" customWidth="1"/>
    <col min="3082" max="3083" width="15.28515625" style="67" bestFit="1" customWidth="1"/>
    <col min="3084" max="3084" width="16.28515625" style="67" bestFit="1" customWidth="1"/>
    <col min="3085" max="3327" width="9.140625" style="67"/>
    <col min="3328" max="3328" width="81" style="67" customWidth="1"/>
    <col min="3329" max="3329" width="13.85546875" style="67" bestFit="1" customWidth="1"/>
    <col min="3330" max="3331" width="13.140625" style="67" bestFit="1" customWidth="1"/>
    <col min="3332" max="3332" width="11.5703125" style="67" bestFit="1" customWidth="1"/>
    <col min="3333" max="3333" width="12.28515625" style="67" bestFit="1" customWidth="1"/>
    <col min="3334" max="3334" width="14.5703125" style="67" bestFit="1" customWidth="1"/>
    <col min="3335" max="3335" width="12.28515625" style="67" bestFit="1" customWidth="1"/>
    <col min="3336" max="3336" width="12.5703125" style="67" bestFit="1" customWidth="1"/>
    <col min="3337" max="3337" width="12.28515625" style="67" bestFit="1" customWidth="1"/>
    <col min="3338" max="3339" width="15.28515625" style="67" bestFit="1" customWidth="1"/>
    <col min="3340" max="3340" width="16.28515625" style="67" bestFit="1" customWidth="1"/>
    <col min="3341" max="3583" width="9.140625" style="67"/>
    <col min="3584" max="3584" width="81" style="67" customWidth="1"/>
    <col min="3585" max="3585" width="13.85546875" style="67" bestFit="1" customWidth="1"/>
    <col min="3586" max="3587" width="13.140625" style="67" bestFit="1" customWidth="1"/>
    <col min="3588" max="3588" width="11.5703125" style="67" bestFit="1" customWidth="1"/>
    <col min="3589" max="3589" width="12.28515625" style="67" bestFit="1" customWidth="1"/>
    <col min="3590" max="3590" width="14.5703125" style="67" bestFit="1" customWidth="1"/>
    <col min="3591" max="3591" width="12.28515625" style="67" bestFit="1" customWidth="1"/>
    <col min="3592" max="3592" width="12.5703125" style="67" bestFit="1" customWidth="1"/>
    <col min="3593" max="3593" width="12.28515625" style="67" bestFit="1" customWidth="1"/>
    <col min="3594" max="3595" width="15.28515625" style="67" bestFit="1" customWidth="1"/>
    <col min="3596" max="3596" width="16.28515625" style="67" bestFit="1" customWidth="1"/>
    <col min="3597" max="3839" width="9.140625" style="67"/>
    <col min="3840" max="3840" width="81" style="67" customWidth="1"/>
    <col min="3841" max="3841" width="13.85546875" style="67" bestFit="1" customWidth="1"/>
    <col min="3842" max="3843" width="13.140625" style="67" bestFit="1" customWidth="1"/>
    <col min="3844" max="3844" width="11.5703125" style="67" bestFit="1" customWidth="1"/>
    <col min="3845" max="3845" width="12.28515625" style="67" bestFit="1" customWidth="1"/>
    <col min="3846" max="3846" width="14.5703125" style="67" bestFit="1" customWidth="1"/>
    <col min="3847" max="3847" width="12.28515625" style="67" bestFit="1" customWidth="1"/>
    <col min="3848" max="3848" width="12.5703125" style="67" bestFit="1" customWidth="1"/>
    <col min="3849" max="3849" width="12.28515625" style="67" bestFit="1" customWidth="1"/>
    <col min="3850" max="3851" width="15.28515625" style="67" bestFit="1" customWidth="1"/>
    <col min="3852" max="3852" width="16.28515625" style="67" bestFit="1" customWidth="1"/>
    <col min="3853" max="4095" width="9.140625" style="67"/>
    <col min="4096" max="4096" width="81" style="67" customWidth="1"/>
    <col min="4097" max="4097" width="13.85546875" style="67" bestFit="1" customWidth="1"/>
    <col min="4098" max="4099" width="13.140625" style="67" bestFit="1" customWidth="1"/>
    <col min="4100" max="4100" width="11.5703125" style="67" bestFit="1" customWidth="1"/>
    <col min="4101" max="4101" width="12.28515625" style="67" bestFit="1" customWidth="1"/>
    <col min="4102" max="4102" width="14.5703125" style="67" bestFit="1" customWidth="1"/>
    <col min="4103" max="4103" width="12.28515625" style="67" bestFit="1" customWidth="1"/>
    <col min="4104" max="4104" width="12.5703125" style="67" bestFit="1" customWidth="1"/>
    <col min="4105" max="4105" width="12.28515625" style="67" bestFit="1" customWidth="1"/>
    <col min="4106" max="4107" width="15.28515625" style="67" bestFit="1" customWidth="1"/>
    <col min="4108" max="4108" width="16.28515625" style="67" bestFit="1" customWidth="1"/>
    <col min="4109" max="4351" width="9.140625" style="67"/>
    <col min="4352" max="4352" width="81" style="67" customWidth="1"/>
    <col min="4353" max="4353" width="13.85546875" style="67" bestFit="1" customWidth="1"/>
    <col min="4354" max="4355" width="13.140625" style="67" bestFit="1" customWidth="1"/>
    <col min="4356" max="4356" width="11.5703125" style="67" bestFit="1" customWidth="1"/>
    <col min="4357" max="4357" width="12.28515625" style="67" bestFit="1" customWidth="1"/>
    <col min="4358" max="4358" width="14.5703125" style="67" bestFit="1" customWidth="1"/>
    <col min="4359" max="4359" width="12.28515625" style="67" bestFit="1" customWidth="1"/>
    <col min="4360" max="4360" width="12.5703125" style="67" bestFit="1" customWidth="1"/>
    <col min="4361" max="4361" width="12.28515625" style="67" bestFit="1" customWidth="1"/>
    <col min="4362" max="4363" width="15.28515625" style="67" bestFit="1" customWidth="1"/>
    <col min="4364" max="4364" width="16.28515625" style="67" bestFit="1" customWidth="1"/>
    <col min="4365" max="4607" width="9.140625" style="67"/>
    <col min="4608" max="4608" width="81" style="67" customWidth="1"/>
    <col min="4609" max="4609" width="13.85546875" style="67" bestFit="1" customWidth="1"/>
    <col min="4610" max="4611" width="13.140625" style="67" bestFit="1" customWidth="1"/>
    <col min="4612" max="4612" width="11.5703125" style="67" bestFit="1" customWidth="1"/>
    <col min="4613" max="4613" width="12.28515625" style="67" bestFit="1" customWidth="1"/>
    <col min="4614" max="4614" width="14.5703125" style="67" bestFit="1" customWidth="1"/>
    <col min="4615" max="4615" width="12.28515625" style="67" bestFit="1" customWidth="1"/>
    <col min="4616" max="4616" width="12.5703125" style="67" bestFit="1" customWidth="1"/>
    <col min="4617" max="4617" width="12.28515625" style="67" bestFit="1" customWidth="1"/>
    <col min="4618" max="4619" width="15.28515625" style="67" bestFit="1" customWidth="1"/>
    <col min="4620" max="4620" width="16.28515625" style="67" bestFit="1" customWidth="1"/>
    <col min="4621" max="4863" width="9.140625" style="67"/>
    <col min="4864" max="4864" width="81" style="67" customWidth="1"/>
    <col min="4865" max="4865" width="13.85546875" style="67" bestFit="1" customWidth="1"/>
    <col min="4866" max="4867" width="13.140625" style="67" bestFit="1" customWidth="1"/>
    <col min="4868" max="4868" width="11.5703125" style="67" bestFit="1" customWidth="1"/>
    <col min="4869" max="4869" width="12.28515625" style="67" bestFit="1" customWidth="1"/>
    <col min="4870" max="4870" width="14.5703125" style="67" bestFit="1" customWidth="1"/>
    <col min="4871" max="4871" width="12.28515625" style="67" bestFit="1" customWidth="1"/>
    <col min="4872" max="4872" width="12.5703125" style="67" bestFit="1" customWidth="1"/>
    <col min="4873" max="4873" width="12.28515625" style="67" bestFit="1" customWidth="1"/>
    <col min="4874" max="4875" width="15.28515625" style="67" bestFit="1" customWidth="1"/>
    <col min="4876" max="4876" width="16.28515625" style="67" bestFit="1" customWidth="1"/>
    <col min="4877" max="5119" width="9.140625" style="67"/>
    <col min="5120" max="5120" width="81" style="67" customWidth="1"/>
    <col min="5121" max="5121" width="13.85546875" style="67" bestFit="1" customWidth="1"/>
    <col min="5122" max="5123" width="13.140625" style="67" bestFit="1" customWidth="1"/>
    <col min="5124" max="5124" width="11.5703125" style="67" bestFit="1" customWidth="1"/>
    <col min="5125" max="5125" width="12.28515625" style="67" bestFit="1" customWidth="1"/>
    <col min="5126" max="5126" width="14.5703125" style="67" bestFit="1" customWidth="1"/>
    <col min="5127" max="5127" width="12.28515625" style="67" bestFit="1" customWidth="1"/>
    <col min="5128" max="5128" width="12.5703125" style="67" bestFit="1" customWidth="1"/>
    <col min="5129" max="5129" width="12.28515625" style="67" bestFit="1" customWidth="1"/>
    <col min="5130" max="5131" width="15.28515625" style="67" bestFit="1" customWidth="1"/>
    <col min="5132" max="5132" width="16.28515625" style="67" bestFit="1" customWidth="1"/>
    <col min="5133" max="5375" width="9.140625" style="67"/>
    <col min="5376" max="5376" width="81" style="67" customWidth="1"/>
    <col min="5377" max="5377" width="13.85546875" style="67" bestFit="1" customWidth="1"/>
    <col min="5378" max="5379" width="13.140625" style="67" bestFit="1" customWidth="1"/>
    <col min="5380" max="5380" width="11.5703125" style="67" bestFit="1" customWidth="1"/>
    <col min="5381" max="5381" width="12.28515625" style="67" bestFit="1" customWidth="1"/>
    <col min="5382" max="5382" width="14.5703125" style="67" bestFit="1" customWidth="1"/>
    <col min="5383" max="5383" width="12.28515625" style="67" bestFit="1" customWidth="1"/>
    <col min="5384" max="5384" width="12.5703125" style="67" bestFit="1" customWidth="1"/>
    <col min="5385" max="5385" width="12.28515625" style="67" bestFit="1" customWidth="1"/>
    <col min="5386" max="5387" width="15.28515625" style="67" bestFit="1" customWidth="1"/>
    <col min="5388" max="5388" width="16.28515625" style="67" bestFit="1" customWidth="1"/>
    <col min="5389" max="5631" width="9.140625" style="67"/>
    <col min="5632" max="5632" width="81" style="67" customWidth="1"/>
    <col min="5633" max="5633" width="13.85546875" style="67" bestFit="1" customWidth="1"/>
    <col min="5634" max="5635" width="13.140625" style="67" bestFit="1" customWidth="1"/>
    <col min="5636" max="5636" width="11.5703125" style="67" bestFit="1" customWidth="1"/>
    <col min="5637" max="5637" width="12.28515625" style="67" bestFit="1" customWidth="1"/>
    <col min="5638" max="5638" width="14.5703125" style="67" bestFit="1" customWidth="1"/>
    <col min="5639" max="5639" width="12.28515625" style="67" bestFit="1" customWidth="1"/>
    <col min="5640" max="5640" width="12.5703125" style="67" bestFit="1" customWidth="1"/>
    <col min="5641" max="5641" width="12.28515625" style="67" bestFit="1" customWidth="1"/>
    <col min="5642" max="5643" width="15.28515625" style="67" bestFit="1" customWidth="1"/>
    <col min="5644" max="5644" width="16.28515625" style="67" bestFit="1" customWidth="1"/>
    <col min="5645" max="5887" width="9.140625" style="67"/>
    <col min="5888" max="5888" width="81" style="67" customWidth="1"/>
    <col min="5889" max="5889" width="13.85546875" style="67" bestFit="1" customWidth="1"/>
    <col min="5890" max="5891" width="13.140625" style="67" bestFit="1" customWidth="1"/>
    <col min="5892" max="5892" width="11.5703125" style="67" bestFit="1" customWidth="1"/>
    <col min="5893" max="5893" width="12.28515625" style="67" bestFit="1" customWidth="1"/>
    <col min="5894" max="5894" width="14.5703125" style="67" bestFit="1" customWidth="1"/>
    <col min="5895" max="5895" width="12.28515625" style="67" bestFit="1" customWidth="1"/>
    <col min="5896" max="5896" width="12.5703125" style="67" bestFit="1" customWidth="1"/>
    <col min="5897" max="5897" width="12.28515625" style="67" bestFit="1" customWidth="1"/>
    <col min="5898" max="5899" width="15.28515625" style="67" bestFit="1" customWidth="1"/>
    <col min="5900" max="5900" width="16.28515625" style="67" bestFit="1" customWidth="1"/>
    <col min="5901" max="6143" width="9.140625" style="67"/>
    <col min="6144" max="6144" width="81" style="67" customWidth="1"/>
    <col min="6145" max="6145" width="13.85546875" style="67" bestFit="1" customWidth="1"/>
    <col min="6146" max="6147" width="13.140625" style="67" bestFit="1" customWidth="1"/>
    <col min="6148" max="6148" width="11.5703125" style="67" bestFit="1" customWidth="1"/>
    <col min="6149" max="6149" width="12.28515625" style="67" bestFit="1" customWidth="1"/>
    <col min="6150" max="6150" width="14.5703125" style="67" bestFit="1" customWidth="1"/>
    <col min="6151" max="6151" width="12.28515625" style="67" bestFit="1" customWidth="1"/>
    <col min="6152" max="6152" width="12.5703125" style="67" bestFit="1" customWidth="1"/>
    <col min="6153" max="6153" width="12.28515625" style="67" bestFit="1" customWidth="1"/>
    <col min="6154" max="6155" width="15.28515625" style="67" bestFit="1" customWidth="1"/>
    <col min="6156" max="6156" width="16.28515625" style="67" bestFit="1" customWidth="1"/>
    <col min="6157" max="6399" width="9.140625" style="67"/>
    <col min="6400" max="6400" width="81" style="67" customWidth="1"/>
    <col min="6401" max="6401" width="13.85546875" style="67" bestFit="1" customWidth="1"/>
    <col min="6402" max="6403" width="13.140625" style="67" bestFit="1" customWidth="1"/>
    <col min="6404" max="6404" width="11.5703125" style="67" bestFit="1" customWidth="1"/>
    <col min="6405" max="6405" width="12.28515625" style="67" bestFit="1" customWidth="1"/>
    <col min="6406" max="6406" width="14.5703125" style="67" bestFit="1" customWidth="1"/>
    <col min="6407" max="6407" width="12.28515625" style="67" bestFit="1" customWidth="1"/>
    <col min="6408" max="6408" width="12.5703125" style="67" bestFit="1" customWidth="1"/>
    <col min="6409" max="6409" width="12.28515625" style="67" bestFit="1" customWidth="1"/>
    <col min="6410" max="6411" width="15.28515625" style="67" bestFit="1" customWidth="1"/>
    <col min="6412" max="6412" width="16.28515625" style="67" bestFit="1" customWidth="1"/>
    <col min="6413" max="6655" width="9.140625" style="67"/>
    <col min="6656" max="6656" width="81" style="67" customWidth="1"/>
    <col min="6657" max="6657" width="13.85546875" style="67" bestFit="1" customWidth="1"/>
    <col min="6658" max="6659" width="13.140625" style="67" bestFit="1" customWidth="1"/>
    <col min="6660" max="6660" width="11.5703125" style="67" bestFit="1" customWidth="1"/>
    <col min="6661" max="6661" width="12.28515625" style="67" bestFit="1" customWidth="1"/>
    <col min="6662" max="6662" width="14.5703125" style="67" bestFit="1" customWidth="1"/>
    <col min="6663" max="6663" width="12.28515625" style="67" bestFit="1" customWidth="1"/>
    <col min="6664" max="6664" width="12.5703125" style="67" bestFit="1" customWidth="1"/>
    <col min="6665" max="6665" width="12.28515625" style="67" bestFit="1" customWidth="1"/>
    <col min="6666" max="6667" width="15.28515625" style="67" bestFit="1" customWidth="1"/>
    <col min="6668" max="6668" width="16.28515625" style="67" bestFit="1" customWidth="1"/>
    <col min="6669" max="6911" width="9.140625" style="67"/>
    <col min="6912" max="6912" width="81" style="67" customWidth="1"/>
    <col min="6913" max="6913" width="13.85546875" style="67" bestFit="1" customWidth="1"/>
    <col min="6914" max="6915" width="13.140625" style="67" bestFit="1" customWidth="1"/>
    <col min="6916" max="6916" width="11.5703125" style="67" bestFit="1" customWidth="1"/>
    <col min="6917" max="6917" width="12.28515625" style="67" bestFit="1" customWidth="1"/>
    <col min="6918" max="6918" width="14.5703125" style="67" bestFit="1" customWidth="1"/>
    <col min="6919" max="6919" width="12.28515625" style="67" bestFit="1" customWidth="1"/>
    <col min="6920" max="6920" width="12.5703125" style="67" bestFit="1" customWidth="1"/>
    <col min="6921" max="6921" width="12.28515625" style="67" bestFit="1" customWidth="1"/>
    <col min="6922" max="6923" width="15.28515625" style="67" bestFit="1" customWidth="1"/>
    <col min="6924" max="6924" width="16.28515625" style="67" bestFit="1" customWidth="1"/>
    <col min="6925" max="7167" width="9.140625" style="67"/>
    <col min="7168" max="7168" width="81" style="67" customWidth="1"/>
    <col min="7169" max="7169" width="13.85546875" style="67" bestFit="1" customWidth="1"/>
    <col min="7170" max="7171" width="13.140625" style="67" bestFit="1" customWidth="1"/>
    <col min="7172" max="7172" width="11.5703125" style="67" bestFit="1" customWidth="1"/>
    <col min="7173" max="7173" width="12.28515625" style="67" bestFit="1" customWidth="1"/>
    <col min="7174" max="7174" width="14.5703125" style="67" bestFit="1" customWidth="1"/>
    <col min="7175" max="7175" width="12.28515625" style="67" bestFit="1" customWidth="1"/>
    <col min="7176" max="7176" width="12.5703125" style="67" bestFit="1" customWidth="1"/>
    <col min="7177" max="7177" width="12.28515625" style="67" bestFit="1" customWidth="1"/>
    <col min="7178" max="7179" width="15.28515625" style="67" bestFit="1" customWidth="1"/>
    <col min="7180" max="7180" width="16.28515625" style="67" bestFit="1" customWidth="1"/>
    <col min="7181" max="7423" width="9.140625" style="67"/>
    <col min="7424" max="7424" width="81" style="67" customWidth="1"/>
    <col min="7425" max="7425" width="13.85546875" style="67" bestFit="1" customWidth="1"/>
    <col min="7426" max="7427" width="13.140625" style="67" bestFit="1" customWidth="1"/>
    <col min="7428" max="7428" width="11.5703125" style="67" bestFit="1" customWidth="1"/>
    <col min="7429" max="7429" width="12.28515625" style="67" bestFit="1" customWidth="1"/>
    <col min="7430" max="7430" width="14.5703125" style="67" bestFit="1" customWidth="1"/>
    <col min="7431" max="7431" width="12.28515625" style="67" bestFit="1" customWidth="1"/>
    <col min="7432" max="7432" width="12.5703125" style="67" bestFit="1" customWidth="1"/>
    <col min="7433" max="7433" width="12.28515625" style="67" bestFit="1" customWidth="1"/>
    <col min="7434" max="7435" width="15.28515625" style="67" bestFit="1" customWidth="1"/>
    <col min="7436" max="7436" width="16.28515625" style="67" bestFit="1" customWidth="1"/>
    <col min="7437" max="7679" width="9.140625" style="67"/>
    <col min="7680" max="7680" width="81" style="67" customWidth="1"/>
    <col min="7681" max="7681" width="13.85546875" style="67" bestFit="1" customWidth="1"/>
    <col min="7682" max="7683" width="13.140625" style="67" bestFit="1" customWidth="1"/>
    <col min="7684" max="7684" width="11.5703125" style="67" bestFit="1" customWidth="1"/>
    <col min="7685" max="7685" width="12.28515625" style="67" bestFit="1" customWidth="1"/>
    <col min="7686" max="7686" width="14.5703125" style="67" bestFit="1" customWidth="1"/>
    <col min="7687" max="7687" width="12.28515625" style="67" bestFit="1" customWidth="1"/>
    <col min="7688" max="7688" width="12.5703125" style="67" bestFit="1" customWidth="1"/>
    <col min="7689" max="7689" width="12.28515625" style="67" bestFit="1" customWidth="1"/>
    <col min="7690" max="7691" width="15.28515625" style="67" bestFit="1" customWidth="1"/>
    <col min="7692" max="7692" width="16.28515625" style="67" bestFit="1" customWidth="1"/>
    <col min="7693" max="7935" width="9.140625" style="67"/>
    <col min="7936" max="7936" width="81" style="67" customWidth="1"/>
    <col min="7937" max="7937" width="13.85546875" style="67" bestFit="1" customWidth="1"/>
    <col min="7938" max="7939" width="13.140625" style="67" bestFit="1" customWidth="1"/>
    <col min="7940" max="7940" width="11.5703125" style="67" bestFit="1" customWidth="1"/>
    <col min="7941" max="7941" width="12.28515625" style="67" bestFit="1" customWidth="1"/>
    <col min="7942" max="7942" width="14.5703125" style="67" bestFit="1" customWidth="1"/>
    <col min="7943" max="7943" width="12.28515625" style="67" bestFit="1" customWidth="1"/>
    <col min="7944" max="7944" width="12.5703125" style="67" bestFit="1" customWidth="1"/>
    <col min="7945" max="7945" width="12.28515625" style="67" bestFit="1" customWidth="1"/>
    <col min="7946" max="7947" width="15.28515625" style="67" bestFit="1" customWidth="1"/>
    <col min="7948" max="7948" width="16.28515625" style="67" bestFit="1" customWidth="1"/>
    <col min="7949" max="8191" width="9.140625" style="67"/>
    <col min="8192" max="8192" width="81" style="67" customWidth="1"/>
    <col min="8193" max="8193" width="13.85546875" style="67" bestFit="1" customWidth="1"/>
    <col min="8194" max="8195" width="13.140625" style="67" bestFit="1" customWidth="1"/>
    <col min="8196" max="8196" width="11.5703125" style="67" bestFit="1" customWidth="1"/>
    <col min="8197" max="8197" width="12.28515625" style="67" bestFit="1" customWidth="1"/>
    <col min="8198" max="8198" width="14.5703125" style="67" bestFit="1" customWidth="1"/>
    <col min="8199" max="8199" width="12.28515625" style="67" bestFit="1" customWidth="1"/>
    <col min="8200" max="8200" width="12.5703125" style="67" bestFit="1" customWidth="1"/>
    <col min="8201" max="8201" width="12.28515625" style="67" bestFit="1" customWidth="1"/>
    <col min="8202" max="8203" width="15.28515625" style="67" bestFit="1" customWidth="1"/>
    <col min="8204" max="8204" width="16.28515625" style="67" bestFit="1" customWidth="1"/>
    <col min="8205" max="8447" width="9.140625" style="67"/>
    <col min="8448" max="8448" width="81" style="67" customWidth="1"/>
    <col min="8449" max="8449" width="13.85546875" style="67" bestFit="1" customWidth="1"/>
    <col min="8450" max="8451" width="13.140625" style="67" bestFit="1" customWidth="1"/>
    <col min="8452" max="8452" width="11.5703125" style="67" bestFit="1" customWidth="1"/>
    <col min="8453" max="8453" width="12.28515625" style="67" bestFit="1" customWidth="1"/>
    <col min="8454" max="8454" width="14.5703125" style="67" bestFit="1" customWidth="1"/>
    <col min="8455" max="8455" width="12.28515625" style="67" bestFit="1" customWidth="1"/>
    <col min="8456" max="8456" width="12.5703125" style="67" bestFit="1" customWidth="1"/>
    <col min="8457" max="8457" width="12.28515625" style="67" bestFit="1" customWidth="1"/>
    <col min="8458" max="8459" width="15.28515625" style="67" bestFit="1" customWidth="1"/>
    <col min="8460" max="8460" width="16.28515625" style="67" bestFit="1" customWidth="1"/>
    <col min="8461" max="8703" width="9.140625" style="67"/>
    <col min="8704" max="8704" width="81" style="67" customWidth="1"/>
    <col min="8705" max="8705" width="13.85546875" style="67" bestFit="1" customWidth="1"/>
    <col min="8706" max="8707" width="13.140625" style="67" bestFit="1" customWidth="1"/>
    <col min="8708" max="8708" width="11.5703125" style="67" bestFit="1" customWidth="1"/>
    <col min="8709" max="8709" width="12.28515625" style="67" bestFit="1" customWidth="1"/>
    <col min="8710" max="8710" width="14.5703125" style="67" bestFit="1" customWidth="1"/>
    <col min="8711" max="8711" width="12.28515625" style="67" bestFit="1" customWidth="1"/>
    <col min="8712" max="8712" width="12.5703125" style="67" bestFit="1" customWidth="1"/>
    <col min="8713" max="8713" width="12.28515625" style="67" bestFit="1" customWidth="1"/>
    <col min="8714" max="8715" width="15.28515625" style="67" bestFit="1" customWidth="1"/>
    <col min="8716" max="8716" width="16.28515625" style="67" bestFit="1" customWidth="1"/>
    <col min="8717" max="8959" width="9.140625" style="67"/>
    <col min="8960" max="8960" width="81" style="67" customWidth="1"/>
    <col min="8961" max="8961" width="13.85546875" style="67" bestFit="1" customWidth="1"/>
    <col min="8962" max="8963" width="13.140625" style="67" bestFit="1" customWidth="1"/>
    <col min="8964" max="8964" width="11.5703125" style="67" bestFit="1" customWidth="1"/>
    <col min="8965" max="8965" width="12.28515625" style="67" bestFit="1" customWidth="1"/>
    <col min="8966" max="8966" width="14.5703125" style="67" bestFit="1" customWidth="1"/>
    <col min="8967" max="8967" width="12.28515625" style="67" bestFit="1" customWidth="1"/>
    <col min="8968" max="8968" width="12.5703125" style="67" bestFit="1" customWidth="1"/>
    <col min="8969" max="8969" width="12.28515625" style="67" bestFit="1" customWidth="1"/>
    <col min="8970" max="8971" width="15.28515625" style="67" bestFit="1" customWidth="1"/>
    <col min="8972" max="8972" width="16.28515625" style="67" bestFit="1" customWidth="1"/>
    <col min="8973" max="9215" width="9.140625" style="67"/>
    <col min="9216" max="9216" width="81" style="67" customWidth="1"/>
    <col min="9217" max="9217" width="13.85546875" style="67" bestFit="1" customWidth="1"/>
    <col min="9218" max="9219" width="13.140625" style="67" bestFit="1" customWidth="1"/>
    <col min="9220" max="9220" width="11.5703125" style="67" bestFit="1" customWidth="1"/>
    <col min="9221" max="9221" width="12.28515625" style="67" bestFit="1" customWidth="1"/>
    <col min="9222" max="9222" width="14.5703125" style="67" bestFit="1" customWidth="1"/>
    <col min="9223" max="9223" width="12.28515625" style="67" bestFit="1" customWidth="1"/>
    <col min="9224" max="9224" width="12.5703125" style="67" bestFit="1" customWidth="1"/>
    <col min="9225" max="9225" width="12.28515625" style="67" bestFit="1" customWidth="1"/>
    <col min="9226" max="9227" width="15.28515625" style="67" bestFit="1" customWidth="1"/>
    <col min="9228" max="9228" width="16.28515625" style="67" bestFit="1" customWidth="1"/>
    <col min="9229" max="9471" width="9.140625" style="67"/>
    <col min="9472" max="9472" width="81" style="67" customWidth="1"/>
    <col min="9473" max="9473" width="13.85546875" style="67" bestFit="1" customWidth="1"/>
    <col min="9474" max="9475" width="13.140625" style="67" bestFit="1" customWidth="1"/>
    <col min="9476" max="9476" width="11.5703125" style="67" bestFit="1" customWidth="1"/>
    <col min="9477" max="9477" width="12.28515625" style="67" bestFit="1" customWidth="1"/>
    <col min="9478" max="9478" width="14.5703125" style="67" bestFit="1" customWidth="1"/>
    <col min="9479" max="9479" width="12.28515625" style="67" bestFit="1" customWidth="1"/>
    <col min="9480" max="9480" width="12.5703125" style="67" bestFit="1" customWidth="1"/>
    <col min="9481" max="9481" width="12.28515625" style="67" bestFit="1" customWidth="1"/>
    <col min="9482" max="9483" width="15.28515625" style="67" bestFit="1" customWidth="1"/>
    <col min="9484" max="9484" width="16.28515625" style="67" bestFit="1" customWidth="1"/>
    <col min="9485" max="9727" width="9.140625" style="67"/>
    <col min="9728" max="9728" width="81" style="67" customWidth="1"/>
    <col min="9729" max="9729" width="13.85546875" style="67" bestFit="1" customWidth="1"/>
    <col min="9730" max="9731" width="13.140625" style="67" bestFit="1" customWidth="1"/>
    <col min="9732" max="9732" width="11.5703125" style="67" bestFit="1" customWidth="1"/>
    <col min="9733" max="9733" width="12.28515625" style="67" bestFit="1" customWidth="1"/>
    <col min="9734" max="9734" width="14.5703125" style="67" bestFit="1" customWidth="1"/>
    <col min="9735" max="9735" width="12.28515625" style="67" bestFit="1" customWidth="1"/>
    <col min="9736" max="9736" width="12.5703125" style="67" bestFit="1" customWidth="1"/>
    <col min="9737" max="9737" width="12.28515625" style="67" bestFit="1" customWidth="1"/>
    <col min="9738" max="9739" width="15.28515625" style="67" bestFit="1" customWidth="1"/>
    <col min="9740" max="9740" width="16.28515625" style="67" bestFit="1" customWidth="1"/>
    <col min="9741" max="9983" width="9.140625" style="67"/>
    <col min="9984" max="9984" width="81" style="67" customWidth="1"/>
    <col min="9985" max="9985" width="13.85546875" style="67" bestFit="1" customWidth="1"/>
    <col min="9986" max="9987" width="13.140625" style="67" bestFit="1" customWidth="1"/>
    <col min="9988" max="9988" width="11.5703125" style="67" bestFit="1" customWidth="1"/>
    <col min="9989" max="9989" width="12.28515625" style="67" bestFit="1" customWidth="1"/>
    <col min="9990" max="9990" width="14.5703125" style="67" bestFit="1" customWidth="1"/>
    <col min="9991" max="9991" width="12.28515625" style="67" bestFit="1" customWidth="1"/>
    <col min="9992" max="9992" width="12.5703125" style="67" bestFit="1" customWidth="1"/>
    <col min="9993" max="9993" width="12.28515625" style="67" bestFit="1" customWidth="1"/>
    <col min="9994" max="9995" width="15.28515625" style="67" bestFit="1" customWidth="1"/>
    <col min="9996" max="9996" width="16.28515625" style="67" bestFit="1" customWidth="1"/>
    <col min="9997" max="10239" width="9.140625" style="67"/>
    <col min="10240" max="10240" width="81" style="67" customWidth="1"/>
    <col min="10241" max="10241" width="13.85546875" style="67" bestFit="1" customWidth="1"/>
    <col min="10242" max="10243" width="13.140625" style="67" bestFit="1" customWidth="1"/>
    <col min="10244" max="10244" width="11.5703125" style="67" bestFit="1" customWidth="1"/>
    <col min="10245" max="10245" width="12.28515625" style="67" bestFit="1" customWidth="1"/>
    <col min="10246" max="10246" width="14.5703125" style="67" bestFit="1" customWidth="1"/>
    <col min="10247" max="10247" width="12.28515625" style="67" bestFit="1" customWidth="1"/>
    <col min="10248" max="10248" width="12.5703125" style="67" bestFit="1" customWidth="1"/>
    <col min="10249" max="10249" width="12.28515625" style="67" bestFit="1" customWidth="1"/>
    <col min="10250" max="10251" width="15.28515625" style="67" bestFit="1" customWidth="1"/>
    <col min="10252" max="10252" width="16.28515625" style="67" bestFit="1" customWidth="1"/>
    <col min="10253" max="10495" width="9.140625" style="67"/>
    <col min="10496" max="10496" width="81" style="67" customWidth="1"/>
    <col min="10497" max="10497" width="13.85546875" style="67" bestFit="1" customWidth="1"/>
    <col min="10498" max="10499" width="13.140625" style="67" bestFit="1" customWidth="1"/>
    <col min="10500" max="10500" width="11.5703125" style="67" bestFit="1" customWidth="1"/>
    <col min="10501" max="10501" width="12.28515625" style="67" bestFit="1" customWidth="1"/>
    <col min="10502" max="10502" width="14.5703125" style="67" bestFit="1" customWidth="1"/>
    <col min="10503" max="10503" width="12.28515625" style="67" bestFit="1" customWidth="1"/>
    <col min="10504" max="10504" width="12.5703125" style="67" bestFit="1" customWidth="1"/>
    <col min="10505" max="10505" width="12.28515625" style="67" bestFit="1" customWidth="1"/>
    <col min="10506" max="10507" width="15.28515625" style="67" bestFit="1" customWidth="1"/>
    <col min="10508" max="10508" width="16.28515625" style="67" bestFit="1" customWidth="1"/>
    <col min="10509" max="10751" width="9.140625" style="67"/>
    <col min="10752" max="10752" width="81" style="67" customWidth="1"/>
    <col min="10753" max="10753" width="13.85546875" style="67" bestFit="1" customWidth="1"/>
    <col min="10754" max="10755" width="13.140625" style="67" bestFit="1" customWidth="1"/>
    <col min="10756" max="10756" width="11.5703125" style="67" bestFit="1" customWidth="1"/>
    <col min="10757" max="10757" width="12.28515625" style="67" bestFit="1" customWidth="1"/>
    <col min="10758" max="10758" width="14.5703125" style="67" bestFit="1" customWidth="1"/>
    <col min="10759" max="10759" width="12.28515625" style="67" bestFit="1" customWidth="1"/>
    <col min="10760" max="10760" width="12.5703125" style="67" bestFit="1" customWidth="1"/>
    <col min="10761" max="10761" width="12.28515625" style="67" bestFit="1" customWidth="1"/>
    <col min="10762" max="10763" width="15.28515625" style="67" bestFit="1" customWidth="1"/>
    <col min="10764" max="10764" width="16.28515625" style="67" bestFit="1" customWidth="1"/>
    <col min="10765" max="11007" width="9.140625" style="67"/>
    <col min="11008" max="11008" width="81" style="67" customWidth="1"/>
    <col min="11009" max="11009" width="13.85546875" style="67" bestFit="1" customWidth="1"/>
    <col min="11010" max="11011" width="13.140625" style="67" bestFit="1" customWidth="1"/>
    <col min="11012" max="11012" width="11.5703125" style="67" bestFit="1" customWidth="1"/>
    <col min="11013" max="11013" width="12.28515625" style="67" bestFit="1" customWidth="1"/>
    <col min="11014" max="11014" width="14.5703125" style="67" bestFit="1" customWidth="1"/>
    <col min="11015" max="11015" width="12.28515625" style="67" bestFit="1" customWidth="1"/>
    <col min="11016" max="11016" width="12.5703125" style="67" bestFit="1" customWidth="1"/>
    <col min="11017" max="11017" width="12.28515625" style="67" bestFit="1" customWidth="1"/>
    <col min="11018" max="11019" width="15.28515625" style="67" bestFit="1" customWidth="1"/>
    <col min="11020" max="11020" width="16.28515625" style="67" bestFit="1" customWidth="1"/>
    <col min="11021" max="11263" width="9.140625" style="67"/>
    <col min="11264" max="11264" width="81" style="67" customWidth="1"/>
    <col min="11265" max="11265" width="13.85546875" style="67" bestFit="1" customWidth="1"/>
    <col min="11266" max="11267" width="13.140625" style="67" bestFit="1" customWidth="1"/>
    <col min="11268" max="11268" width="11.5703125" style="67" bestFit="1" customWidth="1"/>
    <col min="11269" max="11269" width="12.28515625" style="67" bestFit="1" customWidth="1"/>
    <col min="11270" max="11270" width="14.5703125" style="67" bestFit="1" customWidth="1"/>
    <col min="11271" max="11271" width="12.28515625" style="67" bestFit="1" customWidth="1"/>
    <col min="11272" max="11272" width="12.5703125" style="67" bestFit="1" customWidth="1"/>
    <col min="11273" max="11273" width="12.28515625" style="67" bestFit="1" customWidth="1"/>
    <col min="11274" max="11275" width="15.28515625" style="67" bestFit="1" customWidth="1"/>
    <col min="11276" max="11276" width="16.28515625" style="67" bestFit="1" customWidth="1"/>
    <col min="11277" max="11519" width="9.140625" style="67"/>
    <col min="11520" max="11520" width="81" style="67" customWidth="1"/>
    <col min="11521" max="11521" width="13.85546875" style="67" bestFit="1" customWidth="1"/>
    <col min="11522" max="11523" width="13.140625" style="67" bestFit="1" customWidth="1"/>
    <col min="11524" max="11524" width="11.5703125" style="67" bestFit="1" customWidth="1"/>
    <col min="11525" max="11525" width="12.28515625" style="67" bestFit="1" customWidth="1"/>
    <col min="11526" max="11526" width="14.5703125" style="67" bestFit="1" customWidth="1"/>
    <col min="11527" max="11527" width="12.28515625" style="67" bestFit="1" customWidth="1"/>
    <col min="11528" max="11528" width="12.5703125" style="67" bestFit="1" customWidth="1"/>
    <col min="11529" max="11529" width="12.28515625" style="67" bestFit="1" customWidth="1"/>
    <col min="11530" max="11531" width="15.28515625" style="67" bestFit="1" customWidth="1"/>
    <col min="11532" max="11532" width="16.28515625" style="67" bestFit="1" customWidth="1"/>
    <col min="11533" max="11775" width="9.140625" style="67"/>
    <col min="11776" max="11776" width="81" style="67" customWidth="1"/>
    <col min="11777" max="11777" width="13.85546875" style="67" bestFit="1" customWidth="1"/>
    <col min="11778" max="11779" width="13.140625" style="67" bestFit="1" customWidth="1"/>
    <col min="11780" max="11780" width="11.5703125" style="67" bestFit="1" customWidth="1"/>
    <col min="11781" max="11781" width="12.28515625" style="67" bestFit="1" customWidth="1"/>
    <col min="11782" max="11782" width="14.5703125" style="67" bestFit="1" customWidth="1"/>
    <col min="11783" max="11783" width="12.28515625" style="67" bestFit="1" customWidth="1"/>
    <col min="11784" max="11784" width="12.5703125" style="67" bestFit="1" customWidth="1"/>
    <col min="11785" max="11785" width="12.28515625" style="67" bestFit="1" customWidth="1"/>
    <col min="11786" max="11787" width="15.28515625" style="67" bestFit="1" customWidth="1"/>
    <col min="11788" max="11788" width="16.28515625" style="67" bestFit="1" customWidth="1"/>
    <col min="11789" max="12031" width="9.140625" style="67"/>
    <col min="12032" max="12032" width="81" style="67" customWidth="1"/>
    <col min="12033" max="12033" width="13.85546875" style="67" bestFit="1" customWidth="1"/>
    <col min="12034" max="12035" width="13.140625" style="67" bestFit="1" customWidth="1"/>
    <col min="12036" max="12036" width="11.5703125" style="67" bestFit="1" customWidth="1"/>
    <col min="12037" max="12037" width="12.28515625" style="67" bestFit="1" customWidth="1"/>
    <col min="12038" max="12038" width="14.5703125" style="67" bestFit="1" customWidth="1"/>
    <col min="12039" max="12039" width="12.28515625" style="67" bestFit="1" customWidth="1"/>
    <col min="12040" max="12040" width="12.5703125" style="67" bestFit="1" customWidth="1"/>
    <col min="12041" max="12041" width="12.28515625" style="67" bestFit="1" customWidth="1"/>
    <col min="12042" max="12043" width="15.28515625" style="67" bestFit="1" customWidth="1"/>
    <col min="12044" max="12044" width="16.28515625" style="67" bestFit="1" customWidth="1"/>
    <col min="12045" max="12287" width="9.140625" style="67"/>
    <col min="12288" max="12288" width="81" style="67" customWidth="1"/>
    <col min="12289" max="12289" width="13.85546875" style="67" bestFit="1" customWidth="1"/>
    <col min="12290" max="12291" width="13.140625" style="67" bestFit="1" customWidth="1"/>
    <col min="12292" max="12292" width="11.5703125" style="67" bestFit="1" customWidth="1"/>
    <col min="12293" max="12293" width="12.28515625" style="67" bestFit="1" customWidth="1"/>
    <col min="12294" max="12294" width="14.5703125" style="67" bestFit="1" customWidth="1"/>
    <col min="12295" max="12295" width="12.28515625" style="67" bestFit="1" customWidth="1"/>
    <col min="12296" max="12296" width="12.5703125" style="67" bestFit="1" customWidth="1"/>
    <col min="12297" max="12297" width="12.28515625" style="67" bestFit="1" customWidth="1"/>
    <col min="12298" max="12299" width="15.28515625" style="67" bestFit="1" customWidth="1"/>
    <col min="12300" max="12300" width="16.28515625" style="67" bestFit="1" customWidth="1"/>
    <col min="12301" max="12543" width="9.140625" style="67"/>
    <col min="12544" max="12544" width="81" style="67" customWidth="1"/>
    <col min="12545" max="12545" width="13.85546875" style="67" bestFit="1" customWidth="1"/>
    <col min="12546" max="12547" width="13.140625" style="67" bestFit="1" customWidth="1"/>
    <col min="12548" max="12548" width="11.5703125" style="67" bestFit="1" customWidth="1"/>
    <col min="12549" max="12549" width="12.28515625" style="67" bestFit="1" customWidth="1"/>
    <col min="12550" max="12550" width="14.5703125" style="67" bestFit="1" customWidth="1"/>
    <col min="12551" max="12551" width="12.28515625" style="67" bestFit="1" customWidth="1"/>
    <col min="12552" max="12552" width="12.5703125" style="67" bestFit="1" customWidth="1"/>
    <col min="12553" max="12553" width="12.28515625" style="67" bestFit="1" customWidth="1"/>
    <col min="12554" max="12555" width="15.28515625" style="67" bestFit="1" customWidth="1"/>
    <col min="12556" max="12556" width="16.28515625" style="67" bestFit="1" customWidth="1"/>
    <col min="12557" max="12799" width="9.140625" style="67"/>
    <col min="12800" max="12800" width="81" style="67" customWidth="1"/>
    <col min="12801" max="12801" width="13.85546875" style="67" bestFit="1" customWidth="1"/>
    <col min="12802" max="12803" width="13.140625" style="67" bestFit="1" customWidth="1"/>
    <col min="12804" max="12804" width="11.5703125" style="67" bestFit="1" customWidth="1"/>
    <col min="12805" max="12805" width="12.28515625" style="67" bestFit="1" customWidth="1"/>
    <col min="12806" max="12806" width="14.5703125" style="67" bestFit="1" customWidth="1"/>
    <col min="12807" max="12807" width="12.28515625" style="67" bestFit="1" customWidth="1"/>
    <col min="12808" max="12808" width="12.5703125" style="67" bestFit="1" customWidth="1"/>
    <col min="12809" max="12809" width="12.28515625" style="67" bestFit="1" customWidth="1"/>
    <col min="12810" max="12811" width="15.28515625" style="67" bestFit="1" customWidth="1"/>
    <col min="12812" max="12812" width="16.28515625" style="67" bestFit="1" customWidth="1"/>
    <col min="12813" max="13055" width="9.140625" style="67"/>
    <col min="13056" max="13056" width="81" style="67" customWidth="1"/>
    <col min="13057" max="13057" width="13.85546875" style="67" bestFit="1" customWidth="1"/>
    <col min="13058" max="13059" width="13.140625" style="67" bestFit="1" customWidth="1"/>
    <col min="13060" max="13060" width="11.5703125" style="67" bestFit="1" customWidth="1"/>
    <col min="13061" max="13061" width="12.28515625" style="67" bestFit="1" customWidth="1"/>
    <col min="13062" max="13062" width="14.5703125" style="67" bestFit="1" customWidth="1"/>
    <col min="13063" max="13063" width="12.28515625" style="67" bestFit="1" customWidth="1"/>
    <col min="13064" max="13064" width="12.5703125" style="67" bestFit="1" customWidth="1"/>
    <col min="13065" max="13065" width="12.28515625" style="67" bestFit="1" customWidth="1"/>
    <col min="13066" max="13067" width="15.28515625" style="67" bestFit="1" customWidth="1"/>
    <col min="13068" max="13068" width="16.28515625" style="67" bestFit="1" customWidth="1"/>
    <col min="13069" max="13311" width="9.140625" style="67"/>
    <col min="13312" max="13312" width="81" style="67" customWidth="1"/>
    <col min="13313" max="13313" width="13.85546875" style="67" bestFit="1" customWidth="1"/>
    <col min="13314" max="13315" width="13.140625" style="67" bestFit="1" customWidth="1"/>
    <col min="13316" max="13316" width="11.5703125" style="67" bestFit="1" customWidth="1"/>
    <col min="13317" max="13317" width="12.28515625" style="67" bestFit="1" customWidth="1"/>
    <col min="13318" max="13318" width="14.5703125" style="67" bestFit="1" customWidth="1"/>
    <col min="13319" max="13319" width="12.28515625" style="67" bestFit="1" customWidth="1"/>
    <col min="13320" max="13320" width="12.5703125" style="67" bestFit="1" customWidth="1"/>
    <col min="13321" max="13321" width="12.28515625" style="67" bestFit="1" customWidth="1"/>
    <col min="13322" max="13323" width="15.28515625" style="67" bestFit="1" customWidth="1"/>
    <col min="13324" max="13324" width="16.28515625" style="67" bestFit="1" customWidth="1"/>
    <col min="13325" max="13567" width="9.140625" style="67"/>
    <col min="13568" max="13568" width="81" style="67" customWidth="1"/>
    <col min="13569" max="13569" width="13.85546875" style="67" bestFit="1" customWidth="1"/>
    <col min="13570" max="13571" width="13.140625" style="67" bestFit="1" customWidth="1"/>
    <col min="13572" max="13572" width="11.5703125" style="67" bestFit="1" customWidth="1"/>
    <col min="13573" max="13573" width="12.28515625" style="67" bestFit="1" customWidth="1"/>
    <col min="13574" max="13574" width="14.5703125" style="67" bestFit="1" customWidth="1"/>
    <col min="13575" max="13575" width="12.28515625" style="67" bestFit="1" customWidth="1"/>
    <col min="13576" max="13576" width="12.5703125" style="67" bestFit="1" customWidth="1"/>
    <col min="13577" max="13577" width="12.28515625" style="67" bestFit="1" customWidth="1"/>
    <col min="13578" max="13579" width="15.28515625" style="67" bestFit="1" customWidth="1"/>
    <col min="13580" max="13580" width="16.28515625" style="67" bestFit="1" customWidth="1"/>
    <col min="13581" max="13823" width="9.140625" style="67"/>
    <col min="13824" max="13824" width="81" style="67" customWidth="1"/>
    <col min="13825" max="13825" width="13.85546875" style="67" bestFit="1" customWidth="1"/>
    <col min="13826" max="13827" width="13.140625" style="67" bestFit="1" customWidth="1"/>
    <col min="13828" max="13828" width="11.5703125" style="67" bestFit="1" customWidth="1"/>
    <col min="13829" max="13829" width="12.28515625" style="67" bestFit="1" customWidth="1"/>
    <col min="13830" max="13830" width="14.5703125" style="67" bestFit="1" customWidth="1"/>
    <col min="13831" max="13831" width="12.28515625" style="67" bestFit="1" customWidth="1"/>
    <col min="13832" max="13832" width="12.5703125" style="67" bestFit="1" customWidth="1"/>
    <col min="13833" max="13833" width="12.28515625" style="67" bestFit="1" customWidth="1"/>
    <col min="13834" max="13835" width="15.28515625" style="67" bestFit="1" customWidth="1"/>
    <col min="13836" max="13836" width="16.28515625" style="67" bestFit="1" customWidth="1"/>
    <col min="13837" max="14079" width="9.140625" style="67"/>
    <col min="14080" max="14080" width="81" style="67" customWidth="1"/>
    <col min="14081" max="14081" width="13.85546875" style="67" bestFit="1" customWidth="1"/>
    <col min="14082" max="14083" width="13.140625" style="67" bestFit="1" customWidth="1"/>
    <col min="14084" max="14084" width="11.5703125" style="67" bestFit="1" customWidth="1"/>
    <col min="14085" max="14085" width="12.28515625" style="67" bestFit="1" customWidth="1"/>
    <col min="14086" max="14086" width="14.5703125" style="67" bestFit="1" customWidth="1"/>
    <col min="14087" max="14087" width="12.28515625" style="67" bestFit="1" customWidth="1"/>
    <col min="14088" max="14088" width="12.5703125" style="67" bestFit="1" customWidth="1"/>
    <col min="14089" max="14089" width="12.28515625" style="67" bestFit="1" customWidth="1"/>
    <col min="14090" max="14091" width="15.28515625" style="67" bestFit="1" customWidth="1"/>
    <col min="14092" max="14092" width="16.28515625" style="67" bestFit="1" customWidth="1"/>
    <col min="14093" max="14335" width="9.140625" style="67"/>
    <col min="14336" max="14336" width="81" style="67" customWidth="1"/>
    <col min="14337" max="14337" width="13.85546875" style="67" bestFit="1" customWidth="1"/>
    <col min="14338" max="14339" width="13.140625" style="67" bestFit="1" customWidth="1"/>
    <col min="14340" max="14340" width="11.5703125" style="67" bestFit="1" customWidth="1"/>
    <col min="14341" max="14341" width="12.28515625" style="67" bestFit="1" customWidth="1"/>
    <col min="14342" max="14342" width="14.5703125" style="67" bestFit="1" customWidth="1"/>
    <col min="14343" max="14343" width="12.28515625" style="67" bestFit="1" customWidth="1"/>
    <col min="14344" max="14344" width="12.5703125" style="67" bestFit="1" customWidth="1"/>
    <col min="14345" max="14345" width="12.28515625" style="67" bestFit="1" customWidth="1"/>
    <col min="14346" max="14347" width="15.28515625" style="67" bestFit="1" customWidth="1"/>
    <col min="14348" max="14348" width="16.28515625" style="67" bestFit="1" customWidth="1"/>
    <col min="14349" max="14591" width="9.140625" style="67"/>
    <col min="14592" max="14592" width="81" style="67" customWidth="1"/>
    <col min="14593" max="14593" width="13.85546875" style="67" bestFit="1" customWidth="1"/>
    <col min="14594" max="14595" width="13.140625" style="67" bestFit="1" customWidth="1"/>
    <col min="14596" max="14596" width="11.5703125" style="67" bestFit="1" customWidth="1"/>
    <col min="14597" max="14597" width="12.28515625" style="67" bestFit="1" customWidth="1"/>
    <col min="14598" max="14598" width="14.5703125" style="67" bestFit="1" customWidth="1"/>
    <col min="14599" max="14599" width="12.28515625" style="67" bestFit="1" customWidth="1"/>
    <col min="14600" max="14600" width="12.5703125" style="67" bestFit="1" customWidth="1"/>
    <col min="14601" max="14601" width="12.28515625" style="67" bestFit="1" customWidth="1"/>
    <col min="14602" max="14603" width="15.28515625" style="67" bestFit="1" customWidth="1"/>
    <col min="14604" max="14604" width="16.28515625" style="67" bestFit="1" customWidth="1"/>
    <col min="14605" max="14847" width="9.140625" style="67"/>
    <col min="14848" max="14848" width="81" style="67" customWidth="1"/>
    <col min="14849" max="14849" width="13.85546875" style="67" bestFit="1" customWidth="1"/>
    <col min="14850" max="14851" width="13.140625" style="67" bestFit="1" customWidth="1"/>
    <col min="14852" max="14852" width="11.5703125" style="67" bestFit="1" customWidth="1"/>
    <col min="14853" max="14853" width="12.28515625" style="67" bestFit="1" customWidth="1"/>
    <col min="14854" max="14854" width="14.5703125" style="67" bestFit="1" customWidth="1"/>
    <col min="14855" max="14855" width="12.28515625" style="67" bestFit="1" customWidth="1"/>
    <col min="14856" max="14856" width="12.5703125" style="67" bestFit="1" customWidth="1"/>
    <col min="14857" max="14857" width="12.28515625" style="67" bestFit="1" customWidth="1"/>
    <col min="14858" max="14859" width="15.28515625" style="67" bestFit="1" customWidth="1"/>
    <col min="14860" max="14860" width="16.28515625" style="67" bestFit="1" customWidth="1"/>
    <col min="14861" max="15103" width="9.140625" style="67"/>
    <col min="15104" max="15104" width="81" style="67" customWidth="1"/>
    <col min="15105" max="15105" width="13.85546875" style="67" bestFit="1" customWidth="1"/>
    <col min="15106" max="15107" width="13.140625" style="67" bestFit="1" customWidth="1"/>
    <col min="15108" max="15108" width="11.5703125" style="67" bestFit="1" customWidth="1"/>
    <col min="15109" max="15109" width="12.28515625" style="67" bestFit="1" customWidth="1"/>
    <col min="15110" max="15110" width="14.5703125" style="67" bestFit="1" customWidth="1"/>
    <col min="15111" max="15111" width="12.28515625" style="67" bestFit="1" customWidth="1"/>
    <col min="15112" max="15112" width="12.5703125" style="67" bestFit="1" customWidth="1"/>
    <col min="15113" max="15113" width="12.28515625" style="67" bestFit="1" customWidth="1"/>
    <col min="15114" max="15115" width="15.28515625" style="67" bestFit="1" customWidth="1"/>
    <col min="15116" max="15116" width="16.28515625" style="67" bestFit="1" customWidth="1"/>
    <col min="15117" max="15359" width="9.140625" style="67"/>
    <col min="15360" max="15360" width="81" style="67" customWidth="1"/>
    <col min="15361" max="15361" width="13.85546875" style="67" bestFit="1" customWidth="1"/>
    <col min="15362" max="15363" width="13.140625" style="67" bestFit="1" customWidth="1"/>
    <col min="15364" max="15364" width="11.5703125" style="67" bestFit="1" customWidth="1"/>
    <col min="15365" max="15365" width="12.28515625" style="67" bestFit="1" customWidth="1"/>
    <col min="15366" max="15366" width="14.5703125" style="67" bestFit="1" customWidth="1"/>
    <col min="15367" max="15367" width="12.28515625" style="67" bestFit="1" customWidth="1"/>
    <col min="15368" max="15368" width="12.5703125" style="67" bestFit="1" customWidth="1"/>
    <col min="15369" max="15369" width="12.28515625" style="67" bestFit="1" customWidth="1"/>
    <col min="15370" max="15371" width="15.28515625" style="67" bestFit="1" customWidth="1"/>
    <col min="15372" max="15372" width="16.28515625" style="67" bestFit="1" customWidth="1"/>
    <col min="15373" max="15615" width="9.140625" style="67"/>
    <col min="15616" max="15616" width="81" style="67" customWidth="1"/>
    <col min="15617" max="15617" width="13.85546875" style="67" bestFit="1" customWidth="1"/>
    <col min="15618" max="15619" width="13.140625" style="67" bestFit="1" customWidth="1"/>
    <col min="15620" max="15620" width="11.5703125" style="67" bestFit="1" customWidth="1"/>
    <col min="15621" max="15621" width="12.28515625" style="67" bestFit="1" customWidth="1"/>
    <col min="15622" max="15622" width="14.5703125" style="67" bestFit="1" customWidth="1"/>
    <col min="15623" max="15623" width="12.28515625" style="67" bestFit="1" customWidth="1"/>
    <col min="15624" max="15624" width="12.5703125" style="67" bestFit="1" customWidth="1"/>
    <col min="15625" max="15625" width="12.28515625" style="67" bestFit="1" customWidth="1"/>
    <col min="15626" max="15627" width="15.28515625" style="67" bestFit="1" customWidth="1"/>
    <col min="15628" max="15628" width="16.28515625" style="67" bestFit="1" customWidth="1"/>
    <col min="15629" max="15871" width="9.140625" style="67"/>
    <col min="15872" max="15872" width="81" style="67" customWidth="1"/>
    <col min="15873" max="15873" width="13.85546875" style="67" bestFit="1" customWidth="1"/>
    <col min="15874" max="15875" width="13.140625" style="67" bestFit="1" customWidth="1"/>
    <col min="15876" max="15876" width="11.5703125" style="67" bestFit="1" customWidth="1"/>
    <col min="15877" max="15877" width="12.28515625" style="67" bestFit="1" customWidth="1"/>
    <col min="15878" max="15878" width="14.5703125" style="67" bestFit="1" customWidth="1"/>
    <col min="15879" max="15879" width="12.28515625" style="67" bestFit="1" customWidth="1"/>
    <col min="15880" max="15880" width="12.5703125" style="67" bestFit="1" customWidth="1"/>
    <col min="15881" max="15881" width="12.28515625" style="67" bestFit="1" customWidth="1"/>
    <col min="15882" max="15883" width="15.28515625" style="67" bestFit="1" customWidth="1"/>
    <col min="15884" max="15884" width="16.28515625" style="67" bestFit="1" customWidth="1"/>
    <col min="15885" max="16127" width="9.140625" style="67"/>
    <col min="16128" max="16128" width="81" style="67" customWidth="1"/>
    <col min="16129" max="16129" width="13.85546875" style="67" bestFit="1" customWidth="1"/>
    <col min="16130" max="16131" width="13.140625" style="67" bestFit="1" customWidth="1"/>
    <col min="16132" max="16132" width="11.5703125" style="67" bestFit="1" customWidth="1"/>
    <col min="16133" max="16133" width="12.28515625" style="67" bestFit="1" customWidth="1"/>
    <col min="16134" max="16134" width="14.5703125" style="67" bestFit="1" customWidth="1"/>
    <col min="16135" max="16135" width="12.28515625" style="67" bestFit="1" customWidth="1"/>
    <col min="16136" max="16136" width="12.5703125" style="67" bestFit="1" customWidth="1"/>
    <col min="16137" max="16137" width="12.28515625" style="67" bestFit="1" customWidth="1"/>
    <col min="16138" max="16139" width="15.28515625" style="67" bestFit="1" customWidth="1"/>
    <col min="16140" max="16140" width="16.28515625" style="67" bestFit="1" customWidth="1"/>
    <col min="16141" max="16384" width="9.140625" style="67"/>
  </cols>
  <sheetData>
    <row r="1" spans="1:10" ht="20.25" x14ac:dyDescent="0.3">
      <c r="A1" s="127" t="s">
        <v>547</v>
      </c>
      <c r="B1" s="32"/>
    </row>
    <row r="2" spans="1:10" ht="15.75" x14ac:dyDescent="0.25">
      <c r="A2" s="62" t="s">
        <v>169</v>
      </c>
    </row>
    <row r="3" spans="1:10" x14ac:dyDescent="0.2">
      <c r="A3" s="35" t="s">
        <v>31</v>
      </c>
    </row>
    <row r="4" spans="1:10" ht="13.5" thickBot="1" x14ac:dyDescent="0.25"/>
    <row r="5" spans="1:10" ht="75.75" thickBot="1" x14ac:dyDescent="0.25">
      <c r="A5" s="354" t="s">
        <v>79</v>
      </c>
      <c r="B5" s="566"/>
      <c r="C5" s="567" t="s">
        <v>292</v>
      </c>
      <c r="D5" s="566"/>
      <c r="E5" s="567" t="s">
        <v>548</v>
      </c>
      <c r="F5" s="566"/>
      <c r="G5" s="567" t="s">
        <v>549</v>
      </c>
      <c r="H5" s="568" t="s">
        <v>550</v>
      </c>
      <c r="I5" s="573"/>
      <c r="J5" s="566"/>
    </row>
    <row r="6" spans="1:10" ht="15" customHeight="1" x14ac:dyDescent="0.25">
      <c r="A6" s="316"/>
      <c r="B6" s="706" t="s">
        <v>103</v>
      </c>
      <c r="C6" s="319"/>
      <c r="D6" s="706" t="s">
        <v>554</v>
      </c>
      <c r="E6" s="319"/>
      <c r="F6" s="709" t="s">
        <v>555</v>
      </c>
      <c r="G6" s="319"/>
      <c r="H6" s="569"/>
      <c r="I6" s="706" t="s">
        <v>553</v>
      </c>
      <c r="J6" s="706" t="s">
        <v>288</v>
      </c>
    </row>
    <row r="7" spans="1:10" ht="15" x14ac:dyDescent="0.25">
      <c r="A7" s="316"/>
      <c r="B7" s="707"/>
      <c r="C7" s="322" t="s">
        <v>243</v>
      </c>
      <c r="D7" s="707"/>
      <c r="E7" s="322" t="s">
        <v>244</v>
      </c>
      <c r="F7" s="710"/>
      <c r="G7" s="322" t="s">
        <v>245</v>
      </c>
      <c r="H7" s="572" t="s">
        <v>257</v>
      </c>
      <c r="I7" s="707"/>
      <c r="J7" s="707"/>
    </row>
    <row r="8" spans="1:10" ht="15.75" thickBot="1" x14ac:dyDescent="0.3">
      <c r="A8" s="316"/>
      <c r="B8" s="321" t="s">
        <v>464</v>
      </c>
      <c r="C8" s="322"/>
      <c r="D8" s="708"/>
      <c r="E8" s="322"/>
      <c r="F8" s="711"/>
      <c r="G8" s="322"/>
      <c r="H8" s="570"/>
      <c r="I8" s="708"/>
      <c r="J8" s="321">
        <v>2020</v>
      </c>
    </row>
    <row r="9" spans="1:10" ht="15" x14ac:dyDescent="0.25">
      <c r="A9" s="324" t="s">
        <v>107</v>
      </c>
      <c r="B9" s="365"/>
      <c r="C9" s="325"/>
      <c r="D9" s="187"/>
      <c r="E9" s="325"/>
      <c r="F9" s="187"/>
      <c r="G9" s="325"/>
      <c r="H9" s="571"/>
      <c r="I9" s="187"/>
      <c r="J9" s="187"/>
    </row>
    <row r="10" spans="1:10" s="128" customFormat="1" ht="15" x14ac:dyDescent="0.25">
      <c r="A10" s="327" t="s">
        <v>170</v>
      </c>
      <c r="B10" s="430">
        <v>10151242744</v>
      </c>
      <c r="C10" s="330">
        <v>-10058486744</v>
      </c>
      <c r="D10" s="190">
        <f>B10+C10</f>
        <v>92756000</v>
      </c>
      <c r="E10" s="330">
        <v>196000</v>
      </c>
      <c r="F10" s="190">
        <f>E10+D10</f>
        <v>92952000</v>
      </c>
      <c r="G10" s="330">
        <v>12188326256</v>
      </c>
      <c r="H10" s="330">
        <v>1446600</v>
      </c>
      <c r="I10" s="190">
        <f>SUM(G10:H10)</f>
        <v>12189772856</v>
      </c>
      <c r="J10" s="190">
        <f>F10+I10</f>
        <v>12282724856</v>
      </c>
    </row>
    <row r="11" spans="1:10" ht="15" x14ac:dyDescent="0.25">
      <c r="A11" s="327" t="s">
        <v>171</v>
      </c>
      <c r="B11" s="430"/>
      <c r="C11" s="330"/>
      <c r="D11" s="430"/>
      <c r="E11" s="330"/>
      <c r="F11" s="430"/>
      <c r="G11" s="330"/>
      <c r="H11" s="330"/>
      <c r="I11" s="190"/>
      <c r="J11" s="190">
        <f t="shared" ref="J11:J19" si="0">F11+I11</f>
        <v>0</v>
      </c>
    </row>
    <row r="12" spans="1:10" ht="15" x14ac:dyDescent="0.25">
      <c r="A12" s="328" t="s">
        <v>172</v>
      </c>
      <c r="B12" s="431">
        <v>700000</v>
      </c>
      <c r="C12" s="269"/>
      <c r="D12" s="431">
        <f t="shared" ref="D12:D19" si="1">B12+C12</f>
        <v>700000</v>
      </c>
      <c r="E12" s="269"/>
      <c r="F12" s="431">
        <f t="shared" ref="F12:F19" si="2">E12+D12</f>
        <v>700000</v>
      </c>
      <c r="G12" s="269"/>
      <c r="H12" s="269"/>
      <c r="I12" s="192"/>
      <c r="J12" s="192">
        <f t="shared" si="0"/>
        <v>700000</v>
      </c>
    </row>
    <row r="13" spans="1:10" ht="15" x14ac:dyDescent="0.25">
      <c r="A13" s="328" t="s">
        <v>173</v>
      </c>
      <c r="B13" s="431">
        <v>10150542744</v>
      </c>
      <c r="C13" s="269">
        <v>-10058486744</v>
      </c>
      <c r="D13" s="431">
        <f t="shared" si="1"/>
        <v>92056000</v>
      </c>
      <c r="E13" s="269">
        <v>196000</v>
      </c>
      <c r="F13" s="431">
        <f t="shared" si="2"/>
        <v>92252000</v>
      </c>
      <c r="G13" s="269">
        <v>12188326256</v>
      </c>
      <c r="H13" s="269">
        <v>1446600</v>
      </c>
      <c r="I13" s="192">
        <f t="shared" ref="I13:I19" si="3">SUM(G13:H13)</f>
        <v>12189772856</v>
      </c>
      <c r="J13" s="192">
        <f t="shared" si="0"/>
        <v>12282024856</v>
      </c>
    </row>
    <row r="14" spans="1:10" ht="15" x14ac:dyDescent="0.25">
      <c r="A14" s="328" t="s">
        <v>577</v>
      </c>
      <c r="B14" s="431">
        <v>10058486744</v>
      </c>
      <c r="C14" s="269">
        <v>-10058486744</v>
      </c>
      <c r="D14" s="431">
        <f t="shared" si="1"/>
        <v>0</v>
      </c>
      <c r="E14" s="269"/>
      <c r="F14" s="431">
        <f t="shared" si="2"/>
        <v>0</v>
      </c>
      <c r="G14" s="269">
        <v>12126207286</v>
      </c>
      <c r="H14" s="269"/>
      <c r="I14" s="192">
        <f t="shared" si="3"/>
        <v>12126207286</v>
      </c>
      <c r="J14" s="192">
        <f t="shared" si="0"/>
        <v>12126207286</v>
      </c>
    </row>
    <row r="15" spans="1:10" ht="15" x14ac:dyDescent="0.25">
      <c r="A15" s="328" t="s">
        <v>331</v>
      </c>
      <c r="B15" s="431">
        <v>9800000000</v>
      </c>
      <c r="C15" s="269">
        <v>-9800000000</v>
      </c>
      <c r="D15" s="431">
        <f t="shared" si="1"/>
        <v>0</v>
      </c>
      <c r="E15" s="269"/>
      <c r="F15" s="431">
        <f t="shared" si="2"/>
        <v>0</v>
      </c>
      <c r="G15" s="269">
        <v>12000000000</v>
      </c>
      <c r="H15" s="269"/>
      <c r="I15" s="192">
        <f t="shared" si="3"/>
        <v>12000000000</v>
      </c>
      <c r="J15" s="192">
        <f t="shared" si="0"/>
        <v>12000000000</v>
      </c>
    </row>
    <row r="16" spans="1:10" ht="15" x14ac:dyDescent="0.25">
      <c r="A16" s="328" t="s">
        <v>332</v>
      </c>
      <c r="B16" s="431">
        <v>258486744</v>
      </c>
      <c r="C16" s="269">
        <v>-258486744</v>
      </c>
      <c r="D16" s="431">
        <f t="shared" si="1"/>
        <v>0</v>
      </c>
      <c r="E16" s="269"/>
      <c r="F16" s="431">
        <f t="shared" si="2"/>
        <v>0</v>
      </c>
      <c r="G16" s="269">
        <v>126207286</v>
      </c>
      <c r="H16" s="269"/>
      <c r="I16" s="192">
        <f t="shared" si="3"/>
        <v>126207286</v>
      </c>
      <c r="J16" s="192">
        <f t="shared" si="0"/>
        <v>126207286</v>
      </c>
    </row>
    <row r="17" spans="1:10" ht="15" x14ac:dyDescent="0.25">
      <c r="A17" s="328" t="s">
        <v>174</v>
      </c>
      <c r="B17" s="431"/>
      <c r="C17" s="269"/>
      <c r="D17" s="431">
        <f t="shared" si="1"/>
        <v>0</v>
      </c>
      <c r="E17" s="269"/>
      <c r="F17" s="431">
        <f t="shared" si="2"/>
        <v>0</v>
      </c>
      <c r="G17" s="269">
        <v>62118970</v>
      </c>
      <c r="H17" s="269"/>
      <c r="I17" s="192">
        <f t="shared" si="3"/>
        <v>62118970</v>
      </c>
      <c r="J17" s="192">
        <f t="shared" si="0"/>
        <v>62118970</v>
      </c>
    </row>
    <row r="18" spans="1:10" ht="15" x14ac:dyDescent="0.25">
      <c r="A18" s="328" t="s">
        <v>401</v>
      </c>
      <c r="B18" s="431"/>
      <c r="C18" s="269"/>
      <c r="D18" s="431">
        <f t="shared" si="1"/>
        <v>0</v>
      </c>
      <c r="E18" s="269"/>
      <c r="F18" s="431">
        <f t="shared" si="2"/>
        <v>0</v>
      </c>
      <c r="G18" s="269">
        <v>62118970</v>
      </c>
      <c r="H18" s="269"/>
      <c r="I18" s="192">
        <f t="shared" si="3"/>
        <v>62118970</v>
      </c>
      <c r="J18" s="192">
        <f t="shared" si="0"/>
        <v>62118970</v>
      </c>
    </row>
    <row r="19" spans="1:10" ht="15.75" thickBot="1" x14ac:dyDescent="0.3">
      <c r="A19" s="355" t="s">
        <v>175</v>
      </c>
      <c r="B19" s="432">
        <v>92056000</v>
      </c>
      <c r="C19" s="434"/>
      <c r="D19" s="432">
        <f t="shared" si="1"/>
        <v>92056000</v>
      </c>
      <c r="E19" s="434">
        <v>196000</v>
      </c>
      <c r="F19" s="432">
        <f t="shared" si="2"/>
        <v>92252000</v>
      </c>
      <c r="G19" s="434"/>
      <c r="H19" s="434">
        <v>1446600</v>
      </c>
      <c r="I19" s="433">
        <f t="shared" si="3"/>
        <v>1446600</v>
      </c>
      <c r="J19" s="433">
        <f t="shared" si="0"/>
        <v>93698600</v>
      </c>
    </row>
  </sheetData>
  <mergeCells count="5">
    <mergeCell ref="J6:J7"/>
    <mergeCell ref="I6:I8"/>
    <mergeCell ref="B6:B7"/>
    <mergeCell ref="D6:D8"/>
    <mergeCell ref="F6:F8"/>
  </mergeCells>
  <printOptions horizontalCentered="1"/>
  <pageMargins left="0.70866141732283472" right="0.70866141732283472" top="0.78740157480314965" bottom="0.78740157480314965" header="0.51181102362204722" footer="0.31496062992125984"/>
  <pageSetup paperSize="9" scale="64" orientation="landscape" r:id="rId1"/>
  <headerFooter alignWithMargins="0">
    <oddHeader>&amp;RKapitola A
&amp;"-,Tučné"Tabulka č. 7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Listy</vt:lpstr>
      </vt:variant>
      <vt:variant>
        <vt:i4>10</vt:i4>
      </vt:variant>
      <vt:variant>
        <vt:lpstr>Grafy</vt:lpstr>
      </vt:variant>
      <vt:variant>
        <vt:i4>2</vt:i4>
      </vt:variant>
      <vt:variant>
        <vt:lpstr>Pojmenované oblasti</vt:lpstr>
      </vt:variant>
      <vt:variant>
        <vt:i4>5</vt:i4>
      </vt:variant>
    </vt:vector>
  </HeadingPairs>
  <TitlesOfParts>
    <vt:vector size="17" baseType="lpstr">
      <vt:lpstr>A1</vt:lpstr>
      <vt:lpstr>A2</vt:lpstr>
      <vt:lpstr>A3a</vt:lpstr>
      <vt:lpstr>A3b</vt:lpstr>
      <vt:lpstr>A3c</vt:lpstr>
      <vt:lpstr>A4</vt:lpstr>
      <vt:lpstr>A5</vt:lpstr>
      <vt:lpstr>A6</vt:lpstr>
      <vt:lpstr>A7</vt:lpstr>
      <vt:lpstr>data ke G</vt:lpstr>
      <vt:lpstr>Graf1</vt:lpstr>
      <vt:lpstr>Graf2</vt:lpstr>
      <vt:lpstr>A3b!Názvy_tisku</vt:lpstr>
      <vt:lpstr>A3c!Názvy_tisku</vt:lpstr>
      <vt:lpstr>'A4'!Názvy_tisku</vt:lpstr>
      <vt:lpstr>'A5'!Názvy_tisku</vt:lpstr>
      <vt:lpstr>'A6'!Oblast_tisku</vt:lpstr>
    </vt:vector>
  </TitlesOfParts>
  <Company>MSMT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Palivcová Markéta</dc:creator>
  <cp:lastModifiedBy>Lukešová Olga</cp:lastModifiedBy>
  <cp:lastPrinted>2020-06-22T06:47:07Z</cp:lastPrinted>
  <dcterms:created xsi:type="dcterms:W3CDTF">2015-02-27T06:37:22Z</dcterms:created>
  <dcterms:modified xsi:type="dcterms:W3CDTF">2020-06-25T13:22:30Z</dcterms:modified>
</cp:coreProperties>
</file>