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O:\Sekce_V\513_oddělení\hraba\"/>
    </mc:Choice>
  </mc:AlternateContent>
  <xr:revisionPtr revIDLastSave="0" documentId="13_ncr:1_{96EF60F9-22DD-419E-A21B-95D216245594}" xr6:coauthVersionLast="47" xr6:coauthVersionMax="47" xr10:uidLastSave="{00000000-0000-0000-0000-000000000000}"/>
  <bookViews>
    <workbookView xWindow="28680" yWindow="-120" windowWidth="29040" windowHeight="15720" tabRatio="754" activeTab="1" xr2:uid="{00000000-000D-0000-FFFF-FFFF00000000}"/>
  </bookViews>
  <sheets>
    <sheet name="voš_obsah" sheetId="2" r:id="rId1"/>
    <sheet name="voš_vše " sheetId="3" r:id="rId2"/>
    <sheet name="voš_druh studia " sheetId="4" r:id="rId3"/>
    <sheet name="voš_zřizovatel" sheetId="5" r:id="rId4"/>
    <sheet name="voš_obory " sheetId="6" r:id="rId5"/>
    <sheet name="voš_sex " sheetId="7" r:id="rId6"/>
    <sheet name="voš_věk x dfst " sheetId="9" r:id="rId7"/>
    <sheet name="voš_věk " sheetId="20" r:id="rId8"/>
    <sheet name="List1" sheetId="21" state="hidden" r:id="rId9"/>
  </sheets>
  <definedNames>
    <definedName name="_xlnm.Print_Titles" localSheetId="4">'voš_obory '!$1:$3</definedName>
    <definedName name="_xlnm.Print_Area" localSheetId="2">'voš_druh studia '!$A$1:$K$84</definedName>
    <definedName name="_xlnm.Print_Area" localSheetId="4">'voš_obory '!$A$1:$O$125</definedName>
    <definedName name="_xlnm.Print_Area" localSheetId="0">voš_obsah!$A$1:$A$72</definedName>
    <definedName name="_xlnm.Print_Area" localSheetId="5">'voš_sex '!$A$1:$O$72</definedName>
    <definedName name="_xlnm.Print_Area" localSheetId="7">'voš_věk '!$A$1:$O$43</definedName>
    <definedName name="_xlnm.Print_Area" localSheetId="6">'voš_věk x dfst '!$A$1:$O$127</definedName>
    <definedName name="_xlnm.Print_Area" localSheetId="1">'voš_vše '!$A$1:$P$91</definedName>
    <definedName name="_xlnm.Print_Area" localSheetId="3">voš_zřizovatel!$A$1:$I$88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4" i="20" l="1"/>
  <c r="Z48" i="20"/>
  <c r="Z49" i="20"/>
  <c r="Z50" i="20"/>
  <c r="Z51" i="20"/>
  <c r="Z52" i="20"/>
  <c r="Z53" i="20"/>
  <c r="Z47" i="20"/>
  <c r="Y54" i="20"/>
  <c r="Y50" i="20"/>
  <c r="Y51" i="20"/>
  <c r="Y52" i="20"/>
  <c r="Y53" i="20"/>
  <c r="Y49" i="20"/>
  <c r="Y48" i="20"/>
  <c r="Y47" i="20"/>
  <c r="O71" i="7"/>
  <c r="N71" i="7"/>
  <c r="M71" i="7"/>
  <c r="J71" i="7"/>
  <c r="F71" i="7"/>
  <c r="D71" i="7"/>
  <c r="O70" i="7"/>
  <c r="N70" i="7"/>
  <c r="M70" i="7"/>
  <c r="J70" i="7"/>
  <c r="F70" i="7"/>
  <c r="D70" i="7"/>
  <c r="X41" i="6"/>
  <c r="T41" i="6"/>
  <c r="W122" i="6"/>
  <c r="W118" i="6"/>
  <c r="W117" i="6"/>
  <c r="W111" i="6"/>
  <c r="W121" i="6" s="1"/>
  <c r="W86" i="6"/>
  <c r="W85" i="6"/>
  <c r="W84" i="6"/>
  <c r="W83" i="6"/>
  <c r="W82" i="6"/>
  <c r="W81" i="6"/>
  <c r="W80" i="6"/>
  <c r="W79" i="6"/>
  <c r="W78" i="6"/>
  <c r="X63" i="6"/>
  <c r="W63" i="6"/>
  <c r="W51" i="6"/>
  <c r="W50" i="6"/>
  <c r="W49" i="6"/>
  <c r="W48" i="6"/>
  <c r="W47" i="6"/>
  <c r="W46" i="6"/>
  <c r="W45" i="6"/>
  <c r="W44" i="6"/>
  <c r="W43" i="6"/>
  <c r="W42" i="6"/>
  <c r="W38" i="6"/>
  <c r="W34" i="6"/>
  <c r="W33" i="6"/>
  <c r="X27" i="6"/>
  <c r="W27" i="6"/>
  <c r="W37" i="6" s="1"/>
  <c r="W15" i="6"/>
  <c r="V15" i="6"/>
  <c r="V41" i="6"/>
  <c r="V42" i="6"/>
  <c r="V43" i="6"/>
  <c r="V44" i="6"/>
  <c r="V45" i="6"/>
  <c r="V46" i="6"/>
  <c r="V47" i="6"/>
  <c r="V48" i="6"/>
  <c r="V49" i="6"/>
  <c r="V50" i="6"/>
  <c r="V63" i="6"/>
  <c r="V77" i="6"/>
  <c r="V78" i="6"/>
  <c r="V79" i="6"/>
  <c r="V80" i="6"/>
  <c r="V81" i="6"/>
  <c r="V82" i="6"/>
  <c r="V83" i="6"/>
  <c r="V84" i="6"/>
  <c r="V85" i="6"/>
  <c r="V86" i="6"/>
  <c r="E118" i="5"/>
  <c r="C118" i="5"/>
  <c r="B118" i="5"/>
  <c r="I117" i="5"/>
  <c r="H117" i="5"/>
  <c r="D117" i="5"/>
  <c r="I116" i="5"/>
  <c r="H116" i="5"/>
  <c r="D116" i="5"/>
  <c r="I115" i="5"/>
  <c r="H115" i="5"/>
  <c r="D115" i="5"/>
  <c r="I95" i="4"/>
  <c r="G118" i="5" s="1"/>
  <c r="H95" i="4"/>
  <c r="K95" i="4" s="1"/>
  <c r="C95" i="4"/>
  <c r="B95" i="4"/>
  <c r="F95" i="4" s="1"/>
  <c r="I91" i="4"/>
  <c r="H91" i="4"/>
  <c r="W75" i="6" s="1"/>
  <c r="C91" i="4"/>
  <c r="B91" i="4"/>
  <c r="K94" i="4"/>
  <c r="J94" i="4"/>
  <c r="F94" i="4"/>
  <c r="D94" i="4"/>
  <c r="K93" i="4"/>
  <c r="J93" i="4"/>
  <c r="F93" i="4"/>
  <c r="D93" i="4"/>
  <c r="J89" i="3"/>
  <c r="L62" i="3"/>
  <c r="M62" i="3"/>
  <c r="K89" i="3" s="1"/>
  <c r="A62" i="3"/>
  <c r="A89" i="3" s="1"/>
  <c r="T25" i="3"/>
  <c r="U25" i="3"/>
  <c r="V25" i="3"/>
  <c r="W33" i="3"/>
  <c r="W32" i="3"/>
  <c r="W29" i="3"/>
  <c r="W26" i="3"/>
  <c r="W15" i="3"/>
  <c r="W17" i="3" s="1"/>
  <c r="W12" i="3"/>
  <c r="W14" i="3" s="1"/>
  <c r="W94" i="6" l="1"/>
  <c r="W90" i="6"/>
  <c r="W93" i="6"/>
  <c r="W92" i="6"/>
  <c r="W91" i="6"/>
  <c r="W89" i="6"/>
  <c r="W87" i="6"/>
  <c r="W99" i="6"/>
  <c r="W98" i="6"/>
  <c r="W97" i="6"/>
  <c r="W96" i="6"/>
  <c r="W95" i="6"/>
  <c r="W39" i="6"/>
  <c r="W123" i="6"/>
  <c r="C89" i="3"/>
  <c r="B89" i="3"/>
  <c r="X111" i="6"/>
  <c r="D89" i="3"/>
  <c r="E89" i="3"/>
  <c r="F89" i="3"/>
  <c r="W29" i="6"/>
  <c r="W113" i="6"/>
  <c r="W28" i="3"/>
  <c r="G89" i="3"/>
  <c r="W30" i="6"/>
  <c r="W114" i="6"/>
  <c r="W31" i="3"/>
  <c r="H89" i="3"/>
  <c r="F118" i="5"/>
  <c r="I118" i="5" s="1"/>
  <c r="W31" i="6"/>
  <c r="W115" i="6"/>
  <c r="I89" i="3"/>
  <c r="W32" i="6"/>
  <c r="W116" i="6"/>
  <c r="W35" i="6"/>
  <c r="W119" i="6"/>
  <c r="W36" i="6"/>
  <c r="W120" i="6"/>
  <c r="X75" i="6"/>
  <c r="D118" i="5"/>
  <c r="J95" i="4"/>
  <c r="D95" i="4"/>
  <c r="W30" i="3"/>
  <c r="W27" i="3"/>
  <c r="W13" i="3"/>
  <c r="W16" i="3"/>
  <c r="X54" i="20"/>
  <c r="X53" i="20"/>
  <c r="X52" i="20"/>
  <c r="X51" i="20"/>
  <c r="X50" i="20"/>
  <c r="X49" i="20"/>
  <c r="X48" i="20"/>
  <c r="X47" i="20"/>
  <c r="W54" i="20"/>
  <c r="W53" i="20"/>
  <c r="W52" i="20"/>
  <c r="W51" i="20"/>
  <c r="W50" i="20"/>
  <c r="W49" i="20"/>
  <c r="W48" i="20"/>
  <c r="W47" i="20"/>
  <c r="O68" i="7"/>
  <c r="N68" i="7"/>
  <c r="M68" i="7"/>
  <c r="J68" i="7"/>
  <c r="F68" i="7"/>
  <c r="D68" i="7"/>
  <c r="O67" i="7"/>
  <c r="N67" i="7"/>
  <c r="M67" i="7"/>
  <c r="J67" i="7"/>
  <c r="F67" i="7"/>
  <c r="D67" i="7"/>
  <c r="X86" i="6"/>
  <c r="X85" i="6"/>
  <c r="X84" i="6"/>
  <c r="X83" i="6"/>
  <c r="X82" i="6"/>
  <c r="X81" i="6"/>
  <c r="X80" i="6"/>
  <c r="X79" i="6"/>
  <c r="X78" i="6"/>
  <c r="X50" i="6"/>
  <c r="X49" i="6"/>
  <c r="X48" i="6"/>
  <c r="X47" i="6"/>
  <c r="X46" i="6"/>
  <c r="X45" i="6"/>
  <c r="X44" i="6"/>
  <c r="X43" i="6"/>
  <c r="X42" i="6"/>
  <c r="X15" i="6"/>
  <c r="E113" i="5"/>
  <c r="I112" i="5"/>
  <c r="H112" i="5"/>
  <c r="D112" i="5"/>
  <c r="I111" i="5"/>
  <c r="H111" i="5"/>
  <c r="D111" i="5"/>
  <c r="I110" i="5"/>
  <c r="H110" i="5"/>
  <c r="D110" i="5"/>
  <c r="L63" i="3"/>
  <c r="M63" i="3"/>
  <c r="I90" i="3" s="1"/>
  <c r="A63" i="3"/>
  <c r="A90" i="3" s="1"/>
  <c r="X29" i="3"/>
  <c r="V29" i="3"/>
  <c r="U29" i="3"/>
  <c r="X26" i="3"/>
  <c r="V26" i="3"/>
  <c r="U26" i="3"/>
  <c r="X33" i="3"/>
  <c r="X32" i="3"/>
  <c r="K90" i="4"/>
  <c r="J90" i="4"/>
  <c r="K89" i="4"/>
  <c r="J89" i="4"/>
  <c r="G113" i="5"/>
  <c r="K91" i="4"/>
  <c r="F90" i="4"/>
  <c r="F89" i="4"/>
  <c r="D90" i="4"/>
  <c r="D89" i="4"/>
  <c r="F91" i="4"/>
  <c r="X15" i="3"/>
  <c r="X16" i="3" s="1"/>
  <c r="X12" i="3"/>
  <c r="X14" i="3" s="1"/>
  <c r="H118" i="5" l="1"/>
  <c r="B90" i="3"/>
  <c r="J90" i="3"/>
  <c r="D90" i="3"/>
  <c r="C90" i="3"/>
  <c r="K90" i="3"/>
  <c r="E90" i="3"/>
  <c r="F90" i="3"/>
  <c r="G90" i="3"/>
  <c r="H90" i="3"/>
  <c r="X17" i="3"/>
  <c r="X98" i="6"/>
  <c r="C113" i="5"/>
  <c r="X38" i="6"/>
  <c r="X30" i="6"/>
  <c r="X36" i="6"/>
  <c r="X35" i="6"/>
  <c r="X34" i="6"/>
  <c r="X37" i="6"/>
  <c r="X29" i="6"/>
  <c r="X33" i="6"/>
  <c r="X32" i="6"/>
  <c r="X39" i="6"/>
  <c r="X31" i="6"/>
  <c r="F113" i="5"/>
  <c r="I113" i="5" s="1"/>
  <c r="X51" i="6"/>
  <c r="B113" i="5"/>
  <c r="D91" i="4"/>
  <c r="X28" i="3"/>
  <c r="J91" i="4"/>
  <c r="X31" i="3"/>
  <c r="X27" i="3"/>
  <c r="X30" i="3"/>
  <c r="X13" i="3"/>
  <c r="O65" i="7"/>
  <c r="N65" i="7"/>
  <c r="M65" i="7"/>
  <c r="J65" i="7"/>
  <c r="F65" i="7"/>
  <c r="D65" i="7"/>
  <c r="O64" i="7"/>
  <c r="N64" i="7"/>
  <c r="M64" i="7"/>
  <c r="J64" i="7"/>
  <c r="F64" i="7"/>
  <c r="D64" i="7"/>
  <c r="E108" i="5"/>
  <c r="I107" i="5"/>
  <c r="H107" i="5"/>
  <c r="D107" i="5"/>
  <c r="I106" i="5"/>
  <c r="H106" i="5"/>
  <c r="D106" i="5"/>
  <c r="I105" i="5"/>
  <c r="H105" i="5"/>
  <c r="D105" i="5"/>
  <c r="I87" i="4"/>
  <c r="V111" i="6" s="1"/>
  <c r="H87" i="4"/>
  <c r="C87" i="4"/>
  <c r="V27" i="6" s="1"/>
  <c r="B87" i="4"/>
  <c r="F87" i="4" s="1"/>
  <c r="B83" i="4"/>
  <c r="F83" i="4" s="1"/>
  <c r="C83" i="4"/>
  <c r="U27" i="6" s="1"/>
  <c r="H83" i="4"/>
  <c r="U75" i="6" s="1"/>
  <c r="U89" i="6" s="1"/>
  <c r="I83" i="4"/>
  <c r="G103" i="5" s="1"/>
  <c r="K86" i="4"/>
  <c r="J86" i="4"/>
  <c r="E86" i="4"/>
  <c r="K85" i="4"/>
  <c r="J85" i="4"/>
  <c r="F85" i="4"/>
  <c r="D85" i="4"/>
  <c r="L61" i="3"/>
  <c r="L60" i="3"/>
  <c r="L59" i="3"/>
  <c r="A61" i="3"/>
  <c r="A88" i="3" s="1"/>
  <c r="A60" i="3"/>
  <c r="A87" i="3" s="1"/>
  <c r="M60" i="3"/>
  <c r="C87" i="3" s="1"/>
  <c r="V11" i="3"/>
  <c r="T11" i="3"/>
  <c r="U11" i="3"/>
  <c r="T12" i="3"/>
  <c r="T14" i="3" s="1"/>
  <c r="U12" i="3"/>
  <c r="U14" i="3" s="1"/>
  <c r="U13" i="3"/>
  <c r="T13" i="3"/>
  <c r="T15" i="3"/>
  <c r="T16" i="3" s="1"/>
  <c r="U15" i="3"/>
  <c r="U16" i="3" s="1"/>
  <c r="U17" i="3"/>
  <c r="T26" i="3"/>
  <c r="T29" i="3"/>
  <c r="T32" i="3"/>
  <c r="U32" i="3"/>
  <c r="T33" i="3"/>
  <c r="U33" i="3"/>
  <c r="V33" i="3"/>
  <c r="V32" i="3"/>
  <c r="V15" i="3"/>
  <c r="V12" i="3"/>
  <c r="V13" i="3" s="1"/>
  <c r="O62" i="7"/>
  <c r="N62" i="7"/>
  <c r="M62" i="7"/>
  <c r="J62" i="7"/>
  <c r="F62" i="7"/>
  <c r="D62" i="7"/>
  <c r="O61" i="7"/>
  <c r="N61" i="7"/>
  <c r="M61" i="7"/>
  <c r="J61" i="7"/>
  <c r="F61" i="7"/>
  <c r="D61" i="7"/>
  <c r="U63" i="6"/>
  <c r="U85" i="6"/>
  <c r="U84" i="6"/>
  <c r="U83" i="6"/>
  <c r="U82" i="6"/>
  <c r="U81" i="6"/>
  <c r="U80" i="6"/>
  <c r="U79" i="6"/>
  <c r="U78" i="6"/>
  <c r="U49" i="6"/>
  <c r="U48" i="6"/>
  <c r="U47" i="6"/>
  <c r="U46" i="6"/>
  <c r="U45" i="6"/>
  <c r="U44" i="6"/>
  <c r="U43" i="6"/>
  <c r="U42" i="6"/>
  <c r="U15" i="6"/>
  <c r="E103" i="5"/>
  <c r="I102" i="5"/>
  <c r="H102" i="5"/>
  <c r="D102" i="5"/>
  <c r="I101" i="5"/>
  <c r="H101" i="5"/>
  <c r="D101" i="5"/>
  <c r="I100" i="5"/>
  <c r="H100" i="5"/>
  <c r="D100" i="5"/>
  <c r="K82" i="4"/>
  <c r="J82" i="4"/>
  <c r="E82" i="4"/>
  <c r="K81" i="4"/>
  <c r="J81" i="4"/>
  <c r="F81" i="4"/>
  <c r="D81" i="4"/>
  <c r="M61" i="3"/>
  <c r="H88" i="3" s="1"/>
  <c r="G180" i="9"/>
  <c r="G179" i="9"/>
  <c r="G178" i="9"/>
  <c r="G177" i="9"/>
  <c r="G176" i="9"/>
  <c r="G175" i="9"/>
  <c r="G174" i="9"/>
  <c r="G173" i="9"/>
  <c r="G172" i="9"/>
  <c r="G171" i="9"/>
  <c r="G170" i="9"/>
  <c r="G169" i="9"/>
  <c r="G168" i="9"/>
  <c r="D177" i="9"/>
  <c r="D180" i="9"/>
  <c r="D179" i="9"/>
  <c r="D178" i="9"/>
  <c r="D176" i="9"/>
  <c r="D175" i="9"/>
  <c r="D174" i="9"/>
  <c r="D173" i="9"/>
  <c r="D172" i="9"/>
  <c r="D171" i="9"/>
  <c r="D170" i="9"/>
  <c r="D169" i="9"/>
  <c r="D168" i="9"/>
  <c r="F180" i="9"/>
  <c r="C180" i="9"/>
  <c r="C179" i="9"/>
  <c r="C178" i="9"/>
  <c r="C177" i="9"/>
  <c r="C176" i="9"/>
  <c r="C175" i="9"/>
  <c r="C174" i="9"/>
  <c r="V53" i="20" s="1"/>
  <c r="C173" i="9"/>
  <c r="V52" i="20" s="1"/>
  <c r="C172" i="9"/>
  <c r="V51" i="20" s="1"/>
  <c r="C171" i="9"/>
  <c r="V50" i="20" s="1"/>
  <c r="C170" i="9"/>
  <c r="V49" i="20" s="1"/>
  <c r="C169" i="9"/>
  <c r="V48" i="20" s="1"/>
  <c r="C168" i="9"/>
  <c r="V47" i="20" s="1"/>
  <c r="F179" i="9"/>
  <c r="F178" i="9"/>
  <c r="F177" i="9"/>
  <c r="F176" i="9"/>
  <c r="F175" i="9"/>
  <c r="F174" i="9"/>
  <c r="F173" i="9"/>
  <c r="F172" i="9"/>
  <c r="F171" i="9"/>
  <c r="F170" i="9"/>
  <c r="F169" i="9"/>
  <c r="F168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B180" i="9"/>
  <c r="B179" i="9"/>
  <c r="B178" i="9"/>
  <c r="B177" i="9"/>
  <c r="B175" i="9"/>
  <c r="B174" i="9"/>
  <c r="B173" i="9"/>
  <c r="B172" i="9"/>
  <c r="B171" i="9"/>
  <c r="B170" i="9"/>
  <c r="B169" i="9"/>
  <c r="B168" i="9"/>
  <c r="E168" i="9"/>
  <c r="B176" i="9"/>
  <c r="O59" i="7"/>
  <c r="N59" i="7"/>
  <c r="M59" i="7"/>
  <c r="J59" i="7"/>
  <c r="F59" i="7"/>
  <c r="D59" i="7"/>
  <c r="O58" i="7"/>
  <c r="N58" i="7"/>
  <c r="M58" i="7"/>
  <c r="J58" i="7"/>
  <c r="F58" i="7"/>
  <c r="D58" i="7"/>
  <c r="T63" i="6"/>
  <c r="T86" i="6"/>
  <c r="T85" i="6"/>
  <c r="T84" i="6"/>
  <c r="T83" i="6"/>
  <c r="T82" i="6"/>
  <c r="T81" i="6"/>
  <c r="T80" i="6"/>
  <c r="T79" i="6"/>
  <c r="T78" i="6"/>
  <c r="T77" i="6"/>
  <c r="T50" i="6"/>
  <c r="T49" i="6"/>
  <c r="T48" i="6"/>
  <c r="T47" i="6"/>
  <c r="T46" i="6"/>
  <c r="T45" i="6"/>
  <c r="T44" i="6"/>
  <c r="T43" i="6"/>
  <c r="T42" i="6"/>
  <c r="T15" i="6"/>
  <c r="E98" i="5"/>
  <c r="I97" i="5"/>
  <c r="H97" i="5"/>
  <c r="D97" i="5"/>
  <c r="I96" i="5"/>
  <c r="H96" i="5"/>
  <c r="D96" i="5"/>
  <c r="I95" i="5"/>
  <c r="H95" i="5"/>
  <c r="D95" i="5"/>
  <c r="I79" i="4"/>
  <c r="G98" i="5" s="1"/>
  <c r="H79" i="4"/>
  <c r="F98" i="5" s="1"/>
  <c r="C79" i="4"/>
  <c r="T27" i="6" s="1"/>
  <c r="B79" i="4"/>
  <c r="B78" i="4" s="1"/>
  <c r="D78" i="4" s="1"/>
  <c r="K78" i="4"/>
  <c r="J78" i="4"/>
  <c r="E78" i="4"/>
  <c r="K77" i="4"/>
  <c r="J77" i="4"/>
  <c r="F77" i="4"/>
  <c r="D77" i="4"/>
  <c r="A59" i="3"/>
  <c r="A86" i="3"/>
  <c r="M59" i="3"/>
  <c r="B86" i="3" s="1"/>
  <c r="S12" i="3"/>
  <c r="S13" i="3" s="1"/>
  <c r="S15" i="3"/>
  <c r="S17" i="3"/>
  <c r="S16" i="3"/>
  <c r="S26" i="3"/>
  <c r="S29" i="3"/>
  <c r="S32" i="3"/>
  <c r="S33" i="3"/>
  <c r="K150" i="9"/>
  <c r="S3" i="20" s="1"/>
  <c r="K156" i="9"/>
  <c r="S9" i="20" s="1"/>
  <c r="L159" i="9"/>
  <c r="O162" i="9"/>
  <c r="O161" i="9"/>
  <c r="O160" i="9"/>
  <c r="O159" i="9"/>
  <c r="O158" i="9"/>
  <c r="O157" i="9"/>
  <c r="O156" i="9"/>
  <c r="O155" i="9"/>
  <c r="O154" i="9"/>
  <c r="O153" i="9"/>
  <c r="O152" i="9"/>
  <c r="O151" i="9"/>
  <c r="L161" i="9"/>
  <c r="L156" i="9"/>
  <c r="L162" i="9"/>
  <c r="L160" i="9"/>
  <c r="L158" i="9"/>
  <c r="L157" i="9"/>
  <c r="L155" i="9"/>
  <c r="L154" i="9"/>
  <c r="L153" i="9"/>
  <c r="L152" i="9"/>
  <c r="L151" i="9"/>
  <c r="L150" i="9"/>
  <c r="N162" i="9"/>
  <c r="N161" i="9"/>
  <c r="N160" i="9"/>
  <c r="N159" i="9"/>
  <c r="N158" i="9"/>
  <c r="N157" i="9"/>
  <c r="N156" i="9"/>
  <c r="N155" i="9"/>
  <c r="N154" i="9"/>
  <c r="N153" i="9"/>
  <c r="N152" i="9"/>
  <c r="N151" i="9"/>
  <c r="K162" i="9"/>
  <c r="S15" i="20" s="1"/>
  <c r="K161" i="9"/>
  <c r="S14" i="20" s="1"/>
  <c r="K160" i="9"/>
  <c r="S13" i="20" s="1"/>
  <c r="K159" i="9"/>
  <c r="S12" i="20" s="1"/>
  <c r="K158" i="9"/>
  <c r="K157" i="9"/>
  <c r="S10" i="20" s="1"/>
  <c r="K155" i="9"/>
  <c r="S8" i="20" s="1"/>
  <c r="K154" i="9"/>
  <c r="U51" i="20" s="1"/>
  <c r="K153" i="9"/>
  <c r="U50" i="20" s="1"/>
  <c r="K152" i="9"/>
  <c r="U49" i="20" s="1"/>
  <c r="K151" i="9"/>
  <c r="U48" i="20" s="1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J161" i="9"/>
  <c r="J162" i="9"/>
  <c r="J160" i="9"/>
  <c r="J159" i="9"/>
  <c r="J158" i="9"/>
  <c r="J157" i="9"/>
  <c r="J156" i="9"/>
  <c r="J155" i="9"/>
  <c r="J154" i="9"/>
  <c r="J153" i="9"/>
  <c r="J152" i="9"/>
  <c r="J151" i="9"/>
  <c r="J150" i="9"/>
  <c r="O150" i="9"/>
  <c r="N150" i="9"/>
  <c r="O56" i="7"/>
  <c r="N56" i="7"/>
  <c r="M56" i="7"/>
  <c r="J56" i="7"/>
  <c r="F56" i="7"/>
  <c r="D56" i="7"/>
  <c r="O55" i="7"/>
  <c r="N55" i="7"/>
  <c r="M55" i="7"/>
  <c r="J55" i="7"/>
  <c r="F55" i="7"/>
  <c r="D55" i="7"/>
  <c r="S111" i="6"/>
  <c r="S75" i="6"/>
  <c r="S89" i="6" s="1"/>
  <c r="S63" i="6"/>
  <c r="S86" i="6"/>
  <c r="S85" i="6"/>
  <c r="S84" i="6"/>
  <c r="S83" i="6"/>
  <c r="S82" i="6"/>
  <c r="S81" i="6"/>
  <c r="S80" i="6"/>
  <c r="S79" i="6"/>
  <c r="S78" i="6"/>
  <c r="S77" i="6"/>
  <c r="S50" i="6"/>
  <c r="S49" i="6"/>
  <c r="S48" i="6"/>
  <c r="S47" i="6"/>
  <c r="S46" i="6"/>
  <c r="S45" i="6"/>
  <c r="S44" i="6"/>
  <c r="S43" i="6"/>
  <c r="S42" i="6"/>
  <c r="S41" i="6"/>
  <c r="S15" i="6"/>
  <c r="G93" i="5"/>
  <c r="F93" i="5"/>
  <c r="E93" i="5"/>
  <c r="I92" i="5"/>
  <c r="H92" i="5"/>
  <c r="D92" i="5"/>
  <c r="I91" i="5"/>
  <c r="H91" i="5"/>
  <c r="D91" i="5"/>
  <c r="I90" i="5"/>
  <c r="H90" i="5"/>
  <c r="D90" i="5"/>
  <c r="C75" i="4"/>
  <c r="B75" i="4"/>
  <c r="B93" i="5" s="1"/>
  <c r="K75" i="4"/>
  <c r="K74" i="4"/>
  <c r="J74" i="4"/>
  <c r="E74" i="4"/>
  <c r="K73" i="4"/>
  <c r="J73" i="4"/>
  <c r="F73" i="4"/>
  <c r="D73" i="4"/>
  <c r="L58" i="3"/>
  <c r="M58" i="3"/>
  <c r="B85" i="3" s="1"/>
  <c r="R29" i="3"/>
  <c r="R26" i="3"/>
  <c r="G156" i="9"/>
  <c r="G162" i="9"/>
  <c r="G161" i="9"/>
  <c r="G160" i="9"/>
  <c r="G159" i="9"/>
  <c r="G158" i="9"/>
  <c r="G157" i="9"/>
  <c r="G155" i="9"/>
  <c r="G154" i="9"/>
  <c r="G153" i="9"/>
  <c r="G152" i="9"/>
  <c r="G151" i="9"/>
  <c r="G150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F153" i="9"/>
  <c r="F162" i="9"/>
  <c r="F161" i="9"/>
  <c r="F160" i="9"/>
  <c r="F159" i="9"/>
  <c r="F158" i="9"/>
  <c r="F157" i="9"/>
  <c r="F156" i="9"/>
  <c r="F155" i="9"/>
  <c r="F154" i="9"/>
  <c r="F152" i="9"/>
  <c r="F151" i="9"/>
  <c r="F150" i="9"/>
  <c r="C162" i="9"/>
  <c r="C161" i="9"/>
  <c r="C160" i="9"/>
  <c r="C159" i="9"/>
  <c r="C158" i="9"/>
  <c r="C157" i="9"/>
  <c r="C156" i="9"/>
  <c r="T53" i="20" s="1"/>
  <c r="C155" i="9"/>
  <c r="T52" i="20" s="1"/>
  <c r="C154" i="9"/>
  <c r="T51" i="20" s="1"/>
  <c r="C153" i="9"/>
  <c r="T50" i="20" s="1"/>
  <c r="C152" i="9"/>
  <c r="T49" i="20" s="1"/>
  <c r="C151" i="9"/>
  <c r="T48" i="20" s="1"/>
  <c r="C150" i="9"/>
  <c r="T47" i="20" s="1"/>
  <c r="E162" i="9"/>
  <c r="E161" i="9"/>
  <c r="E160" i="9"/>
  <c r="E159" i="9"/>
  <c r="E158" i="9"/>
  <c r="E157" i="9"/>
  <c r="E156" i="9"/>
  <c r="E155" i="9"/>
  <c r="E154" i="9"/>
  <c r="E153" i="9"/>
  <c r="E152" i="9"/>
  <c r="E151" i="9"/>
  <c r="E150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J132" i="9"/>
  <c r="O53" i="7"/>
  <c r="N53" i="7"/>
  <c r="M53" i="7"/>
  <c r="J53" i="7"/>
  <c r="F53" i="7"/>
  <c r="D53" i="7"/>
  <c r="O52" i="7"/>
  <c r="N52" i="7"/>
  <c r="M52" i="7"/>
  <c r="J52" i="7"/>
  <c r="F52" i="7"/>
  <c r="D52" i="7"/>
  <c r="R111" i="6"/>
  <c r="R115" i="6" s="1"/>
  <c r="R86" i="6"/>
  <c r="R75" i="6"/>
  <c r="R89" i="6" s="1"/>
  <c r="R63" i="6"/>
  <c r="Q63" i="6"/>
  <c r="R50" i="6"/>
  <c r="R85" i="6"/>
  <c r="R84" i="6"/>
  <c r="R83" i="6"/>
  <c r="R82" i="6"/>
  <c r="R81" i="6"/>
  <c r="R80" i="6"/>
  <c r="R79" i="6"/>
  <c r="R78" i="6"/>
  <c r="R77" i="6"/>
  <c r="R49" i="6"/>
  <c r="R48" i="6"/>
  <c r="R47" i="6"/>
  <c r="R46" i="6"/>
  <c r="R45" i="6"/>
  <c r="R44" i="6"/>
  <c r="R43" i="6"/>
  <c r="R42" i="6"/>
  <c r="R41" i="6"/>
  <c r="R15" i="6"/>
  <c r="D87" i="5"/>
  <c r="D86" i="5"/>
  <c r="D85" i="5"/>
  <c r="G88" i="5"/>
  <c r="F88" i="5"/>
  <c r="E88" i="5"/>
  <c r="I87" i="5"/>
  <c r="H87" i="5"/>
  <c r="I86" i="5"/>
  <c r="H86" i="5"/>
  <c r="I85" i="5"/>
  <c r="H85" i="5"/>
  <c r="E70" i="4"/>
  <c r="C71" i="4"/>
  <c r="R27" i="6" s="1"/>
  <c r="C67" i="4"/>
  <c r="Q27" i="6" s="1"/>
  <c r="Q31" i="6" s="1"/>
  <c r="B71" i="4"/>
  <c r="F71" i="4" s="1"/>
  <c r="B67" i="4"/>
  <c r="K71" i="4"/>
  <c r="K70" i="4"/>
  <c r="J70" i="4"/>
  <c r="K69" i="4"/>
  <c r="J69" i="4"/>
  <c r="F69" i="4"/>
  <c r="D69" i="4"/>
  <c r="M56" i="3"/>
  <c r="I83" i="3" s="1"/>
  <c r="M57" i="3"/>
  <c r="I84" i="3" s="1"/>
  <c r="L56" i="3"/>
  <c r="Q29" i="3"/>
  <c r="P29" i="3"/>
  <c r="O29" i="3"/>
  <c r="Q26" i="3"/>
  <c r="P26" i="3"/>
  <c r="O26" i="3"/>
  <c r="Q33" i="3"/>
  <c r="Q32" i="3"/>
  <c r="Q15" i="3"/>
  <c r="Q12" i="3"/>
  <c r="Q13" i="3" s="1"/>
  <c r="O144" i="9"/>
  <c r="O143" i="9"/>
  <c r="O142" i="9"/>
  <c r="O141" i="9"/>
  <c r="O140" i="9"/>
  <c r="O139" i="9"/>
  <c r="O138" i="9"/>
  <c r="O137" i="9"/>
  <c r="O136" i="9"/>
  <c r="O135" i="9"/>
  <c r="O134" i="9"/>
  <c r="O133" i="9"/>
  <c r="O132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K137" i="9"/>
  <c r="S52" i="20" s="1"/>
  <c r="K144" i="9"/>
  <c r="K143" i="9"/>
  <c r="K142" i="9"/>
  <c r="K141" i="9"/>
  <c r="K140" i="9"/>
  <c r="K139" i="9"/>
  <c r="K138" i="9"/>
  <c r="S53" i="20" s="1"/>
  <c r="K136" i="9"/>
  <c r="S51" i="20" s="1"/>
  <c r="K135" i="9"/>
  <c r="S50" i="20" s="1"/>
  <c r="K134" i="9"/>
  <c r="S49" i="20" s="1"/>
  <c r="K133" i="9"/>
  <c r="S48" i="20" s="1"/>
  <c r="K132" i="9"/>
  <c r="S47" i="20" s="1"/>
  <c r="J144" i="9"/>
  <c r="J143" i="9"/>
  <c r="J142" i="9"/>
  <c r="J141" i="9"/>
  <c r="J140" i="9"/>
  <c r="J139" i="9"/>
  <c r="J138" i="9"/>
  <c r="J137" i="9"/>
  <c r="J136" i="9"/>
  <c r="J135" i="9"/>
  <c r="J134" i="9"/>
  <c r="J133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O50" i="7"/>
  <c r="N50" i="7"/>
  <c r="M50" i="7"/>
  <c r="J50" i="7"/>
  <c r="F50" i="7"/>
  <c r="D50" i="7"/>
  <c r="O49" i="7"/>
  <c r="N49" i="7"/>
  <c r="M49" i="7"/>
  <c r="J49" i="7"/>
  <c r="F49" i="7"/>
  <c r="D49" i="7"/>
  <c r="Q111" i="6"/>
  <c r="Q119" i="6" s="1"/>
  <c r="Q75" i="6"/>
  <c r="Q92" i="6" s="1"/>
  <c r="Q85" i="6"/>
  <c r="Q84" i="6"/>
  <c r="Q83" i="6"/>
  <c r="Q82" i="6"/>
  <c r="Q81" i="6"/>
  <c r="Q80" i="6"/>
  <c r="Q79" i="6"/>
  <c r="Q78" i="6"/>
  <c r="Q77" i="6"/>
  <c r="Q49" i="6"/>
  <c r="Q48" i="6"/>
  <c r="Q47" i="6"/>
  <c r="Q46" i="6"/>
  <c r="Q45" i="6"/>
  <c r="Q44" i="6"/>
  <c r="Q43" i="6"/>
  <c r="Q42" i="6"/>
  <c r="Q41" i="6"/>
  <c r="Q15" i="6"/>
  <c r="G83" i="5"/>
  <c r="F83" i="5"/>
  <c r="E83" i="5"/>
  <c r="E78" i="5"/>
  <c r="I77" i="5"/>
  <c r="H77" i="5"/>
  <c r="D77" i="5"/>
  <c r="I76" i="5"/>
  <c r="H76" i="5"/>
  <c r="D76" i="5"/>
  <c r="I75" i="5"/>
  <c r="H75" i="5"/>
  <c r="D75" i="5"/>
  <c r="K67" i="4"/>
  <c r="K66" i="4"/>
  <c r="J66" i="4"/>
  <c r="K65" i="4"/>
  <c r="J65" i="4"/>
  <c r="F66" i="4"/>
  <c r="F65" i="4"/>
  <c r="D66" i="4"/>
  <c r="D65" i="4"/>
  <c r="K82" i="3"/>
  <c r="J82" i="3"/>
  <c r="I82" i="3"/>
  <c r="H82" i="3"/>
  <c r="G82" i="3"/>
  <c r="F82" i="3"/>
  <c r="E82" i="3"/>
  <c r="D82" i="3"/>
  <c r="C82" i="3"/>
  <c r="B82" i="3"/>
  <c r="L57" i="3"/>
  <c r="R33" i="3"/>
  <c r="R32" i="3"/>
  <c r="R15" i="3"/>
  <c r="R12" i="3"/>
  <c r="R14" i="3" s="1"/>
  <c r="P63" i="6"/>
  <c r="P15" i="6"/>
  <c r="P85" i="6"/>
  <c r="P84" i="6"/>
  <c r="P83" i="6"/>
  <c r="P82" i="6"/>
  <c r="P81" i="6"/>
  <c r="P80" i="6"/>
  <c r="P79" i="6"/>
  <c r="P78" i="6"/>
  <c r="P77" i="6"/>
  <c r="P49" i="6"/>
  <c r="P48" i="6"/>
  <c r="P47" i="6"/>
  <c r="P46" i="6"/>
  <c r="P45" i="6"/>
  <c r="P44" i="6"/>
  <c r="P43" i="6"/>
  <c r="P42" i="6"/>
  <c r="P41" i="6"/>
  <c r="I82" i="5"/>
  <c r="H82" i="5"/>
  <c r="I81" i="5"/>
  <c r="H81" i="5"/>
  <c r="I80" i="5"/>
  <c r="H80" i="5"/>
  <c r="D82" i="5"/>
  <c r="D81" i="5"/>
  <c r="D80" i="5"/>
  <c r="AB6" i="21"/>
  <c r="O3" i="20" s="1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E144" i="9"/>
  <c r="C144" i="9"/>
  <c r="C143" i="9"/>
  <c r="C142" i="9"/>
  <c r="C141" i="9"/>
  <c r="C140" i="9"/>
  <c r="C139" i="9"/>
  <c r="C138" i="9"/>
  <c r="R53" i="20" s="1"/>
  <c r="C137" i="9"/>
  <c r="R52" i="20" s="1"/>
  <c r="C136" i="9"/>
  <c r="R51" i="20" s="1"/>
  <c r="C135" i="9"/>
  <c r="R50" i="20" s="1"/>
  <c r="C134" i="9"/>
  <c r="R49" i="20" s="1"/>
  <c r="C133" i="9"/>
  <c r="R48" i="20" s="1"/>
  <c r="C132" i="9"/>
  <c r="R47" i="20" s="1"/>
  <c r="E143" i="9"/>
  <c r="E142" i="9"/>
  <c r="E141" i="9"/>
  <c r="E140" i="9"/>
  <c r="E139" i="9"/>
  <c r="E138" i="9"/>
  <c r="E137" i="9"/>
  <c r="E136" i="9"/>
  <c r="E135" i="9"/>
  <c r="E134" i="9"/>
  <c r="E133" i="9"/>
  <c r="E132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O47" i="7"/>
  <c r="N47" i="7"/>
  <c r="M47" i="7"/>
  <c r="J47" i="7"/>
  <c r="F47" i="7"/>
  <c r="D47" i="7"/>
  <c r="O46" i="7"/>
  <c r="N46" i="7"/>
  <c r="M46" i="7"/>
  <c r="J46" i="7"/>
  <c r="F46" i="7"/>
  <c r="D46" i="7"/>
  <c r="K62" i="4"/>
  <c r="J62" i="4"/>
  <c r="K61" i="4"/>
  <c r="J61" i="4"/>
  <c r="I63" i="4"/>
  <c r="P111" i="6" s="1"/>
  <c r="P113" i="6" s="1"/>
  <c r="H63" i="4"/>
  <c r="F78" i="5" s="1"/>
  <c r="F62" i="4"/>
  <c r="F61" i="4"/>
  <c r="D62" i="4"/>
  <c r="D61" i="4"/>
  <c r="C63" i="4"/>
  <c r="B63" i="4"/>
  <c r="B78" i="5" s="1"/>
  <c r="L54" i="3"/>
  <c r="O33" i="3"/>
  <c r="O32" i="3"/>
  <c r="O15" i="3"/>
  <c r="O12" i="3"/>
  <c r="O14" i="3" s="1"/>
  <c r="O13" i="3"/>
  <c r="P33" i="3"/>
  <c r="N33" i="3"/>
  <c r="M33" i="3"/>
  <c r="L33" i="3"/>
  <c r="L28" i="3" s="1"/>
  <c r="K33" i="3"/>
  <c r="J33" i="3"/>
  <c r="I33" i="3"/>
  <c r="H33" i="3"/>
  <c r="G33" i="3"/>
  <c r="P32" i="3"/>
  <c r="N32" i="3"/>
  <c r="M32" i="3"/>
  <c r="L32" i="3"/>
  <c r="L30" i="3" s="1"/>
  <c r="K32" i="3"/>
  <c r="J32" i="3"/>
  <c r="I32" i="3"/>
  <c r="H32" i="3"/>
  <c r="G32" i="3"/>
  <c r="O111" i="6"/>
  <c r="O118" i="6" s="1"/>
  <c r="O75" i="6"/>
  <c r="O90" i="6" s="1"/>
  <c r="O63" i="6"/>
  <c r="O27" i="6"/>
  <c r="O31" i="6" s="1"/>
  <c r="F73" i="5"/>
  <c r="G73" i="5"/>
  <c r="E73" i="5"/>
  <c r="C73" i="5"/>
  <c r="D73" i="5" s="1"/>
  <c r="P15" i="3"/>
  <c r="P17" i="3" s="1"/>
  <c r="P12" i="3"/>
  <c r="P14" i="3" s="1"/>
  <c r="O41" i="7"/>
  <c r="N41" i="7"/>
  <c r="M41" i="7"/>
  <c r="J41" i="7"/>
  <c r="F41" i="7"/>
  <c r="D41" i="7"/>
  <c r="O40" i="7"/>
  <c r="N40" i="7"/>
  <c r="M40" i="7"/>
  <c r="J40" i="7"/>
  <c r="F40" i="7"/>
  <c r="D40" i="7"/>
  <c r="N123" i="6"/>
  <c r="N122" i="6"/>
  <c r="N121" i="6"/>
  <c r="N120" i="6"/>
  <c r="N119" i="6"/>
  <c r="N118" i="6"/>
  <c r="N117" i="6"/>
  <c r="N116" i="6"/>
  <c r="N115" i="6"/>
  <c r="N114" i="6"/>
  <c r="N113" i="6"/>
  <c r="N99" i="6"/>
  <c r="N98" i="6"/>
  <c r="N97" i="6"/>
  <c r="N96" i="6"/>
  <c r="N95" i="6"/>
  <c r="N94" i="6"/>
  <c r="N93" i="6"/>
  <c r="N92" i="6"/>
  <c r="N91" i="6"/>
  <c r="N90" i="6"/>
  <c r="N89" i="6"/>
  <c r="N87" i="6"/>
  <c r="N86" i="6"/>
  <c r="N85" i="6"/>
  <c r="N84" i="6"/>
  <c r="N83" i="6"/>
  <c r="N82" i="6"/>
  <c r="N81" i="6"/>
  <c r="N80" i="6"/>
  <c r="N79" i="6"/>
  <c r="N78" i="6"/>
  <c r="N77" i="6"/>
  <c r="N51" i="6"/>
  <c r="N50" i="6"/>
  <c r="N49" i="6"/>
  <c r="N48" i="6"/>
  <c r="N47" i="6"/>
  <c r="N46" i="6"/>
  <c r="N45" i="6"/>
  <c r="N44" i="6"/>
  <c r="N43" i="6"/>
  <c r="N42" i="6"/>
  <c r="N41" i="6"/>
  <c r="N39" i="6"/>
  <c r="N38" i="6"/>
  <c r="N37" i="6"/>
  <c r="N36" i="6"/>
  <c r="N35" i="6"/>
  <c r="N34" i="6"/>
  <c r="N33" i="6"/>
  <c r="N32" i="6"/>
  <c r="N31" i="6"/>
  <c r="N30" i="6"/>
  <c r="N29" i="6"/>
  <c r="I68" i="5"/>
  <c r="H68" i="5"/>
  <c r="D68" i="5"/>
  <c r="I67" i="5"/>
  <c r="H67" i="5"/>
  <c r="D67" i="5"/>
  <c r="I66" i="5"/>
  <c r="H66" i="5"/>
  <c r="D66" i="5"/>
  <c r="I65" i="5"/>
  <c r="H65" i="5"/>
  <c r="D65" i="5"/>
  <c r="K59" i="4"/>
  <c r="J59" i="4"/>
  <c r="F59" i="4"/>
  <c r="D59" i="4"/>
  <c r="K58" i="4"/>
  <c r="J58" i="4"/>
  <c r="F58" i="4"/>
  <c r="D58" i="4"/>
  <c r="K57" i="4"/>
  <c r="J57" i="4"/>
  <c r="F57" i="4"/>
  <c r="D57" i="4"/>
  <c r="K80" i="3"/>
  <c r="J80" i="3"/>
  <c r="I80" i="3"/>
  <c r="H80" i="3"/>
  <c r="G80" i="3"/>
  <c r="F80" i="3"/>
  <c r="E80" i="3"/>
  <c r="D80" i="3"/>
  <c r="C80" i="3"/>
  <c r="B80" i="3"/>
  <c r="N17" i="3"/>
  <c r="N16" i="3"/>
  <c r="N14" i="3"/>
  <c r="N13" i="3"/>
  <c r="A20" i="2"/>
  <c r="M17" i="3"/>
  <c r="O85" i="6"/>
  <c r="O84" i="6"/>
  <c r="O83" i="6"/>
  <c r="O82" i="6"/>
  <c r="O81" i="6"/>
  <c r="O80" i="6"/>
  <c r="O79" i="6"/>
  <c r="O78" i="6"/>
  <c r="O77" i="6"/>
  <c r="O49" i="6"/>
  <c r="O48" i="6"/>
  <c r="O47" i="6"/>
  <c r="O46" i="6"/>
  <c r="O45" i="6"/>
  <c r="O44" i="6"/>
  <c r="O43" i="6"/>
  <c r="O42" i="6"/>
  <c r="O41" i="6"/>
  <c r="K81" i="3"/>
  <c r="J81" i="3"/>
  <c r="I81" i="3"/>
  <c r="H81" i="3"/>
  <c r="G81" i="3"/>
  <c r="F81" i="3"/>
  <c r="E81" i="3"/>
  <c r="D81" i="3"/>
  <c r="C81" i="3"/>
  <c r="B81" i="3"/>
  <c r="O15" i="20"/>
  <c r="AB8" i="21"/>
  <c r="O5" i="20"/>
  <c r="AB9" i="21"/>
  <c r="O6" i="20" s="1"/>
  <c r="AB10" i="21"/>
  <c r="O7" i="20"/>
  <c r="AB11" i="21"/>
  <c r="O8" i="20" s="1"/>
  <c r="AB12" i="21"/>
  <c r="O9" i="20" s="1"/>
  <c r="AB13" i="21"/>
  <c r="O10" i="20" s="1"/>
  <c r="AB14" i="21"/>
  <c r="O11" i="20" s="1"/>
  <c r="AB15" i="21"/>
  <c r="O12" i="20" s="1"/>
  <c r="AB16" i="21"/>
  <c r="O13" i="20"/>
  <c r="AB17" i="21"/>
  <c r="O14" i="20" s="1"/>
  <c r="AB7" i="21"/>
  <c r="O4" i="20" s="1"/>
  <c r="Q5" i="21"/>
  <c r="R5" i="21"/>
  <c r="S5" i="21"/>
  <c r="T5" i="21"/>
  <c r="U5" i="21"/>
  <c r="Q6" i="21"/>
  <c r="R6" i="21"/>
  <c r="S6" i="21"/>
  <c r="T6" i="21"/>
  <c r="U6" i="21"/>
  <c r="Q7" i="21"/>
  <c r="R7" i="21"/>
  <c r="S7" i="21"/>
  <c r="T7" i="21"/>
  <c r="U7" i="21"/>
  <c r="Q8" i="21"/>
  <c r="R8" i="21"/>
  <c r="S8" i="21"/>
  <c r="T8" i="21"/>
  <c r="U8" i="21"/>
  <c r="Q9" i="21"/>
  <c r="R9" i="21"/>
  <c r="R48" i="21" s="1"/>
  <c r="O127" i="9" s="1"/>
  <c r="S9" i="21"/>
  <c r="T9" i="21"/>
  <c r="U9" i="21"/>
  <c r="Q10" i="21"/>
  <c r="R10" i="21"/>
  <c r="S10" i="21"/>
  <c r="T10" i="21"/>
  <c r="U10" i="21"/>
  <c r="Q11" i="21"/>
  <c r="R11" i="21"/>
  <c r="S11" i="21"/>
  <c r="T11" i="21"/>
  <c r="U11" i="21"/>
  <c r="Q12" i="21"/>
  <c r="R12" i="21"/>
  <c r="S12" i="21"/>
  <c r="T12" i="21"/>
  <c r="U12" i="21"/>
  <c r="Q13" i="21"/>
  <c r="R13" i="21"/>
  <c r="S13" i="21"/>
  <c r="T13" i="21"/>
  <c r="U13" i="21"/>
  <c r="Q14" i="21"/>
  <c r="R14" i="21"/>
  <c r="S14" i="21"/>
  <c r="T14" i="21"/>
  <c r="U14" i="21"/>
  <c r="Q15" i="21"/>
  <c r="R15" i="21"/>
  <c r="S15" i="21"/>
  <c r="T15" i="21"/>
  <c r="U15" i="21"/>
  <c r="Q16" i="21"/>
  <c r="R16" i="21"/>
  <c r="S16" i="21"/>
  <c r="T16" i="21"/>
  <c r="U16" i="21"/>
  <c r="Q17" i="21"/>
  <c r="R17" i="21"/>
  <c r="S17" i="21"/>
  <c r="T17" i="21"/>
  <c r="U17" i="21"/>
  <c r="Q18" i="21"/>
  <c r="R18" i="21"/>
  <c r="S18" i="21"/>
  <c r="T18" i="21"/>
  <c r="U18" i="21"/>
  <c r="Q19" i="21"/>
  <c r="R19" i="21"/>
  <c r="S19" i="21"/>
  <c r="T19" i="21"/>
  <c r="U19" i="21"/>
  <c r="Q20" i="21"/>
  <c r="R20" i="21"/>
  <c r="S20" i="21"/>
  <c r="T20" i="21"/>
  <c r="U20" i="21"/>
  <c r="Q21" i="21"/>
  <c r="R21" i="21"/>
  <c r="S21" i="21"/>
  <c r="T21" i="21"/>
  <c r="U21" i="21"/>
  <c r="Q22" i="21"/>
  <c r="R22" i="21"/>
  <c r="S22" i="21"/>
  <c r="T22" i="21"/>
  <c r="U22" i="21"/>
  <c r="Q23" i="21"/>
  <c r="R23" i="21"/>
  <c r="S23" i="21"/>
  <c r="T23" i="21"/>
  <c r="U23" i="21"/>
  <c r="Q24" i="21"/>
  <c r="R24" i="21"/>
  <c r="S24" i="21"/>
  <c r="T24" i="21"/>
  <c r="U24" i="21"/>
  <c r="Q25" i="21"/>
  <c r="R25" i="21"/>
  <c r="S25" i="21"/>
  <c r="T25" i="21"/>
  <c r="U25" i="21"/>
  <c r="Q26" i="21"/>
  <c r="R26" i="21"/>
  <c r="S26" i="21"/>
  <c r="T26" i="21"/>
  <c r="U26" i="21"/>
  <c r="Q27" i="21"/>
  <c r="R27" i="21"/>
  <c r="S27" i="21"/>
  <c r="T27" i="21"/>
  <c r="U27" i="21"/>
  <c r="Q28" i="21"/>
  <c r="R28" i="21"/>
  <c r="S28" i="21"/>
  <c r="T28" i="21"/>
  <c r="U28" i="21"/>
  <c r="Q29" i="21"/>
  <c r="R29" i="21"/>
  <c r="S29" i="21"/>
  <c r="T29" i="21"/>
  <c r="U29" i="21"/>
  <c r="Q30" i="21"/>
  <c r="R30" i="21"/>
  <c r="S30" i="21"/>
  <c r="T30" i="21"/>
  <c r="U30" i="21"/>
  <c r="Q31" i="21"/>
  <c r="R31" i="21"/>
  <c r="S31" i="21"/>
  <c r="T31" i="21"/>
  <c r="U31" i="21"/>
  <c r="Q32" i="21"/>
  <c r="R32" i="21"/>
  <c r="S32" i="21"/>
  <c r="T32" i="21"/>
  <c r="U32" i="21"/>
  <c r="Q33" i="21"/>
  <c r="R33" i="21"/>
  <c r="S33" i="21"/>
  <c r="T33" i="21"/>
  <c r="U33" i="21"/>
  <c r="Q34" i="21"/>
  <c r="R34" i="21"/>
  <c r="S34" i="21"/>
  <c r="T34" i="21"/>
  <c r="U34" i="21"/>
  <c r="Q35" i="21"/>
  <c r="R35" i="21"/>
  <c r="S35" i="21"/>
  <c r="T35" i="21"/>
  <c r="U35" i="21"/>
  <c r="Q36" i="21"/>
  <c r="R36" i="21"/>
  <c r="S36" i="21"/>
  <c r="T36" i="21"/>
  <c r="U36" i="21"/>
  <c r="Q37" i="21"/>
  <c r="R37" i="21"/>
  <c r="S37" i="21"/>
  <c r="T37" i="21"/>
  <c r="U37" i="21"/>
  <c r="Q38" i="21"/>
  <c r="R38" i="21"/>
  <c r="S38" i="21"/>
  <c r="T38" i="21"/>
  <c r="U38" i="21"/>
  <c r="Q39" i="21"/>
  <c r="R39" i="21"/>
  <c r="S39" i="21"/>
  <c r="T39" i="21"/>
  <c r="U39" i="21"/>
  <c r="Q40" i="21"/>
  <c r="R40" i="21"/>
  <c r="S40" i="21"/>
  <c r="T40" i="21"/>
  <c r="U40" i="21"/>
  <c r="Q41" i="21"/>
  <c r="R41" i="21"/>
  <c r="S41" i="21"/>
  <c r="T41" i="21"/>
  <c r="U41" i="21"/>
  <c r="Q42" i="21"/>
  <c r="R42" i="21"/>
  <c r="S42" i="21"/>
  <c r="T42" i="21"/>
  <c r="U42" i="21"/>
  <c r="Q43" i="21"/>
  <c r="R43" i="21"/>
  <c r="S43" i="21"/>
  <c r="T43" i="21"/>
  <c r="U43" i="21"/>
  <c r="Q44" i="21"/>
  <c r="R44" i="21"/>
  <c r="S44" i="21"/>
  <c r="T44" i="21"/>
  <c r="U44" i="21"/>
  <c r="Q45" i="21"/>
  <c r="R45" i="21"/>
  <c r="S45" i="21"/>
  <c r="T45" i="21"/>
  <c r="U45" i="21"/>
  <c r="Q46" i="21"/>
  <c r="R46" i="21"/>
  <c r="S46" i="21"/>
  <c r="T46" i="21"/>
  <c r="U46" i="21"/>
  <c r="Q47" i="21"/>
  <c r="R47" i="21"/>
  <c r="S47" i="21"/>
  <c r="T47" i="21"/>
  <c r="U47" i="21"/>
  <c r="K6" i="21"/>
  <c r="N114" i="9" s="1"/>
  <c r="L6" i="21"/>
  <c r="O114" i="9" s="1"/>
  <c r="M6" i="21"/>
  <c r="J114" i="9" s="1"/>
  <c r="N6" i="21"/>
  <c r="K114" i="9"/>
  <c r="Q47" i="20" s="1"/>
  <c r="O6" i="21"/>
  <c r="L114" i="9" s="1"/>
  <c r="K7" i="21"/>
  <c r="N115" i="9"/>
  <c r="L7" i="21"/>
  <c r="O115" i="9" s="1"/>
  <c r="M7" i="21"/>
  <c r="J115" i="9" s="1"/>
  <c r="N7" i="21"/>
  <c r="K115" i="9" s="1"/>
  <c r="Q48" i="20" s="1"/>
  <c r="O7" i="21"/>
  <c r="L115" i="9" s="1"/>
  <c r="K8" i="21"/>
  <c r="N116" i="9" s="1"/>
  <c r="L8" i="21"/>
  <c r="O116" i="9" s="1"/>
  <c r="M8" i="21"/>
  <c r="J116" i="9" s="1"/>
  <c r="N8" i="21"/>
  <c r="K116" i="9"/>
  <c r="Q49" i="20" s="1"/>
  <c r="O8" i="21"/>
  <c r="L116" i="9"/>
  <c r="K9" i="21"/>
  <c r="N117" i="9" s="1"/>
  <c r="L9" i="21"/>
  <c r="O117" i="9" s="1"/>
  <c r="M9" i="21"/>
  <c r="J117" i="9" s="1"/>
  <c r="N9" i="21"/>
  <c r="K117" i="9" s="1"/>
  <c r="Q50" i="20" s="1"/>
  <c r="O9" i="21"/>
  <c r="L117" i="9" s="1"/>
  <c r="K10" i="21"/>
  <c r="N118" i="9"/>
  <c r="L10" i="21"/>
  <c r="O118" i="9" s="1"/>
  <c r="M10" i="21"/>
  <c r="J118" i="9"/>
  <c r="N10" i="21"/>
  <c r="K118" i="9" s="1"/>
  <c r="Q51" i="20" s="1"/>
  <c r="O10" i="21"/>
  <c r="L118" i="9" s="1"/>
  <c r="K11" i="21"/>
  <c r="N119" i="9" s="1"/>
  <c r="L11" i="21"/>
  <c r="O119" i="9" s="1"/>
  <c r="M11" i="21"/>
  <c r="J119" i="9" s="1"/>
  <c r="N11" i="21"/>
  <c r="K119" i="9"/>
  <c r="Q52" i="20" s="1"/>
  <c r="O11" i="21"/>
  <c r="L119" i="9" s="1"/>
  <c r="K12" i="21"/>
  <c r="N120" i="9" s="1"/>
  <c r="L12" i="21"/>
  <c r="O120" i="9"/>
  <c r="M12" i="21"/>
  <c r="J120" i="9" s="1"/>
  <c r="N12" i="21"/>
  <c r="K120" i="9"/>
  <c r="Q53" i="20"/>
  <c r="O12" i="21"/>
  <c r="L120" i="9" s="1"/>
  <c r="K13" i="21"/>
  <c r="N121" i="9"/>
  <c r="L13" i="21"/>
  <c r="O121" i="9" s="1"/>
  <c r="M13" i="21"/>
  <c r="J121" i="9"/>
  <c r="N13" i="21"/>
  <c r="K121" i="9" s="1"/>
  <c r="O13" i="21"/>
  <c r="L121" i="9" s="1"/>
  <c r="K14" i="21"/>
  <c r="N122" i="9" s="1"/>
  <c r="L14" i="21"/>
  <c r="O122" i="9"/>
  <c r="M14" i="21"/>
  <c r="J122" i="9" s="1"/>
  <c r="N14" i="21"/>
  <c r="K122" i="9" s="1"/>
  <c r="O14" i="21"/>
  <c r="L122" i="9" s="1"/>
  <c r="K15" i="21"/>
  <c r="N123" i="9" s="1"/>
  <c r="L15" i="21"/>
  <c r="O123" i="9" s="1"/>
  <c r="M15" i="21"/>
  <c r="J123" i="9" s="1"/>
  <c r="N15" i="21"/>
  <c r="K123" i="9" s="1"/>
  <c r="O15" i="21"/>
  <c r="L123" i="9" s="1"/>
  <c r="K16" i="21"/>
  <c r="N124" i="9" s="1"/>
  <c r="L16" i="21"/>
  <c r="O124" i="9" s="1"/>
  <c r="M16" i="21"/>
  <c r="J124" i="9" s="1"/>
  <c r="N16" i="21"/>
  <c r="K124" i="9" s="1"/>
  <c r="O16" i="21"/>
  <c r="L124" i="9" s="1"/>
  <c r="K17" i="21"/>
  <c r="N125" i="9" s="1"/>
  <c r="L17" i="21"/>
  <c r="O125" i="9"/>
  <c r="M17" i="21"/>
  <c r="J125" i="9" s="1"/>
  <c r="N17" i="21"/>
  <c r="K125" i="9" s="1"/>
  <c r="O17" i="21"/>
  <c r="L125" i="9" s="1"/>
  <c r="K18" i="21"/>
  <c r="N126" i="9" s="1"/>
  <c r="L18" i="21"/>
  <c r="O126" i="9" s="1"/>
  <c r="M18" i="21"/>
  <c r="J126" i="9" s="1"/>
  <c r="N18" i="21"/>
  <c r="K126" i="9" s="1"/>
  <c r="O18" i="21"/>
  <c r="L126" i="9"/>
  <c r="J18" i="21"/>
  <c r="M126" i="9" s="1"/>
  <c r="J17" i="21"/>
  <c r="M125" i="9" s="1"/>
  <c r="J16" i="21"/>
  <c r="M124" i="9" s="1"/>
  <c r="J15" i="21"/>
  <c r="M123" i="9" s="1"/>
  <c r="J14" i="21"/>
  <c r="M122" i="9" s="1"/>
  <c r="J13" i="21"/>
  <c r="M121" i="9"/>
  <c r="J12" i="21"/>
  <c r="M120" i="9" s="1"/>
  <c r="J11" i="21"/>
  <c r="M119" i="9"/>
  <c r="J10" i="21"/>
  <c r="M118" i="9" s="1"/>
  <c r="J9" i="21"/>
  <c r="M117" i="9" s="1"/>
  <c r="J8" i="21"/>
  <c r="M116" i="9" s="1"/>
  <c r="J7" i="21"/>
  <c r="M115" i="9" s="1"/>
  <c r="J6" i="21"/>
  <c r="M114" i="9" s="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5" i="21"/>
  <c r="E55" i="4"/>
  <c r="O38" i="7"/>
  <c r="N38" i="7"/>
  <c r="M38" i="7"/>
  <c r="J38" i="7"/>
  <c r="F38" i="7"/>
  <c r="D38" i="7"/>
  <c r="O37" i="7"/>
  <c r="N37" i="7"/>
  <c r="M37" i="7"/>
  <c r="J37" i="7"/>
  <c r="F37" i="7"/>
  <c r="D37" i="7"/>
  <c r="I63" i="5"/>
  <c r="H63" i="5"/>
  <c r="D63" i="5"/>
  <c r="I62" i="5"/>
  <c r="H62" i="5"/>
  <c r="D62" i="5"/>
  <c r="I61" i="5"/>
  <c r="H61" i="5"/>
  <c r="D61" i="5"/>
  <c r="I60" i="5"/>
  <c r="H60" i="5"/>
  <c r="D60" i="5"/>
  <c r="K51" i="4"/>
  <c r="J51" i="4"/>
  <c r="F51" i="4"/>
  <c r="D51" i="4"/>
  <c r="K50" i="4"/>
  <c r="J50" i="4"/>
  <c r="F50" i="4"/>
  <c r="D50" i="4"/>
  <c r="K49" i="4"/>
  <c r="J49" i="4"/>
  <c r="F49" i="4"/>
  <c r="D49" i="4"/>
  <c r="M14" i="3"/>
  <c r="O44" i="7"/>
  <c r="N44" i="7"/>
  <c r="O43" i="7"/>
  <c r="N43" i="7"/>
  <c r="M44" i="7"/>
  <c r="M43" i="7"/>
  <c r="J44" i="7"/>
  <c r="J43" i="7"/>
  <c r="F44" i="7"/>
  <c r="F43" i="7"/>
  <c r="D44" i="7"/>
  <c r="D43" i="7"/>
  <c r="M114" i="6"/>
  <c r="M115" i="6"/>
  <c r="M116" i="6"/>
  <c r="M117" i="6"/>
  <c r="M118" i="6"/>
  <c r="M119" i="6"/>
  <c r="M120" i="6"/>
  <c r="M121" i="6"/>
  <c r="M123" i="6"/>
  <c r="M113" i="6"/>
  <c r="M90" i="6"/>
  <c r="M91" i="6"/>
  <c r="M92" i="6"/>
  <c r="M93" i="6"/>
  <c r="M94" i="6"/>
  <c r="M95" i="6"/>
  <c r="M96" i="6"/>
  <c r="M97" i="6"/>
  <c r="M99" i="6"/>
  <c r="M89" i="6"/>
  <c r="M78" i="6"/>
  <c r="M79" i="6"/>
  <c r="M80" i="6"/>
  <c r="M81" i="6"/>
  <c r="M82" i="6"/>
  <c r="M83" i="6"/>
  <c r="M84" i="6"/>
  <c r="M85" i="6"/>
  <c r="M87" i="6"/>
  <c r="M77" i="6"/>
  <c r="M42" i="6"/>
  <c r="M43" i="6"/>
  <c r="M44" i="6"/>
  <c r="M45" i="6"/>
  <c r="M46" i="6"/>
  <c r="M47" i="6"/>
  <c r="M48" i="6"/>
  <c r="M49" i="6"/>
  <c r="M51" i="6"/>
  <c r="M41" i="6"/>
  <c r="M30" i="6"/>
  <c r="M31" i="6"/>
  <c r="M32" i="6"/>
  <c r="M33" i="6"/>
  <c r="M34" i="6"/>
  <c r="M35" i="6"/>
  <c r="M36" i="6"/>
  <c r="M37" i="6"/>
  <c r="M39" i="6"/>
  <c r="M29" i="6"/>
  <c r="I71" i="5"/>
  <c r="I72" i="5"/>
  <c r="I70" i="5"/>
  <c r="H71" i="5"/>
  <c r="H72" i="5"/>
  <c r="H70" i="5"/>
  <c r="D71" i="5"/>
  <c r="D72" i="5"/>
  <c r="D70" i="5"/>
  <c r="K54" i="4"/>
  <c r="K55" i="4"/>
  <c r="K53" i="4"/>
  <c r="J55" i="4"/>
  <c r="J54" i="4"/>
  <c r="J53" i="4"/>
  <c r="F54" i="4"/>
  <c r="F55" i="4"/>
  <c r="F53" i="4"/>
  <c r="D54" i="4"/>
  <c r="D55" i="4"/>
  <c r="D53" i="4"/>
  <c r="D46" i="4"/>
  <c r="D47" i="4"/>
  <c r="D45" i="4"/>
  <c r="D56" i="5"/>
  <c r="D57" i="5"/>
  <c r="D58" i="5"/>
  <c r="D55" i="5"/>
  <c r="I56" i="5"/>
  <c r="I57" i="5"/>
  <c r="I58" i="5"/>
  <c r="I55" i="5"/>
  <c r="H56" i="5"/>
  <c r="H57" i="5"/>
  <c r="H58" i="5"/>
  <c r="H55" i="5"/>
  <c r="K47" i="4"/>
  <c r="K46" i="4"/>
  <c r="K45" i="4"/>
  <c r="L17" i="3"/>
  <c r="L14" i="3"/>
  <c r="L16" i="3"/>
  <c r="L13" i="3"/>
  <c r="B20" i="9"/>
  <c r="O35" i="7"/>
  <c r="N35" i="7"/>
  <c r="O34" i="7"/>
  <c r="N34" i="7"/>
  <c r="M35" i="7"/>
  <c r="M34" i="7"/>
  <c r="J35" i="7"/>
  <c r="J34" i="7"/>
  <c r="F35" i="7"/>
  <c r="F34" i="7"/>
  <c r="D35" i="7"/>
  <c r="D34" i="7"/>
  <c r="L114" i="6"/>
  <c r="L115" i="6"/>
  <c r="L116" i="6"/>
  <c r="L117" i="6"/>
  <c r="L118" i="6"/>
  <c r="L119" i="6"/>
  <c r="L120" i="6"/>
  <c r="L121" i="6"/>
  <c r="L123" i="6"/>
  <c r="L113" i="6"/>
  <c r="L90" i="6"/>
  <c r="L91" i="6"/>
  <c r="L92" i="6"/>
  <c r="L93" i="6"/>
  <c r="L94" i="6"/>
  <c r="L95" i="6"/>
  <c r="L96" i="6"/>
  <c r="L97" i="6"/>
  <c r="L99" i="6"/>
  <c r="L89" i="6"/>
  <c r="L87" i="6"/>
  <c r="L85" i="6"/>
  <c r="L84" i="6"/>
  <c r="L83" i="6"/>
  <c r="L82" i="6"/>
  <c r="L81" i="6"/>
  <c r="L80" i="6"/>
  <c r="L79" i="6"/>
  <c r="L78" i="6"/>
  <c r="L77" i="6"/>
  <c r="L51" i="6"/>
  <c r="L49" i="6"/>
  <c r="L48" i="6"/>
  <c r="L47" i="6"/>
  <c r="L46" i="6"/>
  <c r="L45" i="6"/>
  <c r="L44" i="6"/>
  <c r="L43" i="6"/>
  <c r="L42" i="6"/>
  <c r="L41" i="6"/>
  <c r="L30" i="6"/>
  <c r="L31" i="6"/>
  <c r="L32" i="6"/>
  <c r="L33" i="6"/>
  <c r="L34" i="6"/>
  <c r="L35" i="6"/>
  <c r="L36" i="6"/>
  <c r="L37" i="6"/>
  <c r="L39" i="6"/>
  <c r="L29" i="6"/>
  <c r="F46" i="4"/>
  <c r="F47" i="4"/>
  <c r="F45" i="4"/>
  <c r="J46" i="4"/>
  <c r="J47" i="4"/>
  <c r="J45" i="4"/>
  <c r="A4" i="2"/>
  <c r="B30" i="3"/>
  <c r="K43" i="4"/>
  <c r="K42" i="4"/>
  <c r="K41" i="4"/>
  <c r="J43" i="4"/>
  <c r="J42" i="4"/>
  <c r="J41" i="4"/>
  <c r="F43" i="4"/>
  <c r="F42" i="4"/>
  <c r="F41" i="4"/>
  <c r="D43" i="4"/>
  <c r="D42" i="4"/>
  <c r="D41" i="4"/>
  <c r="O32" i="7"/>
  <c r="N32" i="7"/>
  <c r="O31" i="7"/>
  <c r="N31" i="7"/>
  <c r="M32" i="7"/>
  <c r="M31" i="7"/>
  <c r="J31" i="7"/>
  <c r="J32" i="7"/>
  <c r="F32" i="7"/>
  <c r="F31" i="7"/>
  <c r="D32" i="7"/>
  <c r="D31" i="7"/>
  <c r="K123" i="6"/>
  <c r="K121" i="6"/>
  <c r="K120" i="6"/>
  <c r="K119" i="6"/>
  <c r="K118" i="6"/>
  <c r="K117" i="6"/>
  <c r="K116" i="6"/>
  <c r="K115" i="6"/>
  <c r="K114" i="6"/>
  <c r="K113" i="6"/>
  <c r="K99" i="6"/>
  <c r="K97" i="6"/>
  <c r="K96" i="6"/>
  <c r="K95" i="6"/>
  <c r="K94" i="6"/>
  <c r="K93" i="6"/>
  <c r="K92" i="6"/>
  <c r="K91" i="6"/>
  <c r="K90" i="6"/>
  <c r="K89" i="6"/>
  <c r="K87" i="6"/>
  <c r="K85" i="6"/>
  <c r="K84" i="6"/>
  <c r="K83" i="6"/>
  <c r="K82" i="6"/>
  <c r="K81" i="6"/>
  <c r="K80" i="6"/>
  <c r="K79" i="6"/>
  <c r="K78" i="6"/>
  <c r="K77" i="6"/>
  <c r="K51" i="6"/>
  <c r="K49" i="6"/>
  <c r="K48" i="6"/>
  <c r="K47" i="6"/>
  <c r="K46" i="6"/>
  <c r="K45" i="6"/>
  <c r="K44" i="6"/>
  <c r="K43" i="6"/>
  <c r="K42" i="6"/>
  <c r="K41" i="6"/>
  <c r="K39" i="6"/>
  <c r="K37" i="6"/>
  <c r="K36" i="6"/>
  <c r="K35" i="6"/>
  <c r="K34" i="6"/>
  <c r="K33" i="6"/>
  <c r="K32" i="6"/>
  <c r="K31" i="6"/>
  <c r="K30" i="6"/>
  <c r="K29" i="6"/>
  <c r="D53" i="5"/>
  <c r="D52" i="5"/>
  <c r="D51" i="5"/>
  <c r="D50" i="5"/>
  <c r="I53" i="5"/>
  <c r="I52" i="5"/>
  <c r="I51" i="5"/>
  <c r="I50" i="5"/>
  <c r="H53" i="5"/>
  <c r="H52" i="5"/>
  <c r="H51" i="5"/>
  <c r="H50" i="5"/>
  <c r="K5" i="3"/>
  <c r="L50" i="3"/>
  <c r="K31" i="3"/>
  <c r="K30" i="3"/>
  <c r="K28" i="3"/>
  <c r="K27" i="3"/>
  <c r="K17" i="3"/>
  <c r="K14" i="3"/>
  <c r="K16" i="3"/>
  <c r="K13" i="3"/>
  <c r="J31" i="3"/>
  <c r="I31" i="3"/>
  <c r="J30" i="3"/>
  <c r="I30" i="3"/>
  <c r="J28" i="3"/>
  <c r="I28" i="3"/>
  <c r="J27" i="3"/>
  <c r="I27" i="3"/>
  <c r="J17" i="3"/>
  <c r="I17" i="3"/>
  <c r="J16" i="3"/>
  <c r="I16" i="3"/>
  <c r="J14" i="3"/>
  <c r="I14" i="3"/>
  <c r="J13" i="3"/>
  <c r="I13" i="3"/>
  <c r="I18" i="5"/>
  <c r="I17" i="5"/>
  <c r="I16" i="5"/>
  <c r="I15" i="5"/>
  <c r="I23" i="5"/>
  <c r="I22" i="5"/>
  <c r="I21" i="5"/>
  <c r="I20" i="5"/>
  <c r="I28" i="5"/>
  <c r="I27" i="5"/>
  <c r="I26" i="5"/>
  <c r="I25" i="5"/>
  <c r="I33" i="5"/>
  <c r="I32" i="5"/>
  <c r="I31" i="5"/>
  <c r="I30" i="5"/>
  <c r="I38" i="5"/>
  <c r="I37" i="5"/>
  <c r="I36" i="5"/>
  <c r="I35" i="5"/>
  <c r="I43" i="5"/>
  <c r="I42" i="5"/>
  <c r="I41" i="5"/>
  <c r="I40" i="5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A6" i="2"/>
  <c r="K11" i="4"/>
  <c r="K10" i="4"/>
  <c r="K9" i="4"/>
  <c r="K15" i="4"/>
  <c r="K14" i="4"/>
  <c r="K13" i="4"/>
  <c r="K19" i="4"/>
  <c r="K18" i="4"/>
  <c r="K17" i="4"/>
  <c r="K23" i="4"/>
  <c r="K22" i="4"/>
  <c r="K21" i="4"/>
  <c r="A19" i="2"/>
  <c r="A17" i="2"/>
  <c r="A15" i="2"/>
  <c r="A13" i="2"/>
  <c r="A11" i="2"/>
  <c r="A9" i="2"/>
  <c r="A7" i="2"/>
  <c r="A5" i="2"/>
  <c r="A3" i="2"/>
  <c r="F23" i="7"/>
  <c r="F22" i="7"/>
  <c r="O20" i="7"/>
  <c r="N20" i="7"/>
  <c r="O8" i="7"/>
  <c r="O7" i="7"/>
  <c r="O11" i="7"/>
  <c r="O10" i="7"/>
  <c r="O14" i="7"/>
  <c r="O13" i="7"/>
  <c r="O17" i="7"/>
  <c r="O16" i="7"/>
  <c r="G53" i="9"/>
  <c r="G52" i="9"/>
  <c r="G51" i="9"/>
  <c r="G50" i="9"/>
  <c r="G49" i="9"/>
  <c r="G48" i="9"/>
  <c r="G47" i="9"/>
  <c r="G46" i="9"/>
  <c r="G45" i="9"/>
  <c r="G44" i="9"/>
  <c r="G43" i="9"/>
  <c r="F53" i="9"/>
  <c r="F52" i="9"/>
  <c r="F51" i="9"/>
  <c r="F50" i="9"/>
  <c r="F49" i="9"/>
  <c r="F48" i="9"/>
  <c r="F47" i="9"/>
  <c r="F46" i="9"/>
  <c r="F45" i="9"/>
  <c r="F44" i="9"/>
  <c r="F43" i="9"/>
  <c r="E53" i="9"/>
  <c r="E52" i="9"/>
  <c r="E51" i="9"/>
  <c r="E50" i="9"/>
  <c r="E49" i="9"/>
  <c r="E48" i="9"/>
  <c r="E47" i="9"/>
  <c r="E46" i="9"/>
  <c r="E45" i="9"/>
  <c r="E44" i="9"/>
  <c r="E43" i="9"/>
  <c r="D53" i="9"/>
  <c r="D52" i="9"/>
  <c r="D51" i="9"/>
  <c r="D50" i="9"/>
  <c r="D49" i="9"/>
  <c r="D48" i="9"/>
  <c r="D47" i="9"/>
  <c r="D46" i="9"/>
  <c r="D45" i="9"/>
  <c r="D44" i="9"/>
  <c r="D43" i="9"/>
  <c r="D42" i="9"/>
  <c r="C48" i="9"/>
  <c r="C53" i="9"/>
  <c r="C52" i="9"/>
  <c r="C51" i="9"/>
  <c r="C50" i="9"/>
  <c r="C49" i="9"/>
  <c r="C47" i="9"/>
  <c r="C46" i="9"/>
  <c r="C45" i="9"/>
  <c r="C44" i="9"/>
  <c r="C43" i="9"/>
  <c r="C42" i="9"/>
  <c r="P13" i="3"/>
  <c r="H83" i="3"/>
  <c r="D85" i="3"/>
  <c r="J85" i="3"/>
  <c r="G85" i="3"/>
  <c r="F85" i="3"/>
  <c r="E85" i="3"/>
  <c r="K85" i="3"/>
  <c r="I85" i="3"/>
  <c r="I88" i="3"/>
  <c r="E88" i="3"/>
  <c r="K83" i="3"/>
  <c r="V14" i="3"/>
  <c r="O114" i="6"/>
  <c r="S113" i="6"/>
  <c r="S119" i="6"/>
  <c r="S123" i="6"/>
  <c r="S120" i="6"/>
  <c r="O113" i="6"/>
  <c r="S116" i="6"/>
  <c r="S115" i="6"/>
  <c r="U30" i="3"/>
  <c r="F88" i="3"/>
  <c r="J88" i="3"/>
  <c r="D88" i="3"/>
  <c r="B88" i="3"/>
  <c r="G88" i="3"/>
  <c r="L31" i="3"/>
  <c r="K88" i="3"/>
  <c r="C88" i="3"/>
  <c r="M28" i="3"/>
  <c r="M31" i="3"/>
  <c r="N30" i="3"/>
  <c r="N27" i="3"/>
  <c r="Q54" i="20" l="1"/>
  <c r="P16" i="3"/>
  <c r="P48" i="21"/>
  <c r="M127" i="9" s="1"/>
  <c r="V29" i="6"/>
  <c r="V36" i="6"/>
  <c r="V39" i="6"/>
  <c r="V34" i="6"/>
  <c r="V51" i="6"/>
  <c r="V33" i="6"/>
  <c r="V32" i="6"/>
  <c r="V31" i="6"/>
  <c r="V38" i="6"/>
  <c r="V37" i="6"/>
  <c r="V30" i="6"/>
  <c r="V35" i="6"/>
  <c r="K87" i="4"/>
  <c r="V75" i="6"/>
  <c r="V117" i="6"/>
  <c r="V123" i="6"/>
  <c r="V116" i="6"/>
  <c r="V120" i="6"/>
  <c r="V118" i="6"/>
  <c r="V115" i="6"/>
  <c r="V122" i="6"/>
  <c r="V114" i="6"/>
  <c r="V113" i="6"/>
  <c r="V119" i="6"/>
  <c r="V121" i="6"/>
  <c r="D87" i="3"/>
  <c r="U27" i="3"/>
  <c r="U52" i="20"/>
  <c r="U48" i="21"/>
  <c r="L127" i="9" s="1"/>
  <c r="T48" i="21"/>
  <c r="K127" i="9" s="1"/>
  <c r="S6" i="20"/>
  <c r="R114" i="6"/>
  <c r="D113" i="5"/>
  <c r="S87" i="6"/>
  <c r="R120" i="6"/>
  <c r="R119" i="6"/>
  <c r="R113" i="6"/>
  <c r="R117" i="6"/>
  <c r="S28" i="3"/>
  <c r="K87" i="3"/>
  <c r="X91" i="6"/>
  <c r="X95" i="6"/>
  <c r="X96" i="6"/>
  <c r="X97" i="6"/>
  <c r="X92" i="6"/>
  <c r="X89" i="6"/>
  <c r="X99" i="6"/>
  <c r="X90" i="6"/>
  <c r="X94" i="6"/>
  <c r="X93" i="6"/>
  <c r="X87" i="6"/>
  <c r="Q14" i="3"/>
  <c r="X119" i="6"/>
  <c r="X118" i="6"/>
  <c r="X115" i="6"/>
  <c r="X117" i="6"/>
  <c r="X114" i="6"/>
  <c r="X116" i="6"/>
  <c r="X123" i="6"/>
  <c r="X122" i="6"/>
  <c r="X121" i="6"/>
  <c r="X113" i="6"/>
  <c r="X120" i="6"/>
  <c r="H113" i="5"/>
  <c r="S14" i="3"/>
  <c r="L27" i="3"/>
  <c r="T17" i="3"/>
  <c r="R28" i="3"/>
  <c r="S31" i="3"/>
  <c r="T111" i="6"/>
  <c r="T118" i="6" s="1"/>
  <c r="R31" i="3"/>
  <c r="I93" i="5"/>
  <c r="H73" i="5"/>
  <c r="B82" i="4"/>
  <c r="D82" i="4" s="1"/>
  <c r="Q31" i="3"/>
  <c r="S30" i="3"/>
  <c r="T54" i="20"/>
  <c r="V54" i="20"/>
  <c r="S54" i="20"/>
  <c r="S98" i="6"/>
  <c r="O37" i="6"/>
  <c r="S90" i="6"/>
  <c r="O39" i="6"/>
  <c r="I83" i="5"/>
  <c r="R30" i="6"/>
  <c r="R34" i="6"/>
  <c r="O32" i="6"/>
  <c r="I78" i="5"/>
  <c r="D67" i="4"/>
  <c r="O36" i="6"/>
  <c r="Q116" i="6"/>
  <c r="Q121" i="6"/>
  <c r="J71" i="4"/>
  <c r="U111" i="6"/>
  <c r="U118" i="6" s="1"/>
  <c r="S5" i="20"/>
  <c r="R54" i="20"/>
  <c r="U28" i="3"/>
  <c r="S4" i="20"/>
  <c r="Q34" i="6"/>
  <c r="O30" i="6"/>
  <c r="C88" i="5"/>
  <c r="H88" i="5" s="1"/>
  <c r="Q37" i="6"/>
  <c r="Q29" i="6"/>
  <c r="S94" i="6"/>
  <c r="O119" i="6"/>
  <c r="Q118" i="6"/>
  <c r="O120" i="6"/>
  <c r="O121" i="6"/>
  <c r="Q117" i="6"/>
  <c r="Q115" i="6"/>
  <c r="O30" i="3"/>
  <c r="Q120" i="6"/>
  <c r="D71" i="4"/>
  <c r="S96" i="6"/>
  <c r="U47" i="20"/>
  <c r="I88" i="5"/>
  <c r="R122" i="6"/>
  <c r="J67" i="4"/>
  <c r="C83" i="5"/>
  <c r="H83" i="5" s="1"/>
  <c r="D63" i="4"/>
  <c r="Q36" i="6"/>
  <c r="Q95" i="6"/>
  <c r="S93" i="6"/>
  <c r="O115" i="6"/>
  <c r="Q32" i="6"/>
  <c r="Q30" i="6"/>
  <c r="Q51" i="6"/>
  <c r="Q39" i="6"/>
  <c r="K63" i="4"/>
  <c r="S99" i="6"/>
  <c r="U53" i="20"/>
  <c r="R121" i="6"/>
  <c r="O117" i="6"/>
  <c r="O116" i="6"/>
  <c r="R123" i="6"/>
  <c r="Q113" i="6"/>
  <c r="Q33" i="6"/>
  <c r="S91" i="6"/>
  <c r="Q114" i="6"/>
  <c r="I73" i="5"/>
  <c r="S97" i="6"/>
  <c r="Q123" i="6"/>
  <c r="S7" i="20"/>
  <c r="Q35" i="6"/>
  <c r="Q87" i="6"/>
  <c r="S95" i="6"/>
  <c r="S92" i="6"/>
  <c r="P75" i="6"/>
  <c r="P92" i="6" s="1"/>
  <c r="R118" i="6"/>
  <c r="O123" i="6"/>
  <c r="R116" i="6"/>
  <c r="B70" i="4"/>
  <c r="F70" i="4" s="1"/>
  <c r="T32" i="6"/>
  <c r="T34" i="6"/>
  <c r="T39" i="6"/>
  <c r="T51" i="6"/>
  <c r="T31" i="6"/>
  <c r="T33" i="6"/>
  <c r="T38" i="6"/>
  <c r="T29" i="6"/>
  <c r="T30" i="6"/>
  <c r="T36" i="6"/>
  <c r="T35" i="6"/>
  <c r="T37" i="6"/>
  <c r="U31" i="6"/>
  <c r="U32" i="6"/>
  <c r="R37" i="6"/>
  <c r="R32" i="6"/>
  <c r="J63" i="4"/>
  <c r="B103" i="5"/>
  <c r="C103" i="5"/>
  <c r="B88" i="5"/>
  <c r="B86" i="4"/>
  <c r="D86" i="4" s="1"/>
  <c r="C98" i="5"/>
  <c r="H98" i="5" s="1"/>
  <c r="R29" i="6"/>
  <c r="K84" i="3"/>
  <c r="F84" i="3"/>
  <c r="F83" i="3"/>
  <c r="K83" i="4"/>
  <c r="H84" i="3"/>
  <c r="U36" i="6"/>
  <c r="U34" i="6"/>
  <c r="B83" i="3"/>
  <c r="R13" i="3"/>
  <c r="C85" i="3"/>
  <c r="Q28" i="3"/>
  <c r="F103" i="5"/>
  <c r="I103" i="5" s="1"/>
  <c r="C84" i="3"/>
  <c r="F75" i="4"/>
  <c r="R27" i="3"/>
  <c r="E84" i="3"/>
  <c r="D83" i="3"/>
  <c r="T27" i="3"/>
  <c r="D75" i="4"/>
  <c r="D84" i="3"/>
  <c r="R51" i="6"/>
  <c r="U37" i="6"/>
  <c r="E83" i="3"/>
  <c r="G84" i="3"/>
  <c r="O31" i="3"/>
  <c r="H85" i="3"/>
  <c r="R33" i="6"/>
  <c r="U39" i="6"/>
  <c r="B84" i="3"/>
  <c r="C93" i="5"/>
  <c r="D93" i="5" s="1"/>
  <c r="B74" i="4"/>
  <c r="J84" i="3"/>
  <c r="R30" i="3"/>
  <c r="J83" i="4"/>
  <c r="S27" i="3"/>
  <c r="P30" i="3"/>
  <c r="T31" i="3"/>
  <c r="D83" i="4"/>
  <c r="F108" i="5"/>
  <c r="I108" i="5" s="1"/>
  <c r="U51" i="6"/>
  <c r="V27" i="3"/>
  <c r="T28" i="3"/>
  <c r="D87" i="4"/>
  <c r="F63" i="4"/>
  <c r="F82" i="4"/>
  <c r="P27" i="3"/>
  <c r="J75" i="4"/>
  <c r="I86" i="3"/>
  <c r="P123" i="6"/>
  <c r="O99" i="6"/>
  <c r="O89" i="6"/>
  <c r="O97" i="6"/>
  <c r="O93" i="6"/>
  <c r="O91" i="6"/>
  <c r="O94" i="6"/>
  <c r="O95" i="6"/>
  <c r="O92" i="6"/>
  <c r="P28" i="3"/>
  <c r="P31" i="3"/>
  <c r="V17" i="3"/>
  <c r="V16" i="3"/>
  <c r="F78" i="4"/>
  <c r="R94" i="6"/>
  <c r="K79" i="4"/>
  <c r="T75" i="6"/>
  <c r="J79" i="4"/>
  <c r="U91" i="6"/>
  <c r="U96" i="6"/>
  <c r="U90" i="6"/>
  <c r="U99" i="6"/>
  <c r="U98" i="6"/>
  <c r="U95" i="6"/>
  <c r="U94" i="6"/>
  <c r="U93" i="6"/>
  <c r="U87" i="6"/>
  <c r="U92" i="6"/>
  <c r="O96" i="6"/>
  <c r="G78" i="5"/>
  <c r="O87" i="6"/>
  <c r="U97" i="6"/>
  <c r="R17" i="3"/>
  <c r="R16" i="3"/>
  <c r="V31" i="3"/>
  <c r="V30" i="3"/>
  <c r="F79" i="4"/>
  <c r="B98" i="5"/>
  <c r="D79" i="4"/>
  <c r="I98" i="5"/>
  <c r="O17" i="3"/>
  <c r="O16" i="3"/>
  <c r="P114" i="6"/>
  <c r="P115" i="6"/>
  <c r="P116" i="6"/>
  <c r="P121" i="6"/>
  <c r="P118" i="6"/>
  <c r="P117" i="6"/>
  <c r="P120" i="6"/>
  <c r="P119" i="6"/>
  <c r="R97" i="6"/>
  <c r="R99" i="6"/>
  <c r="R91" i="6"/>
  <c r="R95" i="6"/>
  <c r="R92" i="6"/>
  <c r="R98" i="6"/>
  <c r="R96" i="6"/>
  <c r="R93" i="6"/>
  <c r="R87" i="6"/>
  <c r="R90" i="6"/>
  <c r="S11" i="20"/>
  <c r="U54" i="20"/>
  <c r="H86" i="3"/>
  <c r="J86" i="3"/>
  <c r="K86" i="3"/>
  <c r="F86" i="3"/>
  <c r="D86" i="3"/>
  <c r="G86" i="3"/>
  <c r="C86" i="3"/>
  <c r="E86" i="3"/>
  <c r="U31" i="3"/>
  <c r="R36" i="6"/>
  <c r="R31" i="6"/>
  <c r="R38" i="6"/>
  <c r="U29" i="6"/>
  <c r="U38" i="6"/>
  <c r="U33" i="6"/>
  <c r="Q89" i="6"/>
  <c r="S27" i="6"/>
  <c r="T30" i="3"/>
  <c r="S48" i="21"/>
  <c r="J127" i="9" s="1"/>
  <c r="O35" i="6"/>
  <c r="O51" i="6"/>
  <c r="O34" i="6"/>
  <c r="O33" i="6"/>
  <c r="O29" i="6"/>
  <c r="C78" i="5"/>
  <c r="H78" i="5" s="1"/>
  <c r="P27" i="6"/>
  <c r="Q16" i="3"/>
  <c r="Q17" i="3"/>
  <c r="J87" i="3"/>
  <c r="F87" i="3"/>
  <c r="B87" i="3"/>
  <c r="I87" i="3"/>
  <c r="E87" i="3"/>
  <c r="G87" i="3"/>
  <c r="J87" i="4"/>
  <c r="B108" i="5"/>
  <c r="Q96" i="6"/>
  <c r="Q99" i="6"/>
  <c r="Q93" i="6"/>
  <c r="Q90" i="6"/>
  <c r="Q94" i="6"/>
  <c r="O28" i="3"/>
  <c r="O27" i="3"/>
  <c r="R39" i="6"/>
  <c r="R35" i="6"/>
  <c r="U35" i="6"/>
  <c r="U30" i="6"/>
  <c r="Q97" i="6"/>
  <c r="V28" i="3"/>
  <c r="Q91" i="6"/>
  <c r="Q48" i="21"/>
  <c r="N127" i="9" s="1"/>
  <c r="N28" i="3"/>
  <c r="N31" i="3"/>
  <c r="Q27" i="3"/>
  <c r="Q30" i="3"/>
  <c r="J83" i="3"/>
  <c r="G83" i="3"/>
  <c r="C83" i="3"/>
  <c r="B83" i="5"/>
  <c r="F67" i="4"/>
  <c r="S117" i="6"/>
  <c r="S121" i="6"/>
  <c r="S118" i="6"/>
  <c r="S114" i="6"/>
  <c r="S122" i="6"/>
  <c r="H87" i="3"/>
  <c r="G108" i="5"/>
  <c r="C108" i="5"/>
  <c r="V89" i="6" l="1"/>
  <c r="V99" i="6"/>
  <c r="V98" i="6"/>
  <c r="V87" i="6"/>
  <c r="V92" i="6"/>
  <c r="V95" i="6"/>
  <c r="V93" i="6"/>
  <c r="V96" i="6"/>
  <c r="V97" i="6"/>
  <c r="V90" i="6"/>
  <c r="V94" i="6"/>
  <c r="V91" i="6"/>
  <c r="T123" i="6"/>
  <c r="T117" i="6"/>
  <c r="T115" i="6"/>
  <c r="T120" i="6"/>
  <c r="D70" i="4"/>
  <c r="T122" i="6"/>
  <c r="T121" i="6"/>
  <c r="T116" i="6"/>
  <c r="T114" i="6"/>
  <c r="T119" i="6"/>
  <c r="U114" i="6"/>
  <c r="U121" i="6"/>
  <c r="U117" i="6"/>
  <c r="U115" i="6"/>
  <c r="T113" i="6"/>
  <c r="D88" i="5"/>
  <c r="U119" i="6"/>
  <c r="U113" i="6"/>
  <c r="U116" i="6"/>
  <c r="U122" i="6"/>
  <c r="U123" i="6"/>
  <c r="U120" i="6"/>
  <c r="H108" i="5"/>
  <c r="P89" i="6"/>
  <c r="P96" i="6"/>
  <c r="P94" i="6"/>
  <c r="D83" i="5"/>
  <c r="P97" i="6"/>
  <c r="P87" i="6"/>
  <c r="P95" i="6"/>
  <c r="P91" i="6"/>
  <c r="P93" i="6"/>
  <c r="D103" i="5"/>
  <c r="F86" i="4"/>
  <c r="P99" i="6"/>
  <c r="P90" i="6"/>
  <c r="H103" i="5"/>
  <c r="D98" i="5"/>
  <c r="H93" i="5"/>
  <c r="D74" i="4"/>
  <c r="F74" i="4"/>
  <c r="P34" i="6"/>
  <c r="P51" i="6"/>
  <c r="P32" i="6"/>
  <c r="P29" i="6"/>
  <c r="P33" i="6"/>
  <c r="P35" i="6"/>
  <c r="P31" i="6"/>
  <c r="P37" i="6"/>
  <c r="P30" i="6"/>
  <c r="P39" i="6"/>
  <c r="P36" i="6"/>
  <c r="D108" i="5"/>
  <c r="S38" i="6"/>
  <c r="S29" i="6"/>
  <c r="S30" i="6"/>
  <c r="S31" i="6"/>
  <c r="S32" i="6"/>
  <c r="S35" i="6"/>
  <c r="S36" i="6"/>
  <c r="S39" i="6"/>
  <c r="S37" i="6"/>
  <c r="S34" i="6"/>
  <c r="S33" i="6"/>
  <c r="S51" i="6"/>
  <c r="D78" i="5"/>
  <c r="T98" i="6"/>
  <c r="T90" i="6"/>
  <c r="T93" i="6"/>
  <c r="T95" i="6"/>
  <c r="T94" i="6"/>
  <c r="T96" i="6"/>
  <c r="T92" i="6"/>
  <c r="T99" i="6"/>
  <c r="T87" i="6"/>
  <c r="T89" i="6"/>
  <c r="T97" i="6"/>
  <c r="T91" i="6"/>
</calcChain>
</file>

<file path=xl/sharedStrings.xml><?xml version="1.0" encoding="utf-8"?>
<sst xmlns="http://schemas.openxmlformats.org/spreadsheetml/2006/main" count="1034" uniqueCount="167">
  <si>
    <t>Násobnost přihlášek</t>
  </si>
  <si>
    <t>1997/98</t>
  </si>
  <si>
    <t>1998/99</t>
  </si>
  <si>
    <t>1999/2000</t>
  </si>
  <si>
    <t>2000/01</t>
  </si>
  <si>
    <t>2001/02</t>
  </si>
  <si>
    <t>10 a více</t>
  </si>
  <si>
    <t>počet přihlášek</t>
  </si>
  <si>
    <t>přihlášené osoby</t>
  </si>
  <si>
    <t>počet přijatých osob</t>
  </si>
  <si>
    <t>počet zapsaných osob</t>
  </si>
  <si>
    <t>1999/00</t>
  </si>
  <si>
    <t>přihlášení</t>
  </si>
  <si>
    <t>podíl na počtu maturantů</t>
  </si>
  <si>
    <t>zapsaní</t>
  </si>
  <si>
    <t>x</t>
  </si>
  <si>
    <t>Počet podaných přihlášek</t>
  </si>
  <si>
    <t>Index přihlášek</t>
  </si>
  <si>
    <t>celkem</t>
  </si>
  <si>
    <t>Skupiny oborů</t>
  </si>
  <si>
    <t>Celkem</t>
  </si>
  <si>
    <t>Počet přihlášených</t>
  </si>
  <si>
    <t>Struktura přihlášených podle skupin oborů</t>
  </si>
  <si>
    <t>Počet přijatých</t>
  </si>
  <si>
    <t>Struktura zapsaných podle skupin oborů</t>
  </si>
  <si>
    <t>30 a více</t>
  </si>
  <si>
    <t>průměr</t>
  </si>
  <si>
    <t>Pohlaví</t>
  </si>
  <si>
    <t>Počet přijetí</t>
  </si>
  <si>
    <t>Index přijetí</t>
  </si>
  <si>
    <t>Počet zapsání</t>
  </si>
  <si>
    <t>Index zapsání</t>
  </si>
  <si>
    <t>Muži</t>
  </si>
  <si>
    <t>Ženy</t>
  </si>
  <si>
    <t>Struktura přijatých v %</t>
  </si>
  <si>
    <t>Věk k 31.8.1999</t>
  </si>
  <si>
    <t>Věk k 31.8.2000</t>
  </si>
  <si>
    <t>Věk k 31.8.2001</t>
  </si>
  <si>
    <t>Struktura přihlášených v %</t>
  </si>
  <si>
    <t>Struktura zapsaných v %</t>
  </si>
  <si>
    <t>Věk k 31.8.2002</t>
  </si>
  <si>
    <t>2002/03</t>
  </si>
  <si>
    <t>Počet zapsaných</t>
  </si>
  <si>
    <t xml:space="preserve"> církevní</t>
  </si>
  <si>
    <t xml:space="preserve"> celkem</t>
  </si>
  <si>
    <t>Počet přihlášek uchazečů, kteří se dostavili k přijímacímu řízení</t>
  </si>
  <si>
    <t>Podíl přihlášek uchazečů, kteří se dostavili k přijímacímu řízení</t>
  </si>
  <si>
    <t xml:space="preserve">Počet přihlášených </t>
  </si>
  <si>
    <t>celkem přihlá-šených</t>
  </si>
  <si>
    <t xml:space="preserve"> </t>
  </si>
  <si>
    <t>Zřizovatel</t>
  </si>
  <si>
    <t xml:space="preserve"> veřejný</t>
  </si>
  <si>
    <t xml:space="preserve"> soukromý</t>
  </si>
  <si>
    <t>2003/04</t>
  </si>
  <si>
    <t>2004/05</t>
  </si>
  <si>
    <t>Věk k 31.8.2004</t>
  </si>
  <si>
    <t>Věk k 31.8.2003</t>
  </si>
  <si>
    <t>Počet přihlášených,
kteří se dostavili
k přijímacímu řízení</t>
  </si>
  <si>
    <t>Počet přihlášených, kteří se dostavili k přijímacímu řízení</t>
  </si>
  <si>
    <t>Počet uchazečů, kteří se dostavili k přijímacímu řízení</t>
  </si>
  <si>
    <t>Přírodní vědy a nauky</t>
  </si>
  <si>
    <t>Technické vědy a nauky</t>
  </si>
  <si>
    <t>Ekonomické vědy a nauky</t>
  </si>
  <si>
    <t>Humanitní a spol. vědy a nauky</t>
  </si>
  <si>
    <t xml:space="preserve">Právní vědy a nauky </t>
  </si>
  <si>
    <t>Pedagogika, učitelství a soc. péče*</t>
  </si>
  <si>
    <t>Zdravotnictví, lékařské a farmaceut.vědy a nauky</t>
  </si>
  <si>
    <t xml:space="preserve">Zemědělsko-lesnické  a veterinární vědy a nauky </t>
  </si>
  <si>
    <t>Vědy a nauky o kultuře a umění</t>
  </si>
  <si>
    <t>Věk k 31.8.</t>
  </si>
  <si>
    <t>Počet přijatých / počet přihlášených</t>
  </si>
  <si>
    <t>Úspěšnost uchazečů*)</t>
  </si>
  <si>
    <t xml:space="preserve">Počet přijatých / počet přihlášených </t>
  </si>
  <si>
    <t>.</t>
  </si>
  <si>
    <t>Struktura přjiatých podle skupin oborů</t>
  </si>
  <si>
    <t>Údaje za všechny formy a druhy studia.</t>
  </si>
  <si>
    <t>2005/06</t>
  </si>
  <si>
    <t xml:space="preserve">25 a více let </t>
  </si>
  <si>
    <t>Věk k 31.8.2005</t>
  </si>
  <si>
    <t>Úspěšnost (přijatí / přihlášení),  od r. 2004/05 přijatí / přihlášení, kteří se dostavili k přijímacímu řízení</t>
  </si>
  <si>
    <t>* Od roku 1999/00 včetně soc. práce.</t>
  </si>
  <si>
    <t>Ležatý křížek ( x ) značí, že zápis není možný z logických důvodů</t>
  </si>
  <si>
    <t>Tečka ( . ) na místě čísla značí, že údaj není k dispozici nebo je nespolehlivý</t>
  </si>
  <si>
    <t>Ležatá čárka ( - ) na místě čísla značí, že jev se nevyskytoval</t>
  </si>
  <si>
    <t>2006/07</t>
  </si>
  <si>
    <t>Věk k 31.8.2006</t>
  </si>
  <si>
    <t>Seznam tabulek a grafů</t>
  </si>
  <si>
    <t>2007/08</t>
  </si>
  <si>
    <t>Věk k 31.8.2007</t>
  </si>
  <si>
    <t>2008/09</t>
  </si>
  <si>
    <t>Denní forma vzdělávání</t>
  </si>
  <si>
    <t>Věk k 31.8.2008</t>
  </si>
  <si>
    <t>Násobnost brána za všechny druhy a formy vzdělávání celkem.</t>
  </si>
  <si>
    <t>Forma vzdělávání</t>
  </si>
  <si>
    <t>denní forma vzdělávání</t>
  </si>
  <si>
    <t>dálková forma vzdělávání</t>
  </si>
  <si>
    <t>Index přihlášek (počet přihlášek na 1 přihlášeného)</t>
  </si>
  <si>
    <t>Ostatní formy vdělávání</t>
  </si>
  <si>
    <t xml:space="preserve"> 1999/00</t>
  </si>
  <si>
    <t>Počet přihlášených a zapsaných na VOŠ ve vztahu k populaci 18/19letých a k počtu maturantů v denní formě vzdělávání</t>
  </si>
  <si>
    <t>Počet přihlášených a zapsaných do denní formy vzdělávání na VOŠ ve vztahu k populaci 18/19letých a k počtu maturantů v denní formě vzdělávání</t>
  </si>
  <si>
    <t>* Počet přijatých / počet uchazečů, kteří se dostavili  k přijímacímu řízení.</t>
  </si>
  <si>
    <t>Věk k 31. 8. příslušného roku</t>
  </si>
  <si>
    <t>Struktura přihlášených v %</t>
  </si>
  <si>
    <t>Struktura přijatých v %</t>
  </si>
  <si>
    <t>Struktura zapsaných v %</t>
  </si>
  <si>
    <t>podíl na počtu 18/19letých*</t>
  </si>
  <si>
    <t>18/19letí k 31.12.*</t>
  </si>
  <si>
    <t>2009/10</t>
  </si>
  <si>
    <t>Věk k 31.8.2009</t>
  </si>
  <si>
    <t>Počet
podaných
přihlášek</t>
  </si>
  <si>
    <t>Počet
přihlášených</t>
  </si>
  <si>
    <t>Index
přihlášek</t>
  </si>
  <si>
    <t xml:space="preserve">Počet
přijatých </t>
  </si>
  <si>
    <t>Počet
zapsaných</t>
  </si>
  <si>
    <t>Úspěšnost
uchazečů*)</t>
  </si>
  <si>
    <t>Počet přihlášek uchazečů,
kteří se dostavili
k přijímacímu řízení</t>
  </si>
  <si>
    <t>Podíl přihlášek uchazečů,
kteří se dostavili 
k přijímacímu řízení</t>
  </si>
  <si>
    <t>2010/11</t>
  </si>
  <si>
    <t>Věk k 31.8.2010</t>
  </si>
  <si>
    <t>Počet zapsaných podle skupin oborů</t>
  </si>
  <si>
    <t>2011/12</t>
  </si>
  <si>
    <t>forma_st_prihl</t>
  </si>
  <si>
    <t>DK</t>
  </si>
  <si>
    <t>P</t>
  </si>
  <si>
    <t>prihlaseni</t>
  </si>
  <si>
    <t>prijati</t>
  </si>
  <si>
    <t>zapsani</t>
  </si>
  <si>
    <t>Column Sum %</t>
  </si>
  <si>
    <t>vek</t>
  </si>
  <si>
    <t>Sum</t>
  </si>
  <si>
    <t>Věk k 31.8.2011</t>
  </si>
  <si>
    <t>2012/13</t>
  </si>
  <si>
    <t>2010/12</t>
  </si>
  <si>
    <t>2013/14</t>
  </si>
  <si>
    <t>Věk k 31.8.2012</t>
  </si>
  <si>
    <t>Věk k 31.8.2013</t>
  </si>
  <si>
    <t>2014/15</t>
  </si>
  <si>
    <t>Věk k 31.8.2014</t>
  </si>
  <si>
    <t>2015/16</t>
  </si>
  <si>
    <t xml:space="preserve">* Do roku 2000 populace 18letých, od roku 2001 populace 19letých. </t>
  </si>
  <si>
    <t>Věk k 31.8.2015</t>
  </si>
  <si>
    <t>2016/17</t>
  </si>
  <si>
    <t>Věk k 31.8.2016</t>
  </si>
  <si>
    <t>maturanti v předch. roce (denní forma vzdělávání)</t>
  </si>
  <si>
    <t>2017/18</t>
  </si>
  <si>
    <t>Věk k 31.8.2017</t>
  </si>
  <si>
    <t>18 a méně</t>
  </si>
  <si>
    <t>2018/19</t>
  </si>
  <si>
    <t>-</t>
  </si>
  <si>
    <t>Věk k 31.8.2018</t>
  </si>
  <si>
    <t>2019/20</t>
  </si>
  <si>
    <t>Věk k 31.8.2019</t>
  </si>
  <si>
    <t>2020/21</t>
  </si>
  <si>
    <t>Věk k 31.8.2020</t>
  </si>
  <si>
    <t>Počet přihlášek, přihlášených, přijatých a zapsaných na VOŠ 1999/00–2021/22 v tisících</t>
  </si>
  <si>
    <t>2021/22</t>
  </si>
  <si>
    <t>Uchazeči o studium na VOŠ podle počtu podaných přihlášek 1999/00–2021/22</t>
  </si>
  <si>
    <t>Struktura uchazečů na VOŠ podle počtu podaných přihlášek 1999/00–2021/22 v %</t>
  </si>
  <si>
    <t>Počet přihlášek, přihlášených, přijatých a zapsaných na VOŠ podle formy vzdělávání v letech 1999/00–2021/22</t>
  </si>
  <si>
    <t>Počet přihlášek, přihlášených, přijatých a zapsaných na VOŠ podle zřizovatele v letech 1999/00–2021/22</t>
  </si>
  <si>
    <t>Počet přihlášek, přihlášených, přijatých a zapsaných na VOŠ podle skupin oborů v letech 1999/00–2021/22</t>
  </si>
  <si>
    <t>Počet přihlášek, přihlášených, přijetí, přijatých, zapsání a zapsaných na VOŠ podle pohlaví v letech 1999/00–2021/22</t>
  </si>
  <si>
    <t>Uchazeči přijatí do denní formy vzdělávání na VOŠ podle věku v letech 1999/00–2021/22</t>
  </si>
  <si>
    <t>Podíly uchazečů přijatých do denní formy vzdělávání na VOŠ podle věku v letech 1999/00–2021/22</t>
  </si>
  <si>
    <t>Struktura přihlášených, přijatých a zapsaných na VOŠ podle věku v letech 1999/00–2021/22</t>
  </si>
  <si>
    <t>Věk k 31.8.2021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</si>
</sst>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K_č_-;\-* #,##0.00\ _K_č_-;_-* &quot;-&quot;??\ _K_č_-;_-@_-"/>
    <numFmt numFmtId="165" formatCode="_(* #,##0.00_);_(* \(#,##0.00\);_(* &quot;-&quot;??_);_(@_)"/>
    <numFmt numFmtId="166" formatCode="#,##0.0"/>
    <numFmt numFmtId="167" formatCode="#,##0;;\-"/>
    <numFmt numFmtId="168" formatCode="0.0"/>
    <numFmt numFmtId="169" formatCode="0.0%"/>
    <numFmt numFmtId="170" formatCode="_-* #,##0\ _K_č_-;\-* #,##0\ _K_č_-;_-* &quot;-&quot;??\ _K_č_-;_-@_-"/>
    <numFmt numFmtId="171" formatCode="_(* #,##0_);_(* \(#,##0\);_(* &quot;-&quot;??_);_(@_)"/>
    <numFmt numFmtId="172" formatCode="#,##0_ ;[Red]\-#,##0\ ;\-\ "/>
    <numFmt numFmtId="173" formatCode="#,##0.00_ ;[Red]\-#,##0.00\ ;\-\ "/>
    <numFmt numFmtId="174" formatCode="0.0%\ ;;\-\ "/>
    <numFmt numFmtId="175" formatCode="0.00%\ ;;\-\ "/>
  </numFmts>
  <fonts count="18" x14ac:knownFonts="1">
    <font>
      <sz val="10"/>
      <name val="Arial CE"/>
    </font>
    <font>
      <sz val="10"/>
      <name val="Arial CE"/>
    </font>
    <font>
      <sz val="10"/>
      <name val="Times New Roman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sz val="10"/>
      <name val="Arial Narrow"/>
      <family val="2"/>
    </font>
    <font>
      <sz val="10"/>
      <color indexed="10"/>
      <name val="Arial Narrow"/>
      <family val="2"/>
    </font>
    <font>
      <sz val="10"/>
      <name val="Arial Narrow"/>
      <family val="2"/>
    </font>
    <font>
      <sz val="10"/>
      <color indexed="9"/>
      <name val="Arial Narrow"/>
      <family val="2"/>
    </font>
    <font>
      <sz val="10"/>
      <color indexed="10"/>
      <name val="Arial Narrow"/>
      <family val="2"/>
      <charset val="238"/>
    </font>
    <font>
      <sz val="8"/>
      <name val="Arial CE"/>
    </font>
    <font>
      <sz val="11"/>
      <color rgb="FF9C65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12" fillId="4" borderId="0" applyNumberFormat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61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3" fillId="0" borderId="0" xfId="0" applyFont="1" applyFill="1" applyBorder="1" applyAlignment="1"/>
    <xf numFmtId="3" fontId="4" fillId="2" borderId="1" xfId="0" applyNumberFormat="1" applyFont="1" applyFill="1" applyBorder="1" applyAlignment="1">
      <alignment horizontal="centerContinuous" vertical="center"/>
    </xf>
    <xf numFmtId="166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 applyAlignment="1">
      <alignment horizontal="center"/>
    </xf>
    <xf numFmtId="169" fontId="3" fillId="0" borderId="0" xfId="5" applyNumberFormat="1" applyFont="1"/>
    <xf numFmtId="0" fontId="3" fillId="3" borderId="0" xfId="0" applyFont="1" applyFill="1" applyAlignment="1">
      <alignment horizontal="center"/>
    </xf>
    <xf numFmtId="0" fontId="3" fillId="0" borderId="0" xfId="0" applyFont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0" xfId="0" applyFont="1" applyFill="1"/>
    <xf numFmtId="0" fontId="3" fillId="0" borderId="0" xfId="0" applyFont="1" applyBorder="1" applyAlignment="1"/>
    <xf numFmtId="3" fontId="3" fillId="0" borderId="0" xfId="0" applyNumberFormat="1" applyFont="1" applyAlignment="1">
      <alignment horizontal="center"/>
    </xf>
    <xf numFmtId="169" fontId="4" fillId="0" borderId="0" xfId="5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Fill="1" applyBorder="1"/>
    <xf numFmtId="0" fontId="3" fillId="0" borderId="0" xfId="0" applyFont="1" applyFill="1" applyBorder="1"/>
    <xf numFmtId="169" fontId="3" fillId="0" borderId="0" xfId="0" applyNumberFormat="1" applyFont="1"/>
    <xf numFmtId="0" fontId="4" fillId="0" borderId="0" xfId="0" applyFont="1" applyFill="1"/>
    <xf numFmtId="0" fontId="4" fillId="0" borderId="4" xfId="0" applyFont="1" applyBorder="1" applyAlignment="1">
      <alignment horizontal="center"/>
    </xf>
    <xf numFmtId="3" fontId="4" fillId="2" borderId="2" xfId="0" applyNumberFormat="1" applyFont="1" applyFill="1" applyBorder="1" applyAlignment="1">
      <alignment horizontal="centerContinuous" vertical="center" wrapText="1"/>
    </xf>
    <xf numFmtId="3" fontId="4" fillId="2" borderId="5" xfId="0" applyNumberFormat="1" applyFont="1" applyFill="1" applyBorder="1" applyAlignment="1">
      <alignment horizontal="centerContinuous" vertical="center"/>
    </xf>
    <xf numFmtId="3" fontId="4" fillId="2" borderId="6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Continuous" vertical="center" wrapText="1"/>
    </xf>
    <xf numFmtId="3" fontId="4" fillId="2" borderId="7" xfId="4" quotePrefix="1" applyNumberFormat="1" applyFont="1" applyFill="1" applyBorder="1" applyAlignment="1">
      <alignment horizontal="centerContinuous" vertical="center"/>
    </xf>
    <xf numFmtId="3" fontId="4" fillId="2" borderId="8" xfId="0" quotePrefix="1" applyNumberFormat="1" applyFont="1" applyFill="1" applyBorder="1" applyAlignment="1">
      <alignment horizontal="centerContinuous" vertical="center"/>
    </xf>
    <xf numFmtId="3" fontId="3" fillId="2" borderId="9" xfId="0" quotePrefix="1" applyNumberFormat="1" applyFont="1" applyFill="1" applyBorder="1" applyAlignment="1">
      <alignment horizontal="centerContinuous" vertical="center"/>
    </xf>
    <xf numFmtId="3" fontId="4" fillId="2" borderId="9" xfId="0" quotePrefix="1" applyNumberFormat="1" applyFont="1" applyFill="1" applyBorder="1" applyAlignment="1">
      <alignment horizontal="centerContinuous" vertical="center"/>
    </xf>
    <xf numFmtId="3" fontId="3" fillId="2" borderId="10" xfId="0" quotePrefix="1" applyNumberFormat="1" applyFont="1" applyFill="1" applyBorder="1" applyAlignment="1">
      <alignment horizontal="centerContinuous" vertical="center"/>
    </xf>
    <xf numFmtId="3" fontId="4" fillId="2" borderId="1" xfId="4" applyNumberFormat="1" applyFont="1" applyFill="1" applyBorder="1" applyAlignment="1">
      <alignment horizontal="centerContinuous" vertical="center" wrapText="1"/>
    </xf>
    <xf numFmtId="3" fontId="4" fillId="2" borderId="11" xfId="4" applyNumberFormat="1" applyFont="1" applyFill="1" applyBorder="1" applyAlignment="1">
      <alignment horizontal="centerContinuous" vertical="center"/>
    </xf>
    <xf numFmtId="3" fontId="4" fillId="2" borderId="12" xfId="4" quotePrefix="1" applyNumberFormat="1" applyFont="1" applyFill="1" applyBorder="1" applyAlignment="1">
      <alignment horizontal="centerContinuous" vertical="center"/>
    </xf>
    <xf numFmtId="3" fontId="4" fillId="2" borderId="11" xfId="4" quotePrefix="1" applyNumberFormat="1" applyFont="1" applyFill="1" applyBorder="1" applyAlignment="1">
      <alignment horizontal="centerContinuous" vertical="center"/>
    </xf>
    <xf numFmtId="0" fontId="4" fillId="2" borderId="13" xfId="0" applyFont="1" applyFill="1" applyBorder="1" applyAlignment="1">
      <alignment horizontal="centerContinuous"/>
    </xf>
    <xf numFmtId="0" fontId="4" fillId="2" borderId="14" xfId="0" applyFont="1" applyFill="1" applyBorder="1" applyAlignment="1">
      <alignment horizontal="centerContinuous"/>
    </xf>
    <xf numFmtId="0" fontId="4" fillId="2" borderId="8" xfId="0" applyFont="1" applyFill="1" applyBorder="1" applyAlignment="1">
      <alignment horizontal="centerContinuous"/>
    </xf>
    <xf numFmtId="0" fontId="4" fillId="2" borderId="9" xfId="0" applyFont="1" applyFill="1" applyBorder="1" applyAlignment="1">
      <alignment horizontal="centerContinuous"/>
    </xf>
    <xf numFmtId="0" fontId="4" fillId="2" borderId="10" xfId="0" applyFont="1" applyFill="1" applyBorder="1" applyAlignment="1">
      <alignment horizontal="centerContinuous"/>
    </xf>
    <xf numFmtId="0" fontId="4" fillId="0" borderId="0" xfId="0" applyFont="1" applyFill="1" applyAlignment="1"/>
    <xf numFmtId="0" fontId="3" fillId="0" borderId="0" xfId="0" applyFont="1" applyFill="1" applyAlignment="1"/>
    <xf numFmtId="169" fontId="3" fillId="0" borderId="0" xfId="5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" fontId="4" fillId="2" borderId="15" xfId="0" applyNumberFormat="1" applyFont="1" applyFill="1" applyBorder="1" applyAlignment="1">
      <alignment horizontal="centerContinuous" vertical="center" wrapText="1"/>
    </xf>
    <xf numFmtId="10" fontId="3" fillId="0" borderId="0" xfId="0" quotePrefix="1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right"/>
    </xf>
    <xf numFmtId="3" fontId="4" fillId="2" borderId="17" xfId="0" applyNumberFormat="1" applyFont="1" applyFill="1" applyBorder="1" applyAlignment="1">
      <alignment horizontal="center"/>
    </xf>
    <xf numFmtId="3" fontId="4" fillId="2" borderId="18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169" fontId="4" fillId="0" borderId="0" xfId="5" applyNumberFormat="1" applyFont="1" applyFill="1"/>
    <xf numFmtId="3" fontId="4" fillId="2" borderId="6" xfId="0" applyNumberFormat="1" applyFont="1" applyFill="1" applyBorder="1" applyAlignment="1">
      <alignment horizontal="centerContinuous" vertical="center"/>
    </xf>
    <xf numFmtId="3" fontId="4" fillId="2" borderId="20" xfId="0" applyNumberFormat="1" applyFont="1" applyFill="1" applyBorder="1" applyAlignment="1">
      <alignment horizontal="centerContinuous" vertical="center"/>
    </xf>
    <xf numFmtId="3" fontId="4" fillId="2" borderId="21" xfId="0" applyNumberFormat="1" applyFont="1" applyFill="1" applyBorder="1" applyAlignment="1">
      <alignment horizontal="centerContinuous" vertical="center"/>
    </xf>
    <xf numFmtId="169" fontId="3" fillId="3" borderId="22" xfId="5" applyNumberFormat="1" applyFont="1" applyFill="1" applyBorder="1" applyAlignment="1">
      <alignment horizontal="right"/>
    </xf>
    <xf numFmtId="169" fontId="3" fillId="3" borderId="23" xfId="5" applyNumberFormat="1" applyFont="1" applyFill="1" applyBorder="1" applyAlignment="1">
      <alignment horizontal="right"/>
    </xf>
    <xf numFmtId="169" fontId="3" fillId="3" borderId="24" xfId="5" applyNumberFormat="1" applyFont="1" applyFill="1" applyBorder="1" applyAlignment="1">
      <alignment horizontal="right"/>
    </xf>
    <xf numFmtId="169" fontId="3" fillId="3" borderId="25" xfId="5" applyNumberFormat="1" applyFont="1" applyFill="1" applyBorder="1" applyAlignment="1">
      <alignment horizontal="right"/>
    </xf>
    <xf numFmtId="169" fontId="3" fillId="3" borderId="26" xfId="5" applyNumberFormat="1" applyFont="1" applyFill="1" applyBorder="1" applyAlignment="1">
      <alignment horizontal="right"/>
    </xf>
    <xf numFmtId="169" fontId="3" fillId="3" borderId="27" xfId="5" applyNumberFormat="1" applyFont="1" applyFill="1" applyBorder="1" applyAlignment="1">
      <alignment horizontal="right"/>
    </xf>
    <xf numFmtId="169" fontId="3" fillId="3" borderId="28" xfId="5" applyNumberFormat="1" applyFont="1" applyFill="1" applyBorder="1" applyAlignment="1">
      <alignment horizontal="right"/>
    </xf>
    <xf numFmtId="169" fontId="3" fillId="3" borderId="29" xfId="5" applyNumberFormat="1" applyFont="1" applyFill="1" applyBorder="1" applyAlignment="1">
      <alignment horizontal="right"/>
    </xf>
    <xf numFmtId="169" fontId="3" fillId="3" borderId="30" xfId="5" applyNumberFormat="1" applyFont="1" applyFill="1" applyBorder="1" applyAlignment="1">
      <alignment horizontal="right"/>
    </xf>
    <xf numFmtId="3" fontId="4" fillId="2" borderId="31" xfId="0" applyNumberFormat="1" applyFont="1" applyFill="1" applyBorder="1" applyAlignment="1">
      <alignment horizontal="centerContinuous" vertical="center"/>
    </xf>
    <xf numFmtId="3" fontId="4" fillId="2" borderId="32" xfId="0" applyNumberFormat="1" applyFont="1" applyFill="1" applyBorder="1" applyAlignment="1">
      <alignment horizontal="centerContinuous" vertical="center"/>
    </xf>
    <xf numFmtId="169" fontId="3" fillId="3" borderId="33" xfId="5" applyNumberFormat="1" applyFont="1" applyFill="1" applyBorder="1" applyAlignment="1">
      <alignment horizontal="right"/>
    </xf>
    <xf numFmtId="169" fontId="3" fillId="3" borderId="34" xfId="5" applyNumberFormat="1" applyFont="1" applyFill="1" applyBorder="1" applyAlignment="1">
      <alignment horizontal="right"/>
    </xf>
    <xf numFmtId="169" fontId="3" fillId="3" borderId="35" xfId="5" applyNumberFormat="1" applyFont="1" applyFill="1" applyBorder="1" applyAlignment="1">
      <alignment horizontal="right"/>
    </xf>
    <xf numFmtId="169" fontId="3" fillId="3" borderId="36" xfId="5" applyNumberFormat="1" applyFont="1" applyFill="1" applyBorder="1" applyAlignment="1">
      <alignment horizontal="right"/>
    </xf>
    <xf numFmtId="169" fontId="3" fillId="3" borderId="37" xfId="5" applyNumberFormat="1" applyFont="1" applyFill="1" applyBorder="1" applyAlignment="1">
      <alignment horizontal="right"/>
    </xf>
    <xf numFmtId="169" fontId="3" fillId="3" borderId="38" xfId="5" applyNumberFormat="1" applyFont="1" applyFill="1" applyBorder="1" applyAlignment="1">
      <alignment horizontal="right"/>
    </xf>
    <xf numFmtId="3" fontId="4" fillId="2" borderId="39" xfId="0" applyNumberFormat="1" applyFont="1" applyFill="1" applyBorder="1" applyAlignment="1">
      <alignment horizontal="center" vertical="center" wrapText="1"/>
    </xf>
    <xf numFmtId="3" fontId="4" fillId="2" borderId="40" xfId="0" applyNumberFormat="1" applyFont="1" applyFill="1" applyBorder="1" applyAlignment="1">
      <alignment horizontal="center" vertical="center" wrapText="1"/>
    </xf>
    <xf numFmtId="3" fontId="4" fillId="2" borderId="41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center" vertical="center" wrapText="1"/>
    </xf>
    <xf numFmtId="3" fontId="4" fillId="2" borderId="4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Fill="1" applyBorder="1" applyAlignment="1">
      <alignment horizontal="center" vertical="center" wrapText="1"/>
    </xf>
    <xf numFmtId="169" fontId="3" fillId="0" borderId="0" xfId="5" applyNumberFormat="1" applyFont="1" applyFill="1" applyBorder="1" applyAlignment="1">
      <alignment horizontal="right"/>
    </xf>
    <xf numFmtId="165" fontId="3" fillId="0" borderId="0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3" fontId="3" fillId="3" borderId="26" xfId="0" applyNumberFormat="1" applyFont="1" applyFill="1" applyBorder="1" applyAlignment="1">
      <alignment horizontal="right"/>
    </xf>
    <xf numFmtId="168" fontId="3" fillId="3" borderId="35" xfId="0" applyNumberFormat="1" applyFont="1" applyFill="1" applyBorder="1" applyAlignment="1">
      <alignment horizontal="right"/>
    </xf>
    <xf numFmtId="3" fontId="3" fillId="0" borderId="26" xfId="0" applyNumberFormat="1" applyFont="1" applyFill="1" applyBorder="1" applyAlignment="1">
      <alignment horizontal="right"/>
    </xf>
    <xf numFmtId="168" fontId="3" fillId="0" borderId="35" xfId="0" applyNumberFormat="1" applyFont="1" applyFill="1" applyBorder="1" applyAlignment="1">
      <alignment horizontal="right"/>
    </xf>
    <xf numFmtId="3" fontId="3" fillId="0" borderId="16" xfId="0" applyNumberFormat="1" applyFont="1" applyFill="1" applyBorder="1" applyAlignment="1">
      <alignment horizontal="right"/>
    </xf>
    <xf numFmtId="0" fontId="3" fillId="0" borderId="35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/>
    <xf numFmtId="3" fontId="4" fillId="2" borderId="47" xfId="0" applyNumberFormat="1" applyFont="1" applyFill="1" applyBorder="1" applyAlignment="1">
      <alignment horizontal="center" vertical="center"/>
    </xf>
    <xf numFmtId="49" fontId="4" fillId="2" borderId="47" xfId="0" quotePrefix="1" applyNumberFormat="1" applyFont="1" applyFill="1" applyBorder="1" applyAlignment="1">
      <alignment horizontal="center" vertical="center"/>
    </xf>
    <xf numFmtId="49" fontId="4" fillId="2" borderId="47" xfId="0" applyNumberFormat="1" applyFont="1" applyFill="1" applyBorder="1" applyAlignment="1">
      <alignment horizontal="center" vertical="center"/>
    </xf>
    <xf numFmtId="166" fontId="3" fillId="3" borderId="23" xfId="0" applyNumberFormat="1" applyFont="1" applyFill="1" applyBorder="1" applyAlignment="1">
      <alignment horizontal="right"/>
    </xf>
    <xf numFmtId="166" fontId="3" fillId="0" borderId="23" xfId="0" applyNumberFormat="1" applyFont="1" applyFill="1" applyBorder="1" applyAlignment="1">
      <alignment horizontal="right"/>
    </xf>
    <xf numFmtId="166" fontId="3" fillId="3" borderId="26" xfId="0" applyNumberFormat="1" applyFont="1" applyFill="1" applyBorder="1" applyAlignment="1">
      <alignment horizontal="right"/>
    </xf>
    <xf numFmtId="166" fontId="3" fillId="0" borderId="26" xfId="0" applyNumberFormat="1" applyFont="1" applyFill="1" applyBorder="1" applyAlignment="1">
      <alignment horizontal="right"/>
    </xf>
    <xf numFmtId="166" fontId="3" fillId="3" borderId="48" xfId="0" applyNumberFormat="1" applyFont="1" applyFill="1" applyBorder="1" applyAlignment="1">
      <alignment horizontal="right"/>
    </xf>
    <xf numFmtId="0" fontId="3" fillId="0" borderId="48" xfId="0" applyFont="1" applyFill="1" applyBorder="1" applyAlignment="1">
      <alignment horizontal="right"/>
    </xf>
    <xf numFmtId="166" fontId="4" fillId="2" borderId="47" xfId="0" applyNumberFormat="1" applyFont="1" applyFill="1" applyBorder="1" applyAlignment="1">
      <alignment horizontal="center" vertical="center"/>
    </xf>
    <xf numFmtId="3" fontId="4" fillId="2" borderId="47" xfId="0" quotePrefix="1" applyNumberFormat="1" applyFont="1" applyFill="1" applyBorder="1" applyAlignment="1">
      <alignment horizontal="center" vertical="center"/>
    </xf>
    <xf numFmtId="166" fontId="3" fillId="3" borderId="49" xfId="0" applyNumberFormat="1" applyFont="1" applyFill="1" applyBorder="1" applyAlignment="1">
      <alignment horizontal="right"/>
    </xf>
    <xf numFmtId="3" fontId="3" fillId="3" borderId="49" xfId="0" quotePrefix="1" applyNumberFormat="1" applyFont="1" applyFill="1" applyBorder="1" applyAlignment="1">
      <alignment horizontal="right"/>
    </xf>
    <xf numFmtId="166" fontId="3" fillId="0" borderId="50" xfId="0" quotePrefix="1" applyNumberFormat="1" applyFont="1" applyFill="1" applyBorder="1" applyAlignment="1">
      <alignment horizontal="right"/>
    </xf>
    <xf numFmtId="169" fontId="3" fillId="3" borderId="26" xfId="5" quotePrefix="1" applyNumberFormat="1" applyFont="1" applyFill="1" applyBorder="1" applyAlignment="1">
      <alignment horizontal="right"/>
    </xf>
    <xf numFmtId="169" fontId="3" fillId="0" borderId="30" xfId="5" applyNumberFormat="1" applyFont="1" applyFill="1" applyBorder="1" applyAlignment="1">
      <alignment horizontal="right"/>
    </xf>
    <xf numFmtId="166" fontId="3" fillId="3" borderId="51" xfId="0" applyNumberFormat="1" applyFont="1" applyFill="1" applyBorder="1" applyAlignment="1">
      <alignment horizontal="right"/>
    </xf>
    <xf numFmtId="3" fontId="3" fillId="3" borderId="51" xfId="0" quotePrefix="1" applyNumberFormat="1" applyFont="1" applyFill="1" applyBorder="1" applyAlignment="1">
      <alignment horizontal="right"/>
    </xf>
    <xf numFmtId="166" fontId="3" fillId="0" borderId="52" xfId="0" quotePrefix="1" applyNumberFormat="1" applyFont="1" applyFill="1" applyBorder="1" applyAlignment="1">
      <alignment horizontal="right"/>
    </xf>
    <xf numFmtId="169" fontId="3" fillId="3" borderId="53" xfId="5" applyNumberFormat="1" applyFont="1" applyFill="1" applyBorder="1" applyAlignment="1">
      <alignment horizontal="right"/>
    </xf>
    <xf numFmtId="3" fontId="3" fillId="0" borderId="16" xfId="0" applyNumberFormat="1" applyFont="1" applyBorder="1" applyAlignment="1">
      <alignment horizontal="right"/>
    </xf>
    <xf numFmtId="3" fontId="3" fillId="3" borderId="54" xfId="0" applyNumberFormat="1" applyFont="1" applyFill="1" applyBorder="1" applyAlignment="1">
      <alignment horizontal="right"/>
    </xf>
    <xf numFmtId="3" fontId="3" fillId="3" borderId="55" xfId="0" applyNumberFormat="1" applyFont="1" applyFill="1" applyBorder="1" applyAlignment="1">
      <alignment horizontal="right"/>
    </xf>
    <xf numFmtId="3" fontId="3" fillId="3" borderId="56" xfId="0" applyNumberFormat="1" applyFont="1" applyFill="1" applyBorder="1" applyAlignment="1">
      <alignment horizontal="right"/>
    </xf>
    <xf numFmtId="4" fontId="4" fillId="3" borderId="56" xfId="0" applyNumberFormat="1" applyFont="1" applyFill="1" applyBorder="1" applyAlignment="1">
      <alignment horizontal="right"/>
    </xf>
    <xf numFmtId="169" fontId="3" fillId="3" borderId="56" xfId="5" applyNumberFormat="1" applyFont="1" applyFill="1" applyBorder="1" applyAlignment="1">
      <alignment horizontal="right"/>
    </xf>
    <xf numFmtId="169" fontId="3" fillId="3" borderId="57" xfId="5" applyNumberFormat="1" applyFont="1" applyFill="1" applyBorder="1" applyAlignment="1">
      <alignment horizontal="right"/>
    </xf>
    <xf numFmtId="3" fontId="3" fillId="3" borderId="28" xfId="0" applyNumberFormat="1" applyFont="1" applyFill="1" applyBorder="1" applyAlignment="1">
      <alignment horizontal="right"/>
    </xf>
    <xf numFmtId="3" fontId="3" fillId="3" borderId="29" xfId="0" applyNumberFormat="1" applyFont="1" applyFill="1" applyBorder="1" applyAlignment="1">
      <alignment horizontal="right"/>
    </xf>
    <xf numFmtId="3" fontId="3" fillId="3" borderId="58" xfId="0" applyNumberFormat="1" applyFont="1" applyFill="1" applyBorder="1" applyAlignment="1">
      <alignment horizontal="right"/>
    </xf>
    <xf numFmtId="3" fontId="3" fillId="3" borderId="59" xfId="0" applyNumberFormat="1" applyFont="1" applyFill="1" applyBorder="1" applyAlignment="1">
      <alignment horizontal="right"/>
    </xf>
    <xf numFmtId="169" fontId="3" fillId="3" borderId="59" xfId="5" applyNumberFormat="1" applyFont="1" applyFill="1" applyBorder="1" applyAlignment="1">
      <alignment horizontal="right"/>
    </xf>
    <xf numFmtId="169" fontId="3" fillId="3" borderId="60" xfId="5" applyNumberFormat="1" applyFont="1" applyFill="1" applyBorder="1" applyAlignment="1">
      <alignment horizontal="right"/>
    </xf>
    <xf numFmtId="3" fontId="3" fillId="3" borderId="44" xfId="0" applyNumberFormat="1" applyFont="1" applyFill="1" applyBorder="1" applyAlignment="1">
      <alignment horizontal="right"/>
    </xf>
    <xf numFmtId="3" fontId="3" fillId="3" borderId="45" xfId="0" applyNumberFormat="1" applyFont="1" applyFill="1" applyBorder="1" applyAlignment="1">
      <alignment horizontal="right"/>
    </xf>
    <xf numFmtId="169" fontId="3" fillId="3" borderId="45" xfId="5" applyNumberFormat="1" applyFont="1" applyFill="1" applyBorder="1" applyAlignment="1">
      <alignment horizontal="right"/>
    </xf>
    <xf numFmtId="172" fontId="3" fillId="0" borderId="55" xfId="4" applyNumberFormat="1" applyFont="1" applyFill="1" applyBorder="1" applyAlignment="1">
      <alignment horizontal="right" vertical="center"/>
    </xf>
    <xf numFmtId="172" fontId="3" fillId="0" borderId="56" xfId="4" applyNumberFormat="1" applyFont="1" applyFill="1" applyBorder="1" applyAlignment="1">
      <alignment horizontal="right" vertical="center"/>
    </xf>
    <xf numFmtId="174" fontId="3" fillId="0" borderId="57" xfId="5" applyNumberFormat="1" applyFont="1" applyFill="1" applyBorder="1" applyAlignment="1">
      <alignment horizontal="right" vertical="center"/>
    </xf>
    <xf numFmtId="172" fontId="3" fillId="0" borderId="25" xfId="4" applyNumberFormat="1" applyFont="1" applyFill="1" applyBorder="1" applyAlignment="1">
      <alignment horizontal="right" vertical="center"/>
    </xf>
    <xf numFmtId="172" fontId="3" fillId="0" borderId="26" xfId="4" applyNumberFormat="1" applyFont="1" applyFill="1" applyBorder="1" applyAlignment="1">
      <alignment horizontal="right" vertical="center"/>
    </xf>
    <xf numFmtId="174" fontId="3" fillId="0" borderId="27" xfId="5" applyNumberFormat="1" applyFont="1" applyFill="1" applyBorder="1" applyAlignment="1">
      <alignment horizontal="right" vertical="center"/>
    </xf>
    <xf numFmtId="172" fontId="3" fillId="0" borderId="28" xfId="4" applyNumberFormat="1" applyFont="1" applyFill="1" applyBorder="1" applyAlignment="1">
      <alignment horizontal="right" vertical="center"/>
    </xf>
    <xf numFmtId="172" fontId="3" fillId="0" borderId="29" xfId="4" applyNumberFormat="1" applyFont="1" applyFill="1" applyBorder="1" applyAlignment="1">
      <alignment horizontal="right" vertical="center"/>
    </xf>
    <xf numFmtId="174" fontId="3" fillId="0" borderId="30" xfId="5" applyNumberFormat="1" applyFont="1" applyFill="1" applyBorder="1" applyAlignment="1">
      <alignment horizontal="right" vertical="center"/>
    </xf>
    <xf numFmtId="172" fontId="3" fillId="0" borderId="58" xfId="4" applyNumberFormat="1" applyFont="1" applyFill="1" applyBorder="1" applyAlignment="1">
      <alignment horizontal="right" vertical="center"/>
    </xf>
    <xf numFmtId="172" fontId="3" fillId="0" borderId="59" xfId="4" applyNumberFormat="1" applyFont="1" applyFill="1" applyBorder="1" applyAlignment="1">
      <alignment horizontal="right" vertical="center"/>
    </xf>
    <xf numFmtId="174" fontId="3" fillId="0" borderId="60" xfId="5" applyNumberFormat="1" applyFont="1" applyFill="1" applyBorder="1" applyAlignment="1">
      <alignment horizontal="right" vertical="center"/>
    </xf>
    <xf numFmtId="172" fontId="3" fillId="0" borderId="44" xfId="4" applyNumberFormat="1" applyFont="1" applyFill="1" applyBorder="1" applyAlignment="1">
      <alignment horizontal="right" vertical="center"/>
    </xf>
    <xf numFmtId="172" fontId="3" fillId="0" borderId="45" xfId="4" applyNumberFormat="1" applyFont="1" applyFill="1" applyBorder="1" applyAlignment="1">
      <alignment horizontal="right" vertical="center"/>
    </xf>
    <xf numFmtId="174" fontId="3" fillId="0" borderId="61" xfId="5" applyNumberFormat="1" applyFont="1" applyFill="1" applyBorder="1" applyAlignment="1">
      <alignment horizontal="right" vertical="center"/>
    </xf>
    <xf numFmtId="3" fontId="3" fillId="3" borderId="27" xfId="0" applyNumberFormat="1" applyFont="1" applyFill="1" applyBorder="1" applyAlignment="1">
      <alignment horizontal="right"/>
    </xf>
    <xf numFmtId="3" fontId="3" fillId="0" borderId="29" xfId="0" applyNumberFormat="1" applyFont="1" applyFill="1" applyBorder="1" applyAlignment="1">
      <alignment horizontal="right"/>
    </xf>
    <xf numFmtId="3" fontId="3" fillId="3" borderId="30" xfId="0" applyNumberFormat="1" applyFont="1" applyFill="1" applyBorder="1" applyAlignment="1">
      <alignment horizontal="right"/>
    </xf>
    <xf numFmtId="3" fontId="3" fillId="3" borderId="60" xfId="0" applyNumberFormat="1" applyFont="1" applyFill="1" applyBorder="1" applyAlignment="1">
      <alignment horizontal="right"/>
    </xf>
    <xf numFmtId="169" fontId="3" fillId="3" borderId="51" xfId="5" applyNumberFormat="1" applyFont="1" applyFill="1" applyBorder="1" applyAlignment="1">
      <alignment horizontal="right"/>
    </xf>
    <xf numFmtId="4" fontId="3" fillId="3" borderId="51" xfId="0" applyNumberFormat="1" applyFont="1" applyFill="1" applyBorder="1" applyAlignment="1">
      <alignment horizontal="right"/>
    </xf>
    <xf numFmtId="4" fontId="3" fillId="3" borderId="52" xfId="0" applyNumberFormat="1" applyFont="1" applyFill="1" applyBorder="1" applyAlignment="1">
      <alignment horizontal="right"/>
    </xf>
    <xf numFmtId="4" fontId="3" fillId="3" borderId="26" xfId="0" applyNumberFormat="1" applyFont="1" applyFill="1" applyBorder="1" applyAlignment="1">
      <alignment horizontal="right"/>
    </xf>
    <xf numFmtId="4" fontId="3" fillId="3" borderId="27" xfId="0" applyNumberFormat="1" applyFont="1" applyFill="1" applyBorder="1" applyAlignment="1">
      <alignment horizontal="right"/>
    </xf>
    <xf numFmtId="4" fontId="3" fillId="3" borderId="29" xfId="0" applyNumberFormat="1" applyFont="1" applyFill="1" applyBorder="1" applyAlignment="1">
      <alignment horizontal="right"/>
    </xf>
    <xf numFmtId="4" fontId="3" fillId="3" borderId="30" xfId="0" applyNumberFormat="1" applyFont="1" applyFill="1" applyBorder="1" applyAlignment="1">
      <alignment horizontal="right"/>
    </xf>
    <xf numFmtId="4" fontId="3" fillId="3" borderId="59" xfId="0" applyNumberFormat="1" applyFont="1" applyFill="1" applyBorder="1" applyAlignment="1">
      <alignment horizontal="right"/>
    </xf>
    <xf numFmtId="3" fontId="3" fillId="3" borderId="51" xfId="0" applyNumberFormat="1" applyFont="1" applyFill="1" applyBorder="1" applyAlignment="1">
      <alignment horizontal="right"/>
    </xf>
    <xf numFmtId="171" fontId="3" fillId="3" borderId="51" xfId="1" applyNumberFormat="1" applyFont="1" applyFill="1" applyBorder="1" applyAlignment="1">
      <alignment horizontal="right"/>
    </xf>
    <xf numFmtId="171" fontId="3" fillId="3" borderId="52" xfId="1" applyNumberFormat="1" applyFont="1" applyFill="1" applyBorder="1" applyAlignment="1">
      <alignment horizontal="right"/>
    </xf>
    <xf numFmtId="171" fontId="3" fillId="3" borderId="26" xfId="1" applyNumberFormat="1" applyFont="1" applyFill="1" applyBorder="1" applyAlignment="1">
      <alignment horizontal="right"/>
    </xf>
    <xf numFmtId="171" fontId="3" fillId="3" borderId="27" xfId="1" applyNumberFormat="1" applyFont="1" applyFill="1" applyBorder="1" applyAlignment="1">
      <alignment horizontal="right"/>
    </xf>
    <xf numFmtId="171" fontId="3" fillId="0" borderId="26" xfId="1" applyNumberFormat="1" applyFont="1" applyFill="1" applyBorder="1" applyAlignment="1">
      <alignment horizontal="right"/>
    </xf>
    <xf numFmtId="171" fontId="3" fillId="3" borderId="29" xfId="1" applyNumberFormat="1" applyFont="1" applyFill="1" applyBorder="1" applyAlignment="1">
      <alignment horizontal="right"/>
    </xf>
    <xf numFmtId="171" fontId="3" fillId="0" borderId="29" xfId="1" applyNumberFormat="1" applyFont="1" applyFill="1" applyBorder="1" applyAlignment="1">
      <alignment horizontal="right"/>
    </xf>
    <xf numFmtId="171" fontId="3" fillId="3" borderId="30" xfId="1" applyNumberFormat="1" applyFont="1" applyFill="1" applyBorder="1" applyAlignment="1">
      <alignment horizontal="right"/>
    </xf>
    <xf numFmtId="171" fontId="3" fillId="3" borderId="59" xfId="1" applyNumberFormat="1" applyFont="1" applyFill="1" applyBorder="1" applyAlignment="1">
      <alignment horizontal="right"/>
    </xf>
    <xf numFmtId="171" fontId="3" fillId="3" borderId="60" xfId="1" applyNumberFormat="1" applyFont="1" applyFill="1" applyBorder="1" applyAlignment="1">
      <alignment horizontal="right"/>
    </xf>
    <xf numFmtId="169" fontId="4" fillId="3" borderId="56" xfId="5" applyNumberFormat="1" applyFont="1" applyFill="1" applyBorder="1" applyAlignment="1">
      <alignment horizontal="right"/>
    </xf>
    <xf numFmtId="4" fontId="3" fillId="3" borderId="56" xfId="0" applyNumberFormat="1" applyFont="1" applyFill="1" applyBorder="1" applyAlignment="1">
      <alignment horizontal="right"/>
    </xf>
    <xf numFmtId="3" fontId="3" fillId="3" borderId="62" xfId="0" applyNumberFormat="1" applyFont="1" applyFill="1" applyBorder="1" applyAlignment="1">
      <alignment horizontal="right"/>
    </xf>
    <xf numFmtId="3" fontId="3" fillId="3" borderId="53" xfId="0" applyNumberFormat="1" applyFont="1" applyFill="1" applyBorder="1" applyAlignment="1">
      <alignment horizontal="right"/>
    </xf>
    <xf numFmtId="4" fontId="4" fillId="3" borderId="53" xfId="0" applyNumberFormat="1" applyFont="1" applyFill="1" applyBorder="1" applyAlignment="1">
      <alignment horizontal="right"/>
    </xf>
    <xf numFmtId="169" fontId="4" fillId="3" borderId="53" xfId="5" applyNumberFormat="1" applyFont="1" applyFill="1" applyBorder="1" applyAlignment="1">
      <alignment horizontal="right"/>
    </xf>
    <xf numFmtId="4" fontId="3" fillId="3" borderId="53" xfId="0" applyNumberFormat="1" applyFont="1" applyFill="1" applyBorder="1" applyAlignment="1">
      <alignment horizontal="right"/>
    </xf>
    <xf numFmtId="169" fontId="3" fillId="3" borderId="63" xfId="5" applyNumberFormat="1" applyFont="1" applyFill="1" applyBorder="1" applyAlignment="1">
      <alignment horizontal="right"/>
    </xf>
    <xf numFmtId="3" fontId="3" fillId="3" borderId="64" xfId="0" applyNumberFormat="1" applyFont="1" applyFill="1" applyBorder="1" applyAlignment="1">
      <alignment horizontal="right"/>
    </xf>
    <xf numFmtId="3" fontId="3" fillId="3" borderId="48" xfId="0" applyNumberFormat="1" applyFont="1" applyFill="1" applyBorder="1" applyAlignment="1">
      <alignment horizontal="right"/>
    </xf>
    <xf numFmtId="4" fontId="4" fillId="3" borderId="48" xfId="0" applyNumberFormat="1" applyFont="1" applyFill="1" applyBorder="1" applyAlignment="1">
      <alignment horizontal="right"/>
    </xf>
    <xf numFmtId="169" fontId="4" fillId="3" borderId="48" xfId="5" applyNumberFormat="1" applyFont="1" applyFill="1" applyBorder="1" applyAlignment="1">
      <alignment horizontal="right"/>
    </xf>
    <xf numFmtId="4" fontId="3" fillId="3" borderId="48" xfId="0" applyNumberFormat="1" applyFont="1" applyFill="1" applyBorder="1" applyAlignment="1">
      <alignment horizontal="right"/>
    </xf>
    <xf numFmtId="169" fontId="3" fillId="3" borderId="65" xfId="5" applyNumberFormat="1" applyFont="1" applyFill="1" applyBorder="1" applyAlignment="1">
      <alignment horizontal="right"/>
    </xf>
    <xf numFmtId="3" fontId="4" fillId="2" borderId="47" xfId="0" quotePrefix="1" applyNumberFormat="1" applyFont="1" applyFill="1" applyBorder="1" applyAlignment="1">
      <alignment horizontal="center" wrapText="1"/>
    </xf>
    <xf numFmtId="3" fontId="4" fillId="2" borderId="40" xfId="0" quotePrefix="1" applyNumberFormat="1" applyFont="1" applyFill="1" applyBorder="1" applyAlignment="1">
      <alignment horizontal="center" wrapText="1"/>
    </xf>
    <xf numFmtId="3" fontId="3" fillId="0" borderId="23" xfId="5" applyNumberFormat="1" applyFont="1" applyFill="1" applyBorder="1" applyAlignment="1">
      <alignment horizontal="right"/>
    </xf>
    <xf numFmtId="171" fontId="3" fillId="0" borderId="23" xfId="1" applyNumberFormat="1" applyFont="1" applyFill="1" applyBorder="1" applyAlignment="1">
      <alignment horizontal="right"/>
    </xf>
    <xf numFmtId="3" fontId="3" fillId="0" borderId="26" xfId="5" applyNumberFormat="1" applyFont="1" applyFill="1" applyBorder="1" applyAlignment="1">
      <alignment horizontal="right"/>
    </xf>
    <xf numFmtId="3" fontId="4" fillId="2" borderId="66" xfId="0" applyNumberFormat="1" applyFont="1" applyFill="1" applyBorder="1" applyAlignment="1">
      <alignment horizontal="center"/>
    </xf>
    <xf numFmtId="3" fontId="4" fillId="2" borderId="67" xfId="0" applyNumberFormat="1" applyFont="1" applyFill="1" applyBorder="1" applyAlignment="1">
      <alignment horizontal="center"/>
    </xf>
    <xf numFmtId="167" fontId="3" fillId="3" borderId="25" xfId="0" applyNumberFormat="1" applyFont="1" applyFill="1" applyBorder="1" applyAlignment="1">
      <alignment horizontal="right"/>
    </xf>
    <xf numFmtId="167" fontId="3" fillId="3" borderId="26" xfId="0" applyNumberFormat="1" applyFont="1" applyFill="1" applyBorder="1" applyAlignment="1">
      <alignment horizontal="right"/>
    </xf>
    <xf numFmtId="167" fontId="3" fillId="0" borderId="25" xfId="0" applyNumberFormat="1" applyFont="1" applyFill="1" applyBorder="1" applyAlignment="1">
      <alignment horizontal="right"/>
    </xf>
    <xf numFmtId="167" fontId="3" fillId="0" borderId="26" xfId="0" applyNumberFormat="1" applyFont="1" applyFill="1" applyBorder="1" applyAlignment="1">
      <alignment horizontal="right"/>
    </xf>
    <xf numFmtId="167" fontId="3" fillId="0" borderId="25" xfId="0" applyNumberFormat="1" applyFont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167" fontId="3" fillId="3" borderId="64" xfId="0" applyNumberFormat="1" applyFont="1" applyFill="1" applyBorder="1" applyAlignment="1">
      <alignment horizontal="right"/>
    </xf>
    <xf numFmtId="167" fontId="3" fillId="3" borderId="48" xfId="0" applyNumberFormat="1" applyFont="1" applyFill="1" applyBorder="1" applyAlignment="1">
      <alignment horizontal="right"/>
    </xf>
    <xf numFmtId="3" fontId="3" fillId="2" borderId="68" xfId="0" applyNumberFormat="1" applyFont="1" applyFill="1" applyBorder="1" applyAlignment="1">
      <alignment horizontal="left" indent="1"/>
    </xf>
    <xf numFmtId="3" fontId="3" fillId="2" borderId="67" xfId="0" applyNumberFormat="1" applyFont="1" applyFill="1" applyBorder="1" applyAlignment="1">
      <alignment horizontal="left" indent="1"/>
    </xf>
    <xf numFmtId="3" fontId="3" fillId="2" borderId="69" xfId="0" applyNumberFormat="1" applyFont="1" applyFill="1" applyBorder="1" applyAlignment="1">
      <alignment horizontal="left" indent="1"/>
    </xf>
    <xf numFmtId="3" fontId="3" fillId="2" borderId="70" xfId="0" applyNumberFormat="1" applyFont="1" applyFill="1" applyBorder="1" applyAlignment="1">
      <alignment horizontal="left" indent="1"/>
    </xf>
    <xf numFmtId="3" fontId="3" fillId="2" borderId="71" xfId="0" applyNumberFormat="1" applyFont="1" applyFill="1" applyBorder="1" applyAlignment="1">
      <alignment horizontal="left" indent="1"/>
    </xf>
    <xf numFmtId="3" fontId="3" fillId="2" borderId="72" xfId="0" applyNumberFormat="1" applyFont="1" applyFill="1" applyBorder="1" applyAlignment="1">
      <alignment horizontal="left" indent="1"/>
    </xf>
    <xf numFmtId="9" fontId="3" fillId="2" borderId="73" xfId="5" applyNumberFormat="1" applyFont="1" applyFill="1" applyBorder="1" applyAlignment="1">
      <alignment horizontal="left" indent="1"/>
    </xf>
    <xf numFmtId="9" fontId="3" fillId="2" borderId="67" xfId="5" applyNumberFormat="1" applyFont="1" applyFill="1" applyBorder="1" applyAlignment="1">
      <alignment horizontal="left" indent="1"/>
    </xf>
    <xf numFmtId="9" fontId="3" fillId="2" borderId="69" xfId="5" applyNumberFormat="1" applyFont="1" applyFill="1" applyBorder="1" applyAlignment="1">
      <alignment horizontal="left" indent="1"/>
    </xf>
    <xf numFmtId="3" fontId="3" fillId="2" borderId="73" xfId="0" applyNumberFormat="1" applyFont="1" applyFill="1" applyBorder="1" applyAlignment="1">
      <alignment horizontal="left" indent="1"/>
    </xf>
    <xf numFmtId="3" fontId="3" fillId="2" borderId="74" xfId="0" applyNumberFormat="1" applyFont="1" applyFill="1" applyBorder="1" applyAlignment="1">
      <alignment horizontal="left" indent="1"/>
    </xf>
    <xf numFmtId="3" fontId="4" fillId="2" borderId="66" xfId="0" applyNumberFormat="1" applyFont="1" applyFill="1" applyBorder="1" applyAlignment="1">
      <alignment horizontal="left" indent="1"/>
    </xf>
    <xf numFmtId="3" fontId="4" fillId="2" borderId="67" xfId="0" applyNumberFormat="1" applyFont="1" applyFill="1" applyBorder="1" applyAlignment="1">
      <alignment horizontal="left" indent="1"/>
    </xf>
    <xf numFmtId="3" fontId="4" fillId="2" borderId="72" xfId="0" applyNumberFormat="1" applyFont="1" applyFill="1" applyBorder="1" applyAlignment="1">
      <alignment horizontal="left" indent="1"/>
    </xf>
    <xf numFmtId="3" fontId="4" fillId="2" borderId="73" xfId="0" applyNumberFormat="1" applyFont="1" applyFill="1" applyBorder="1" applyAlignment="1">
      <alignment horizontal="left" indent="1"/>
    </xf>
    <xf numFmtId="3" fontId="4" fillId="2" borderId="69" xfId="0" applyNumberFormat="1" applyFont="1" applyFill="1" applyBorder="1" applyAlignment="1">
      <alignment horizontal="left" indent="1"/>
    </xf>
    <xf numFmtId="3" fontId="4" fillId="2" borderId="71" xfId="0" applyNumberFormat="1" applyFont="1" applyFill="1" applyBorder="1" applyAlignment="1">
      <alignment horizontal="left" indent="1"/>
    </xf>
    <xf numFmtId="3" fontId="4" fillId="2" borderId="75" xfId="0" applyNumberFormat="1" applyFont="1" applyFill="1" applyBorder="1" applyAlignment="1">
      <alignment horizontal="left" indent="1"/>
    </xf>
    <xf numFmtId="3" fontId="4" fillId="2" borderId="76" xfId="0" applyNumberFormat="1" applyFont="1" applyFill="1" applyBorder="1" applyAlignment="1">
      <alignment horizontal="left" indent="1"/>
    </xf>
    <xf numFmtId="0" fontId="4" fillId="2" borderId="67" xfId="0" applyFont="1" applyFill="1" applyBorder="1" applyAlignment="1">
      <alignment horizontal="left" indent="1"/>
    </xf>
    <xf numFmtId="0" fontId="4" fillId="2" borderId="18" xfId="0" applyFont="1" applyFill="1" applyBorder="1" applyAlignment="1">
      <alignment horizontal="left" indent="1"/>
    </xf>
    <xf numFmtId="3" fontId="3" fillId="2" borderId="68" xfId="4" applyNumberFormat="1" applyFont="1" applyFill="1" applyBorder="1" applyAlignment="1">
      <alignment horizontal="left" vertical="center" indent="1"/>
    </xf>
    <xf numFmtId="3" fontId="3" fillId="2" borderId="67" xfId="4" applyNumberFormat="1" applyFont="1" applyFill="1" applyBorder="1" applyAlignment="1">
      <alignment horizontal="left" vertical="center" indent="1"/>
    </xf>
    <xf numFmtId="3" fontId="3" fillId="2" borderId="69" xfId="4" applyNumberFormat="1" applyFont="1" applyFill="1" applyBorder="1" applyAlignment="1">
      <alignment horizontal="left" vertical="center" indent="1"/>
    </xf>
    <xf numFmtId="3" fontId="3" fillId="2" borderId="70" xfId="4" applyNumberFormat="1" applyFont="1" applyFill="1" applyBorder="1" applyAlignment="1">
      <alignment horizontal="left" vertical="center" indent="1"/>
    </xf>
    <xf numFmtId="3" fontId="3" fillId="2" borderId="74" xfId="4" applyNumberFormat="1" applyFont="1" applyFill="1" applyBorder="1" applyAlignment="1">
      <alignment horizontal="left" vertical="center" indent="1"/>
    </xf>
    <xf numFmtId="165" fontId="4" fillId="2" borderId="44" xfId="1" applyFont="1" applyFill="1" applyBorder="1" applyAlignment="1">
      <alignment horizontal="right"/>
    </xf>
    <xf numFmtId="165" fontId="4" fillId="2" borderId="45" xfId="1" applyFont="1" applyFill="1" applyBorder="1" applyAlignment="1">
      <alignment horizontal="right"/>
    </xf>
    <xf numFmtId="165" fontId="4" fillId="2" borderId="46" xfId="1" applyFont="1" applyFill="1" applyBorder="1" applyAlignment="1">
      <alignment horizontal="right"/>
    </xf>
    <xf numFmtId="165" fontId="4" fillId="2" borderId="77" xfId="1" applyFont="1" applyFill="1" applyBorder="1" applyAlignment="1">
      <alignment horizontal="right"/>
    </xf>
    <xf numFmtId="165" fontId="4" fillId="2" borderId="61" xfId="1" applyFont="1" applyFill="1" applyBorder="1" applyAlignment="1">
      <alignment horizontal="right"/>
    </xf>
    <xf numFmtId="169" fontId="3" fillId="3" borderId="78" xfId="5" applyNumberFormat="1" applyFont="1" applyFill="1" applyBorder="1" applyAlignment="1">
      <alignment horizontal="right"/>
    </xf>
    <xf numFmtId="0" fontId="4" fillId="2" borderId="79" xfId="0" applyFont="1" applyFill="1" applyBorder="1" applyAlignment="1">
      <alignment horizontal="left" indent="1"/>
    </xf>
    <xf numFmtId="167" fontId="3" fillId="0" borderId="80" xfId="0" applyNumberFormat="1" applyFont="1" applyBorder="1" applyAlignment="1">
      <alignment horizontal="right"/>
    </xf>
    <xf numFmtId="167" fontId="3" fillId="0" borderId="81" xfId="0" applyNumberFormat="1" applyFont="1" applyBorder="1" applyAlignment="1">
      <alignment horizontal="right"/>
    </xf>
    <xf numFmtId="0" fontId="3" fillId="0" borderId="82" xfId="0" applyFont="1" applyBorder="1" applyAlignment="1">
      <alignment horizontal="right"/>
    </xf>
    <xf numFmtId="3" fontId="3" fillId="0" borderId="83" xfId="0" applyNumberFormat="1" applyFont="1" applyBorder="1" applyAlignment="1">
      <alignment horizontal="right"/>
    </xf>
    <xf numFmtId="0" fontId="4" fillId="2" borderId="84" xfId="0" applyFont="1" applyFill="1" applyBorder="1" applyAlignment="1">
      <alignment horizontal="left" indent="1"/>
    </xf>
    <xf numFmtId="3" fontId="3" fillId="3" borderId="85" xfId="0" applyNumberFormat="1" applyFont="1" applyFill="1" applyBorder="1" applyAlignment="1">
      <alignment horizontal="right"/>
    </xf>
    <xf numFmtId="3" fontId="3" fillId="3" borderId="86" xfId="0" applyNumberFormat="1" applyFont="1" applyFill="1" applyBorder="1" applyAlignment="1">
      <alignment horizontal="right"/>
    </xf>
    <xf numFmtId="3" fontId="3" fillId="0" borderId="86" xfId="0" applyNumberFormat="1" applyFont="1" applyFill="1" applyBorder="1" applyAlignment="1">
      <alignment horizontal="right"/>
    </xf>
    <xf numFmtId="3" fontId="3" fillId="0" borderId="78" xfId="0" applyNumberFormat="1" applyFont="1" applyFill="1" applyBorder="1" applyAlignment="1">
      <alignment horizontal="right"/>
    </xf>
    <xf numFmtId="3" fontId="3" fillId="3" borderId="87" xfId="0" applyNumberFormat="1" applyFont="1" applyFill="1" applyBorder="1" applyAlignment="1">
      <alignment horizontal="right"/>
    </xf>
    <xf numFmtId="169" fontId="3" fillId="3" borderId="88" xfId="5" applyNumberFormat="1" applyFont="1" applyFill="1" applyBorder="1" applyAlignment="1">
      <alignment horizontal="right"/>
    </xf>
    <xf numFmtId="169" fontId="3" fillId="3" borderId="86" xfId="5" applyNumberFormat="1" applyFont="1" applyFill="1" applyBorder="1" applyAlignment="1">
      <alignment horizontal="right"/>
    </xf>
    <xf numFmtId="169" fontId="3" fillId="3" borderId="87" xfId="5" applyNumberFormat="1" applyFont="1" applyFill="1" applyBorder="1" applyAlignment="1">
      <alignment horizontal="right"/>
    </xf>
    <xf numFmtId="4" fontId="3" fillId="3" borderId="88" xfId="0" applyNumberFormat="1" applyFont="1" applyFill="1" applyBorder="1" applyAlignment="1">
      <alignment horizontal="right"/>
    </xf>
    <xf numFmtId="4" fontId="3" fillId="3" borderId="86" xfId="0" applyNumberFormat="1" applyFont="1" applyFill="1" applyBorder="1" applyAlignment="1">
      <alignment horizontal="right"/>
    </xf>
    <xf numFmtId="4" fontId="3" fillId="3" borderId="78" xfId="0" applyNumberFormat="1" applyFont="1" applyFill="1" applyBorder="1" applyAlignment="1">
      <alignment horizontal="right"/>
    </xf>
    <xf numFmtId="4" fontId="3" fillId="3" borderId="87" xfId="0" applyNumberFormat="1" applyFont="1" applyFill="1" applyBorder="1" applyAlignment="1">
      <alignment horizontal="right"/>
    </xf>
    <xf numFmtId="3" fontId="3" fillId="3" borderId="88" xfId="0" applyNumberFormat="1" applyFont="1" applyFill="1" applyBorder="1" applyAlignment="1">
      <alignment horizontal="right"/>
    </xf>
    <xf numFmtId="171" fontId="3" fillId="3" borderId="88" xfId="1" applyNumberFormat="1" applyFont="1" applyFill="1" applyBorder="1" applyAlignment="1">
      <alignment horizontal="right"/>
    </xf>
    <xf numFmtId="171" fontId="3" fillId="3" borderId="86" xfId="1" applyNumberFormat="1" applyFont="1" applyFill="1" applyBorder="1" applyAlignment="1">
      <alignment horizontal="right"/>
    </xf>
    <xf numFmtId="171" fontId="3" fillId="0" borderId="86" xfId="1" applyNumberFormat="1" applyFont="1" applyFill="1" applyBorder="1" applyAlignment="1">
      <alignment horizontal="right"/>
    </xf>
    <xf numFmtId="171" fontId="3" fillId="0" borderId="78" xfId="1" applyNumberFormat="1" applyFont="1" applyFill="1" applyBorder="1" applyAlignment="1">
      <alignment horizontal="right"/>
    </xf>
    <xf numFmtId="171" fontId="3" fillId="3" borderId="87" xfId="1" applyNumberFormat="1" applyFont="1" applyFill="1" applyBorder="1" applyAlignment="1">
      <alignment horizontal="right"/>
    </xf>
    <xf numFmtId="3" fontId="4" fillId="2" borderId="89" xfId="0" quotePrefix="1" applyNumberFormat="1" applyFont="1" applyFill="1" applyBorder="1" applyAlignment="1">
      <alignment horizontal="center" wrapText="1"/>
    </xf>
    <xf numFmtId="171" fontId="3" fillId="0" borderId="90" xfId="1" applyNumberFormat="1" applyFont="1" applyFill="1" applyBorder="1" applyAlignment="1">
      <alignment horizontal="right"/>
    </xf>
    <xf numFmtId="166" fontId="3" fillId="3" borderId="49" xfId="0" quotePrefix="1" applyNumberFormat="1" applyFont="1" applyFill="1" applyBorder="1" applyAlignment="1">
      <alignment horizontal="right"/>
    </xf>
    <xf numFmtId="169" fontId="3" fillId="0" borderId="27" xfId="5" applyNumberFormat="1" applyFont="1" applyFill="1" applyBorder="1" applyAlignment="1">
      <alignment horizontal="right"/>
    </xf>
    <xf numFmtId="169" fontId="3" fillId="0" borderId="57" xfId="5" applyNumberFormat="1" applyFont="1" applyFill="1" applyBorder="1" applyAlignment="1">
      <alignment horizontal="right"/>
    </xf>
    <xf numFmtId="169" fontId="3" fillId="0" borderId="61" xfId="5" applyNumberFormat="1" applyFont="1" applyFill="1" applyBorder="1" applyAlignment="1">
      <alignment horizontal="right"/>
    </xf>
    <xf numFmtId="2" fontId="3" fillId="0" borderId="0" xfId="0" applyNumberFormat="1" applyFont="1"/>
    <xf numFmtId="169" fontId="3" fillId="3" borderId="27" xfId="0" applyNumberFormat="1" applyFont="1" applyFill="1" applyBorder="1" applyAlignment="1">
      <alignment horizontal="right"/>
    </xf>
    <xf numFmtId="169" fontId="3" fillId="0" borderId="38" xfId="5" applyNumberFormat="1" applyFont="1" applyFill="1" applyBorder="1" applyAlignment="1">
      <alignment horizontal="right"/>
    </xf>
    <xf numFmtId="166" fontId="3" fillId="3" borderId="51" xfId="0" quotePrefix="1" applyNumberFormat="1" applyFont="1" applyFill="1" applyBorder="1" applyAlignment="1">
      <alignment horizontal="right"/>
    </xf>
    <xf numFmtId="0" fontId="9" fillId="0" borderId="0" xfId="0" applyFont="1"/>
    <xf numFmtId="169" fontId="9" fillId="0" borderId="0" xfId="0" applyNumberFormat="1" applyFont="1"/>
    <xf numFmtId="0" fontId="7" fillId="0" borderId="0" xfId="0" applyFont="1" applyFill="1"/>
    <xf numFmtId="3" fontId="4" fillId="2" borderId="72" xfId="0" applyNumberFormat="1" applyFont="1" applyFill="1" applyBorder="1" applyAlignment="1">
      <alignment horizontal="center"/>
    </xf>
    <xf numFmtId="3" fontId="3" fillId="0" borderId="48" xfId="5" applyNumberFormat="1" applyFont="1" applyFill="1" applyBorder="1" applyAlignment="1">
      <alignment horizontal="right"/>
    </xf>
    <xf numFmtId="171" fontId="3" fillId="0" borderId="48" xfId="1" applyNumberFormat="1" applyFont="1" applyFill="1" applyBorder="1" applyAlignment="1">
      <alignment horizontal="right"/>
    </xf>
    <xf numFmtId="171" fontId="3" fillId="0" borderId="91" xfId="1" applyNumberFormat="1" applyFont="1" applyFill="1" applyBorder="1" applyAlignment="1">
      <alignment horizontal="right"/>
    </xf>
    <xf numFmtId="169" fontId="3" fillId="0" borderId="51" xfId="5" applyNumberFormat="1" applyFont="1" applyFill="1" applyBorder="1" applyAlignment="1">
      <alignment horizontal="right"/>
    </xf>
    <xf numFmtId="169" fontId="3" fillId="0" borderId="88" xfId="5" applyNumberFormat="1" applyFont="1" applyFill="1" applyBorder="1" applyAlignment="1">
      <alignment horizontal="right"/>
    </xf>
    <xf numFmtId="169" fontId="3" fillId="0" borderId="25" xfId="5" applyNumberFormat="1" applyFont="1" applyFill="1" applyBorder="1" applyAlignment="1">
      <alignment horizontal="right"/>
    </xf>
    <xf numFmtId="169" fontId="3" fillId="0" borderId="26" xfId="5" applyNumberFormat="1" applyFont="1" applyFill="1" applyBorder="1" applyAlignment="1">
      <alignment horizontal="right"/>
    </xf>
    <xf numFmtId="169" fontId="3" fillId="0" borderId="86" xfId="5" applyNumberFormat="1" applyFont="1" applyFill="1" applyBorder="1" applyAlignment="1">
      <alignment horizontal="right"/>
    </xf>
    <xf numFmtId="169" fontId="3" fillId="0" borderId="28" xfId="5" applyNumberFormat="1" applyFont="1" applyFill="1" applyBorder="1" applyAlignment="1">
      <alignment horizontal="right"/>
    </xf>
    <xf numFmtId="169" fontId="3" fillId="0" borderId="29" xfId="5" applyNumberFormat="1" applyFont="1" applyFill="1" applyBorder="1" applyAlignment="1">
      <alignment horizontal="right"/>
    </xf>
    <xf numFmtId="169" fontId="3" fillId="0" borderId="78" xfId="5" applyNumberFormat="1" applyFont="1" applyFill="1" applyBorder="1" applyAlignment="1">
      <alignment horizontal="right"/>
    </xf>
    <xf numFmtId="169" fontId="3" fillId="0" borderId="59" xfId="5" applyNumberFormat="1" applyFont="1" applyFill="1" applyBorder="1" applyAlignment="1">
      <alignment horizontal="right"/>
    </xf>
    <xf numFmtId="169" fontId="3" fillId="0" borderId="87" xfId="5" applyNumberFormat="1" applyFont="1" applyFill="1" applyBorder="1" applyAlignment="1">
      <alignment horizontal="right"/>
    </xf>
    <xf numFmtId="169" fontId="3" fillId="0" borderId="60" xfId="5" applyNumberFormat="1" applyFont="1" applyFill="1" applyBorder="1" applyAlignment="1">
      <alignment horizontal="right"/>
    </xf>
    <xf numFmtId="3" fontId="3" fillId="0" borderId="56" xfId="0" applyNumberFormat="1" applyFont="1" applyFill="1" applyBorder="1" applyAlignment="1">
      <alignment horizontal="right"/>
    </xf>
    <xf numFmtId="4" fontId="8" fillId="3" borderId="56" xfId="0" applyNumberFormat="1" applyFont="1" applyFill="1" applyBorder="1" applyAlignment="1">
      <alignment horizontal="right"/>
    </xf>
    <xf numFmtId="4" fontId="8" fillId="3" borderId="29" xfId="0" applyNumberFormat="1" applyFont="1" applyFill="1" applyBorder="1" applyAlignment="1">
      <alignment horizontal="right"/>
    </xf>
    <xf numFmtId="4" fontId="8" fillId="3" borderId="59" xfId="0" applyNumberFormat="1" applyFont="1" applyFill="1" applyBorder="1" applyAlignment="1">
      <alignment horizontal="right"/>
    </xf>
    <xf numFmtId="4" fontId="8" fillId="3" borderId="45" xfId="0" applyNumberFormat="1" applyFont="1" applyFill="1" applyBorder="1" applyAlignment="1">
      <alignment horizontal="right"/>
    </xf>
    <xf numFmtId="3" fontId="6" fillId="2" borderId="92" xfId="0" applyNumberFormat="1" applyFont="1" applyFill="1" applyBorder="1" applyAlignment="1">
      <alignment horizontal="center"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93" xfId="0" applyNumberFormat="1" applyFont="1" applyFill="1" applyBorder="1" applyAlignment="1">
      <alignment horizontal="center" vertical="center" wrapText="1"/>
    </xf>
    <xf numFmtId="3" fontId="6" fillId="2" borderId="92" xfId="4" applyNumberFormat="1" applyFont="1" applyFill="1" applyBorder="1" applyAlignment="1">
      <alignment horizontal="center" vertical="center" wrapText="1"/>
    </xf>
    <xf numFmtId="3" fontId="6" fillId="2" borderId="47" xfId="4" applyNumberFormat="1" applyFont="1" applyFill="1" applyBorder="1" applyAlignment="1">
      <alignment horizontal="center" vertical="center" wrapText="1"/>
    </xf>
    <xf numFmtId="3" fontId="6" fillId="2" borderId="93" xfId="4" applyNumberFormat="1" applyFont="1" applyFill="1" applyBorder="1" applyAlignment="1">
      <alignment horizontal="center" vertical="center" wrapText="1"/>
    </xf>
    <xf numFmtId="173" fontId="8" fillId="0" borderId="56" xfId="4" applyNumberFormat="1" applyFont="1" applyFill="1" applyBorder="1" applyAlignment="1">
      <alignment horizontal="right" vertical="center"/>
    </xf>
    <xf numFmtId="173" fontId="8" fillId="0" borderId="26" xfId="4" applyNumberFormat="1" applyFont="1" applyFill="1" applyBorder="1" applyAlignment="1">
      <alignment horizontal="right" vertical="center"/>
    </xf>
    <xf numFmtId="173" fontId="8" fillId="0" borderId="29" xfId="4" applyNumberFormat="1" applyFont="1" applyFill="1" applyBorder="1" applyAlignment="1">
      <alignment horizontal="right" vertical="center"/>
    </xf>
    <xf numFmtId="173" fontId="8" fillId="0" borderId="59" xfId="4" applyNumberFormat="1" applyFont="1" applyFill="1" applyBorder="1" applyAlignment="1">
      <alignment horizontal="right" vertical="center"/>
    </xf>
    <xf numFmtId="0" fontId="6" fillId="0" borderId="0" xfId="0" applyFont="1"/>
    <xf numFmtId="0" fontId="8" fillId="0" borderId="0" xfId="0" applyFont="1"/>
    <xf numFmtId="49" fontId="4" fillId="2" borderId="94" xfId="0" applyNumberFormat="1" applyFont="1" applyFill="1" applyBorder="1" applyAlignment="1">
      <alignment horizontal="center" vertical="center"/>
    </xf>
    <xf numFmtId="166" fontId="3" fillId="0" borderId="90" xfId="0" applyNumberFormat="1" applyFont="1" applyFill="1" applyBorder="1" applyAlignment="1">
      <alignment horizontal="right"/>
    </xf>
    <xf numFmtId="166" fontId="3" fillId="0" borderId="86" xfId="0" applyNumberFormat="1" applyFont="1" applyFill="1" applyBorder="1" applyAlignment="1">
      <alignment horizontal="right"/>
    </xf>
    <xf numFmtId="0" fontId="3" fillId="0" borderId="91" xfId="0" applyFont="1" applyFill="1" applyBorder="1" applyAlignment="1">
      <alignment horizontal="right"/>
    </xf>
    <xf numFmtId="3" fontId="4" fillId="2" borderId="94" xfId="0" quotePrefix="1" applyNumberFormat="1" applyFont="1" applyFill="1" applyBorder="1" applyAlignment="1">
      <alignment horizontal="center" vertical="center"/>
    </xf>
    <xf numFmtId="166" fontId="3" fillId="3" borderId="95" xfId="0" quotePrefix="1" applyNumberFormat="1" applyFont="1" applyFill="1" applyBorder="1" applyAlignment="1">
      <alignment horizontal="right"/>
    </xf>
    <xf numFmtId="169" fontId="3" fillId="3" borderId="86" xfId="5" quotePrefix="1" applyNumberFormat="1" applyFont="1" applyFill="1" applyBorder="1" applyAlignment="1">
      <alignment horizontal="right"/>
    </xf>
    <xf numFmtId="166" fontId="3" fillId="3" borderId="88" xfId="0" quotePrefix="1" applyNumberFormat="1" applyFont="1" applyFill="1" applyBorder="1" applyAlignment="1">
      <alignment horizontal="right"/>
    </xf>
    <xf numFmtId="169" fontId="3" fillId="3" borderId="96" xfId="5" applyNumberFormat="1" applyFont="1" applyFill="1" applyBorder="1" applyAlignment="1">
      <alignment horizontal="right"/>
    </xf>
    <xf numFmtId="169" fontId="3" fillId="3" borderId="95" xfId="5" applyNumberFormat="1" applyFont="1" applyFill="1" applyBorder="1" applyAlignment="1">
      <alignment horizontal="right"/>
    </xf>
    <xf numFmtId="0" fontId="7" fillId="0" borderId="0" xfId="0" applyFont="1"/>
    <xf numFmtId="2" fontId="7" fillId="0" borderId="0" xfId="0" applyNumberFormat="1" applyFont="1"/>
    <xf numFmtId="0" fontId="8" fillId="0" borderId="0" xfId="0" applyFont="1" applyFill="1" applyBorder="1" applyAlignment="1"/>
    <xf numFmtId="0" fontId="8" fillId="0" borderId="0" xfId="0" applyFont="1" applyAlignment="1"/>
    <xf numFmtId="169" fontId="8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173" fontId="8" fillId="0" borderId="45" xfId="4" applyNumberFormat="1" applyFont="1" applyFill="1" applyBorder="1" applyAlignment="1">
      <alignment horizontal="right" vertical="center"/>
    </xf>
    <xf numFmtId="169" fontId="3" fillId="0" borderId="0" xfId="0" applyNumberFormat="1" applyFont="1" applyFill="1" applyBorder="1"/>
    <xf numFmtId="3" fontId="3" fillId="2" borderId="97" xfId="0" quotePrefix="1" applyNumberFormat="1" applyFont="1" applyFill="1" applyBorder="1" applyAlignment="1">
      <alignment horizontal="centerContinuous" vertical="center"/>
    </xf>
    <xf numFmtId="3" fontId="3" fillId="2" borderId="98" xfId="0" quotePrefix="1" applyNumberFormat="1" applyFont="1" applyFill="1" applyBorder="1" applyAlignment="1">
      <alignment horizontal="centerContinuous" vertical="center"/>
    </xf>
    <xf numFmtId="0" fontId="9" fillId="0" borderId="0" xfId="0" applyFont="1" applyFill="1" applyBorder="1"/>
    <xf numFmtId="0" fontId="9" fillId="0" borderId="0" xfId="0" applyFont="1" applyFill="1"/>
    <xf numFmtId="169" fontId="3" fillId="0" borderId="63" xfId="5" applyNumberFormat="1" applyFont="1" applyFill="1" applyBorder="1" applyAlignment="1">
      <alignment horizontal="right"/>
    </xf>
    <xf numFmtId="0" fontId="8" fillId="0" borderId="0" xfId="0" applyFont="1" applyFill="1"/>
    <xf numFmtId="3" fontId="8" fillId="3" borderId="59" xfId="0" applyNumberFormat="1" applyFont="1" applyFill="1" applyBorder="1" applyAlignment="1">
      <alignment horizontal="right"/>
    </xf>
    <xf numFmtId="3" fontId="4" fillId="2" borderId="47" xfId="0" applyNumberFormat="1" applyFont="1" applyFill="1" applyBorder="1" applyAlignment="1">
      <alignment horizontal="center" vertical="center" wrapText="1"/>
    </xf>
    <xf numFmtId="169" fontId="3" fillId="3" borderId="85" xfId="0" applyNumberFormat="1" applyFont="1" applyFill="1" applyBorder="1" applyAlignment="1">
      <alignment horizontal="right"/>
    </xf>
    <xf numFmtId="169" fontId="3" fillId="3" borderId="96" xfId="0" applyNumberFormat="1" applyFont="1" applyFill="1" applyBorder="1" applyAlignment="1">
      <alignment horizontal="right"/>
    </xf>
    <xf numFmtId="169" fontId="3" fillId="3" borderId="91" xfId="0" applyNumberFormat="1" applyFont="1" applyFill="1" applyBorder="1" applyAlignment="1">
      <alignment horizontal="right"/>
    </xf>
    <xf numFmtId="171" fontId="3" fillId="0" borderId="24" xfId="1" applyNumberFormat="1" applyFont="1" applyFill="1" applyBorder="1" applyAlignment="1">
      <alignment horizontal="right"/>
    </xf>
    <xf numFmtId="171" fontId="3" fillId="0" borderId="27" xfId="1" applyNumberFormat="1" applyFont="1" applyFill="1" applyBorder="1" applyAlignment="1">
      <alignment horizontal="right"/>
    </xf>
    <xf numFmtId="171" fontId="3" fillId="0" borderId="65" xfId="1" applyNumberFormat="1" applyFont="1" applyFill="1" applyBorder="1" applyAlignment="1">
      <alignment horizontal="right"/>
    </xf>
    <xf numFmtId="0" fontId="9" fillId="0" borderId="0" xfId="0" applyFont="1" applyBorder="1"/>
    <xf numFmtId="0" fontId="7" fillId="0" borderId="0" xfId="0" applyFont="1" applyFill="1" applyBorder="1"/>
    <xf numFmtId="167" fontId="4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3" fontId="4" fillId="2" borderId="99" xfId="0" quotePrefix="1" applyNumberFormat="1" applyFont="1" applyFill="1" applyBorder="1" applyAlignment="1">
      <alignment horizontal="center" vertical="center" wrapText="1"/>
    </xf>
    <xf numFmtId="3" fontId="4" fillId="2" borderId="100" xfId="0" quotePrefix="1" applyNumberFormat="1" applyFont="1" applyFill="1" applyBorder="1" applyAlignment="1">
      <alignment horizontal="center" vertical="center" wrapText="1"/>
    </xf>
    <xf numFmtId="169" fontId="3" fillId="0" borderId="0" xfId="5" applyNumberFormat="1" applyFont="1" applyBorder="1"/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/>
    </xf>
    <xf numFmtId="1" fontId="3" fillId="0" borderId="0" xfId="5" applyNumberFormat="1" applyFont="1"/>
    <xf numFmtId="169" fontId="3" fillId="0" borderId="36" xfId="0" applyNumberFormat="1" applyFont="1" applyBorder="1"/>
    <xf numFmtId="169" fontId="3" fillId="0" borderId="101" xfId="0" applyNumberFormat="1" applyFont="1" applyBorder="1"/>
    <xf numFmtId="169" fontId="7" fillId="0" borderId="0" xfId="0" applyNumberFormat="1" applyFont="1" applyFill="1" applyBorder="1"/>
    <xf numFmtId="49" fontId="4" fillId="2" borderId="93" xfId="0" applyNumberFormat="1" applyFont="1" applyFill="1" applyBorder="1" applyAlignment="1">
      <alignment horizontal="center" vertical="center"/>
    </xf>
    <xf numFmtId="166" fontId="3" fillId="0" borderId="24" xfId="0" applyNumberFormat="1" applyFont="1" applyFill="1" applyBorder="1" applyAlignment="1">
      <alignment horizontal="right"/>
    </xf>
    <xf numFmtId="166" fontId="3" fillId="0" borderId="27" xfId="0" applyNumberFormat="1" applyFont="1" applyFill="1" applyBorder="1" applyAlignment="1">
      <alignment horizontal="right"/>
    </xf>
    <xf numFmtId="3" fontId="3" fillId="0" borderId="45" xfId="0" applyNumberFormat="1" applyFont="1" applyFill="1" applyBorder="1" applyAlignment="1">
      <alignment horizontal="right"/>
    </xf>
    <xf numFmtId="0" fontId="8" fillId="0" borderId="0" xfId="0" applyNumberFormat="1" applyFont="1" applyFill="1"/>
    <xf numFmtId="0" fontId="7" fillId="0" borderId="0" xfId="0" applyNumberFormat="1" applyFont="1" applyFill="1"/>
    <xf numFmtId="169" fontId="8" fillId="0" borderId="0" xfId="0" applyNumberFormat="1" applyFont="1" applyFill="1"/>
    <xf numFmtId="0" fontId="4" fillId="2" borderId="102" xfId="0" applyFont="1" applyFill="1" applyBorder="1" applyAlignment="1">
      <alignment horizontal="centerContinuous" vertical="center"/>
    </xf>
    <xf numFmtId="0" fontId="3" fillId="0" borderId="0" xfId="0" quotePrefix="1" applyFont="1"/>
    <xf numFmtId="169" fontId="3" fillId="3" borderId="85" xfId="5" applyNumberFormat="1" applyFont="1" applyFill="1" applyBorder="1" applyAlignment="1">
      <alignment horizontal="right"/>
    </xf>
    <xf numFmtId="169" fontId="3" fillId="0" borderId="22" xfId="5" applyNumberFormat="1" applyFont="1" applyFill="1" applyBorder="1" applyAlignment="1">
      <alignment horizontal="right"/>
    </xf>
    <xf numFmtId="171" fontId="3" fillId="0" borderId="0" xfId="1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169" fontId="4" fillId="0" borderId="0" xfId="5" applyNumberFormat="1" applyFont="1" applyBorder="1"/>
    <xf numFmtId="3" fontId="6" fillId="2" borderId="94" xfId="4" applyNumberFormat="1" applyFont="1" applyFill="1" applyBorder="1" applyAlignment="1">
      <alignment horizontal="center" vertical="center" wrapText="1"/>
    </xf>
    <xf numFmtId="169" fontId="3" fillId="0" borderId="85" xfId="4" applyNumberFormat="1" applyFont="1" applyFill="1" applyBorder="1" applyAlignment="1">
      <alignment horizontal="right" vertical="center"/>
    </xf>
    <xf numFmtId="169" fontId="3" fillId="0" borderId="86" xfId="4" applyNumberFormat="1" applyFont="1" applyFill="1" applyBorder="1" applyAlignment="1">
      <alignment horizontal="right" vertical="center"/>
    </xf>
    <xf numFmtId="169" fontId="3" fillId="0" borderId="78" xfId="4" applyNumberFormat="1" applyFont="1" applyFill="1" applyBorder="1" applyAlignment="1">
      <alignment horizontal="right" vertical="center"/>
    </xf>
    <xf numFmtId="169" fontId="3" fillId="0" borderId="87" xfId="4" applyNumberFormat="1" applyFont="1" applyFill="1" applyBorder="1" applyAlignment="1">
      <alignment horizontal="right" vertical="center"/>
    </xf>
    <xf numFmtId="3" fontId="8" fillId="0" borderId="56" xfId="4" applyNumberFormat="1" applyFont="1" applyFill="1" applyBorder="1" applyAlignment="1">
      <alignment horizontal="right" vertical="center"/>
    </xf>
    <xf numFmtId="3" fontId="8" fillId="0" borderId="26" xfId="4" applyNumberFormat="1" applyFont="1" applyFill="1" applyBorder="1" applyAlignment="1">
      <alignment horizontal="right" vertical="center"/>
    </xf>
    <xf numFmtId="3" fontId="8" fillId="0" borderId="29" xfId="4" applyNumberFormat="1" applyFont="1" applyFill="1" applyBorder="1" applyAlignment="1">
      <alignment horizontal="right" vertical="center"/>
    </xf>
    <xf numFmtId="3" fontId="8" fillId="0" borderId="45" xfId="4" applyNumberFormat="1" applyFont="1" applyFill="1" applyBorder="1" applyAlignment="1">
      <alignment horizontal="right" vertical="center"/>
    </xf>
    <xf numFmtId="0" fontId="10" fillId="0" borderId="0" xfId="0" applyFont="1"/>
    <xf numFmtId="0" fontId="10" fillId="0" borderId="0" xfId="0" applyFont="1" applyFill="1"/>
    <xf numFmtId="169" fontId="3" fillId="0" borderId="26" xfId="5" quotePrefix="1" applyNumberFormat="1" applyFont="1" applyFill="1" applyBorder="1" applyAlignment="1">
      <alignment horizontal="right"/>
    </xf>
    <xf numFmtId="169" fontId="3" fillId="0" borderId="86" xfId="5" quotePrefix="1" applyNumberFormat="1" applyFont="1" applyFill="1" applyBorder="1" applyAlignment="1">
      <alignment horizontal="right"/>
    </xf>
    <xf numFmtId="169" fontId="3" fillId="0" borderId="53" xfId="5" applyNumberFormat="1" applyFont="1" applyFill="1" applyBorder="1" applyAlignment="1">
      <alignment horizontal="right"/>
    </xf>
    <xf numFmtId="169" fontId="3" fillId="0" borderId="96" xfId="5" applyNumberFormat="1" applyFont="1" applyFill="1" applyBorder="1" applyAlignment="1">
      <alignment horizontal="right"/>
    </xf>
    <xf numFmtId="3" fontId="8" fillId="0" borderId="59" xfId="4" applyNumberFormat="1" applyFont="1" applyFill="1" applyBorder="1" applyAlignment="1">
      <alignment horizontal="right" vertical="center"/>
    </xf>
    <xf numFmtId="3" fontId="4" fillId="2" borderId="9" xfId="4" quotePrefix="1" applyNumberFormat="1" applyFont="1" applyFill="1" applyBorder="1" applyAlignment="1">
      <alignment horizontal="centerContinuous" vertical="center"/>
    </xf>
    <xf numFmtId="3" fontId="4" fillId="2" borderId="8" xfId="4" quotePrefix="1" applyNumberFormat="1" applyFont="1" applyFill="1" applyBorder="1" applyAlignment="1">
      <alignment horizontal="centerContinuous" vertical="center"/>
    </xf>
    <xf numFmtId="3" fontId="4" fillId="2" borderId="10" xfId="4" quotePrefix="1" applyNumberFormat="1" applyFont="1" applyFill="1" applyBorder="1" applyAlignment="1">
      <alignment horizontal="centerContinuous" vertical="center"/>
    </xf>
    <xf numFmtId="168" fontId="3" fillId="0" borderId="65" xfId="0" applyNumberFormat="1" applyFont="1" applyFill="1" applyBorder="1" applyAlignment="1">
      <alignment horizontal="right"/>
    </xf>
    <xf numFmtId="168" fontId="3" fillId="3" borderId="103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horizontal="center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horizontal="center"/>
    </xf>
    <xf numFmtId="164" fontId="5" fillId="0" borderId="0" xfId="1" applyNumberFormat="1" applyFont="1" applyFill="1" applyBorder="1"/>
    <xf numFmtId="165" fontId="5" fillId="0" borderId="0" xfId="1" applyFont="1" applyFill="1" applyBorder="1"/>
    <xf numFmtId="3" fontId="5" fillId="0" borderId="0" xfId="0" applyNumberFormat="1" applyFont="1" applyFill="1" applyBorder="1" applyAlignment="1">
      <alignment horizontal="centerContinuous" vertical="center" wrapText="1"/>
    </xf>
    <xf numFmtId="3" fontId="5" fillId="0" borderId="0" xfId="0" applyNumberFormat="1" applyFont="1" applyFill="1" applyBorder="1" applyAlignment="1">
      <alignment horizontal="center" wrapText="1"/>
    </xf>
    <xf numFmtId="170" fontId="5" fillId="0" borderId="0" xfId="1" applyNumberFormat="1" applyFont="1" applyFill="1" applyBorder="1" applyAlignment="1"/>
    <xf numFmtId="170" fontId="5" fillId="0" borderId="0" xfId="1" applyNumberFormat="1" applyFont="1" applyFill="1" applyBorder="1" applyAlignment="1">
      <alignment horizontal="center"/>
    </xf>
    <xf numFmtId="170" fontId="5" fillId="0" borderId="0" xfId="1" applyNumberFormat="1" applyFont="1" applyFill="1" applyBorder="1"/>
    <xf numFmtId="170" fontId="5" fillId="0" borderId="0" xfId="0" applyNumberFormat="1" applyFont="1" applyFill="1" applyBorder="1"/>
    <xf numFmtId="1" fontId="5" fillId="0" borderId="0" xfId="1" applyNumberFormat="1" applyFont="1" applyFill="1" applyBorder="1" applyAlignment="1">
      <alignment horizontal="center"/>
    </xf>
    <xf numFmtId="170" fontId="3" fillId="0" borderId="0" xfId="0" applyNumberFormat="1" applyFont="1" applyFill="1" applyBorder="1"/>
    <xf numFmtId="170" fontId="5" fillId="0" borderId="0" xfId="0" applyNumberFormat="1" applyFont="1" applyFill="1" applyBorder="1" applyAlignment="1">
      <alignment horizontal="center"/>
    </xf>
    <xf numFmtId="0" fontId="8" fillId="0" borderId="0" xfId="0" applyFont="1" applyFill="1" applyBorder="1"/>
    <xf numFmtId="170" fontId="5" fillId="0" borderId="0" xfId="1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/>
    <xf numFmtId="169" fontId="8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67" fontId="4" fillId="0" borderId="104" xfId="0" applyNumberFormat="1" applyFont="1" applyFill="1" applyBorder="1"/>
    <xf numFmtId="0" fontId="4" fillId="0" borderId="4" xfId="0" applyFont="1" applyFill="1" applyBorder="1"/>
    <xf numFmtId="166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/>
    <xf numFmtId="0" fontId="3" fillId="0" borderId="0" xfId="0" applyFont="1" applyFill="1" applyAlignment="1">
      <alignment vertical="center"/>
    </xf>
    <xf numFmtId="168" fontId="8" fillId="0" borderId="0" xfId="0" applyNumberFormat="1" applyFont="1"/>
    <xf numFmtId="166" fontId="8" fillId="0" borderId="0" xfId="0" applyNumberFormat="1" applyFont="1"/>
    <xf numFmtId="168" fontId="3" fillId="0" borderId="0" xfId="0" applyNumberFormat="1" applyFont="1" applyAlignment="1"/>
    <xf numFmtId="168" fontId="3" fillId="0" borderId="0" xfId="0" applyNumberFormat="1" applyFont="1" applyFill="1" applyBorder="1" applyAlignment="1"/>
    <xf numFmtId="168" fontId="3" fillId="0" borderId="0" xfId="0" applyNumberFormat="1" applyFont="1" applyBorder="1" applyAlignment="1"/>
    <xf numFmtId="166" fontId="3" fillId="3" borderId="105" xfId="5" applyNumberFormat="1" applyFont="1" applyFill="1" applyBorder="1" applyAlignment="1">
      <alignment horizontal="right"/>
    </xf>
    <xf numFmtId="166" fontId="3" fillId="0" borderId="105" xfId="5" applyNumberFormat="1" applyFont="1" applyFill="1" applyBorder="1" applyAlignment="1">
      <alignment horizontal="right"/>
    </xf>
    <xf numFmtId="166" fontId="3" fillId="3" borderId="105" xfId="0" applyNumberFormat="1" applyFont="1" applyFill="1" applyBorder="1" applyAlignment="1">
      <alignment horizontal="right"/>
    </xf>
    <xf numFmtId="166" fontId="3" fillId="3" borderId="106" xfId="0" applyNumberFormat="1" applyFont="1" applyFill="1" applyBorder="1" applyAlignment="1">
      <alignment horizontal="right"/>
    </xf>
    <xf numFmtId="166" fontId="3" fillId="3" borderId="107" xfId="5" applyNumberFormat="1" applyFont="1" applyFill="1" applyBorder="1" applyAlignment="1">
      <alignment horizontal="right"/>
    </xf>
    <xf numFmtId="166" fontId="3" fillId="0" borderId="107" xfId="5" applyNumberFormat="1" applyFont="1" applyFill="1" applyBorder="1" applyAlignment="1">
      <alignment horizontal="right"/>
    </xf>
    <xf numFmtId="166" fontId="3" fillId="3" borderId="107" xfId="0" applyNumberFormat="1" applyFont="1" applyFill="1" applyBorder="1" applyAlignment="1">
      <alignment horizontal="right"/>
    </xf>
    <xf numFmtId="166" fontId="3" fillId="3" borderId="108" xfId="0" applyNumberFormat="1" applyFont="1" applyFill="1" applyBorder="1" applyAlignment="1">
      <alignment horizontal="right"/>
    </xf>
    <xf numFmtId="3" fontId="5" fillId="0" borderId="0" xfId="5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166" fontId="8" fillId="0" borderId="48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169" fontId="3" fillId="0" borderId="45" xfId="0" quotePrefix="1" applyNumberFormat="1" applyFont="1" applyBorder="1" applyAlignment="1">
      <alignment horizontal="right"/>
    </xf>
    <xf numFmtId="169" fontId="3" fillId="0" borderId="109" xfId="0" quotePrefix="1" applyNumberFormat="1" applyFont="1" applyBorder="1" applyAlignment="1">
      <alignment horizontal="right"/>
    </xf>
    <xf numFmtId="169" fontId="3" fillId="3" borderId="45" xfId="0" quotePrefix="1" applyNumberFormat="1" applyFont="1" applyFill="1" applyBorder="1" applyAlignment="1">
      <alignment horizontal="right"/>
    </xf>
    <xf numFmtId="169" fontId="3" fillId="3" borderId="109" xfId="0" quotePrefix="1" applyNumberFormat="1" applyFont="1" applyFill="1" applyBorder="1" applyAlignment="1">
      <alignment horizontal="right"/>
    </xf>
    <xf numFmtId="167" fontId="3" fillId="0" borderId="0" xfId="0" applyNumberFormat="1" applyFont="1" applyFill="1" applyBorder="1"/>
    <xf numFmtId="0" fontId="4" fillId="2" borderId="110" xfId="0" applyFont="1" applyFill="1" applyBorder="1" applyAlignment="1">
      <alignment horizontal="centerContinuous" vertical="center"/>
    </xf>
    <xf numFmtId="3" fontId="3" fillId="2" borderId="111" xfId="4" applyNumberFormat="1" applyFont="1" applyFill="1" applyBorder="1" applyAlignment="1">
      <alignment horizontal="left" vertical="center" indent="1"/>
    </xf>
    <xf numFmtId="172" fontId="3" fillId="0" borderId="112" xfId="4" applyNumberFormat="1" applyFont="1" applyFill="1" applyBorder="1" applyAlignment="1">
      <alignment horizontal="right" vertical="center"/>
    </xf>
    <xf numFmtId="172" fontId="3" fillId="0" borderId="113" xfId="4" applyNumberFormat="1" applyFont="1" applyFill="1" applyBorder="1" applyAlignment="1">
      <alignment horizontal="right" vertical="center"/>
    </xf>
    <xf numFmtId="173" fontId="8" fillId="0" borderId="113" xfId="4" applyNumberFormat="1" applyFont="1" applyFill="1" applyBorder="1" applyAlignment="1">
      <alignment horizontal="right" vertical="center"/>
    </xf>
    <xf numFmtId="3" fontId="8" fillId="0" borderId="113" xfId="4" applyNumberFormat="1" applyFont="1" applyFill="1" applyBorder="1" applyAlignment="1">
      <alignment horizontal="right" vertical="center"/>
    </xf>
    <xf numFmtId="169" fontId="3" fillId="0" borderId="114" xfId="4" applyNumberFormat="1" applyFont="1" applyFill="1" applyBorder="1" applyAlignment="1">
      <alignment horizontal="right" vertical="center"/>
    </xf>
    <xf numFmtId="174" fontId="3" fillId="0" borderId="115" xfId="5" applyNumberFormat="1" applyFont="1" applyFill="1" applyBorder="1" applyAlignment="1">
      <alignment horizontal="right" vertical="center"/>
    </xf>
    <xf numFmtId="3" fontId="4" fillId="2" borderId="22" xfId="0" applyNumberFormat="1" applyFont="1" applyFill="1" applyBorder="1" applyAlignment="1">
      <alignment horizontal="center" vertical="center" wrapText="1"/>
    </xf>
    <xf numFmtId="3" fontId="4" fillId="2" borderId="23" xfId="0" applyNumberFormat="1" applyFont="1" applyFill="1" applyBorder="1" applyAlignment="1">
      <alignment horizontal="center" vertical="center" wrapText="1"/>
    </xf>
    <xf numFmtId="3" fontId="4" fillId="2" borderId="33" xfId="0" applyNumberFormat="1" applyFont="1" applyFill="1" applyBorder="1" applyAlignment="1">
      <alignment horizontal="center" vertical="center" wrapText="1"/>
    </xf>
    <xf numFmtId="3" fontId="4" fillId="2" borderId="34" xfId="0" applyNumberFormat="1" applyFont="1" applyFill="1" applyBorder="1" applyAlignment="1">
      <alignment horizontal="center" vertical="center" wrapText="1"/>
    </xf>
    <xf numFmtId="3" fontId="4" fillId="2" borderId="24" xfId="0" applyNumberFormat="1" applyFont="1" applyFill="1" applyBorder="1" applyAlignment="1">
      <alignment horizontal="center" vertical="center" wrapText="1"/>
    </xf>
    <xf numFmtId="168" fontId="3" fillId="0" borderId="91" xfId="0" applyNumberFormat="1" applyFont="1" applyFill="1" applyBorder="1" applyAlignment="1">
      <alignment horizontal="right"/>
    </xf>
    <xf numFmtId="166" fontId="3" fillId="0" borderId="95" xfId="0" quotePrefix="1" applyNumberFormat="1" applyFont="1" applyFill="1" applyBorder="1" applyAlignment="1">
      <alignment horizontal="right"/>
    </xf>
    <xf numFmtId="166" fontId="3" fillId="0" borderId="88" xfId="0" quotePrefix="1" applyNumberFormat="1" applyFont="1" applyFill="1" applyBorder="1" applyAlignment="1">
      <alignment horizontal="right"/>
    </xf>
    <xf numFmtId="166" fontId="3" fillId="0" borderId="106" xfId="0" applyNumberFormat="1" applyFont="1" applyFill="1" applyBorder="1" applyAlignment="1">
      <alignment horizontal="right"/>
    </xf>
    <xf numFmtId="166" fontId="8" fillId="0" borderId="91" xfId="0" applyNumberFormat="1" applyFont="1" applyFill="1" applyBorder="1" applyAlignment="1">
      <alignment horizontal="right" vertical="center"/>
    </xf>
    <xf numFmtId="167" fontId="3" fillId="3" borderId="80" xfId="0" applyNumberFormat="1" applyFont="1" applyFill="1" applyBorder="1" applyAlignment="1">
      <alignment horizontal="right"/>
    </xf>
    <xf numFmtId="167" fontId="3" fillId="3" borderId="81" xfId="0" applyNumberFormat="1" applyFont="1" applyFill="1" applyBorder="1" applyAlignment="1">
      <alignment horizontal="right"/>
    </xf>
    <xf numFmtId="168" fontId="3" fillId="3" borderId="82" xfId="0" applyNumberFormat="1" applyFont="1" applyFill="1" applyBorder="1" applyAlignment="1">
      <alignment horizontal="right"/>
    </xf>
    <xf numFmtId="3" fontId="3" fillId="3" borderId="83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left" indent="1"/>
    </xf>
    <xf numFmtId="3" fontId="3" fillId="2" borderId="111" xfId="0" applyNumberFormat="1" applyFont="1" applyFill="1" applyBorder="1" applyAlignment="1">
      <alignment horizontal="left" indent="1"/>
    </xf>
    <xf numFmtId="3" fontId="3" fillId="3" borderId="112" xfId="0" applyNumberFormat="1" applyFont="1" applyFill="1" applyBorder="1" applyAlignment="1">
      <alignment horizontal="right"/>
    </xf>
    <xf numFmtId="3" fontId="3" fillId="3" borderId="113" xfId="0" applyNumberFormat="1" applyFont="1" applyFill="1" applyBorder="1" applyAlignment="1">
      <alignment horizontal="right"/>
    </xf>
    <xf numFmtId="4" fontId="8" fillId="3" borderId="113" xfId="0" applyNumberFormat="1" applyFont="1" applyFill="1" applyBorder="1" applyAlignment="1">
      <alignment horizontal="right"/>
    </xf>
    <xf numFmtId="169" fontId="3" fillId="3" borderId="113" xfId="5" applyNumberFormat="1" applyFont="1" applyFill="1" applyBorder="1" applyAlignment="1">
      <alignment horizontal="right"/>
    </xf>
    <xf numFmtId="3" fontId="3" fillId="0" borderId="113" xfId="0" applyNumberFormat="1" applyFont="1" applyFill="1" applyBorder="1" applyAlignment="1">
      <alignment horizontal="right"/>
    </xf>
    <xf numFmtId="169" fontId="3" fillId="0" borderId="115" xfId="5" applyNumberFormat="1" applyFont="1" applyFill="1" applyBorder="1" applyAlignment="1">
      <alignment horizontal="right"/>
    </xf>
    <xf numFmtId="49" fontId="4" fillId="2" borderId="116" xfId="0" applyNumberFormat="1" applyFont="1" applyFill="1" applyBorder="1" applyAlignment="1">
      <alignment horizontal="center" vertical="center" wrapText="1"/>
    </xf>
    <xf numFmtId="3" fontId="3" fillId="3" borderId="78" xfId="0" applyNumberFormat="1" applyFont="1" applyFill="1" applyBorder="1" applyAlignment="1">
      <alignment horizontal="right"/>
    </xf>
    <xf numFmtId="169" fontId="3" fillId="3" borderId="86" xfId="0" applyNumberFormat="1" applyFont="1" applyFill="1" applyBorder="1" applyAlignment="1">
      <alignment horizontal="right"/>
    </xf>
    <xf numFmtId="169" fontId="3" fillId="3" borderId="78" xfId="0" applyNumberFormat="1" applyFont="1" applyFill="1" applyBorder="1" applyAlignment="1">
      <alignment horizontal="right"/>
    </xf>
    <xf numFmtId="169" fontId="3" fillId="3" borderId="87" xfId="0" applyNumberFormat="1" applyFont="1" applyFill="1" applyBorder="1" applyAlignment="1">
      <alignment horizontal="right"/>
    </xf>
    <xf numFmtId="0" fontId="4" fillId="2" borderId="116" xfId="0" applyFont="1" applyFill="1" applyBorder="1" applyAlignment="1">
      <alignment horizontal="centerContinuous"/>
    </xf>
    <xf numFmtId="0" fontId="4" fillId="2" borderId="98" xfId="0" applyFont="1" applyFill="1" applyBorder="1" applyAlignment="1">
      <alignment horizontal="centerContinuous"/>
    </xf>
    <xf numFmtId="171" fontId="3" fillId="3" borderId="78" xfId="1" applyNumberFormat="1" applyFont="1" applyFill="1" applyBorder="1" applyAlignment="1">
      <alignment horizontal="right"/>
    </xf>
    <xf numFmtId="3" fontId="3" fillId="2" borderId="84" xfId="0" applyNumberFormat="1" applyFont="1" applyFill="1" applyBorder="1" applyAlignment="1">
      <alignment horizontal="left" indent="1"/>
    </xf>
    <xf numFmtId="3" fontId="3" fillId="3" borderId="80" xfId="0" applyNumberFormat="1" applyFont="1" applyFill="1" applyBorder="1" applyAlignment="1">
      <alignment horizontal="right"/>
    </xf>
    <xf numFmtId="3" fontId="3" fillId="3" borderId="81" xfId="0" applyNumberFormat="1" applyFont="1" applyFill="1" applyBorder="1" applyAlignment="1">
      <alignment horizontal="right"/>
    </xf>
    <xf numFmtId="4" fontId="4" fillId="3" borderId="81" xfId="0" applyNumberFormat="1" applyFont="1" applyFill="1" applyBorder="1" applyAlignment="1">
      <alignment horizontal="right"/>
    </xf>
    <xf numFmtId="169" fontId="4" fillId="3" borderId="81" xfId="5" applyNumberFormat="1" applyFont="1" applyFill="1" applyBorder="1" applyAlignment="1">
      <alignment horizontal="right"/>
    </xf>
    <xf numFmtId="4" fontId="3" fillId="3" borderId="81" xfId="0" applyNumberFormat="1" applyFont="1" applyFill="1" applyBorder="1" applyAlignment="1">
      <alignment horizontal="right"/>
    </xf>
    <xf numFmtId="169" fontId="3" fillId="3" borderId="117" xfId="0" applyNumberFormat="1" applyFont="1" applyFill="1" applyBorder="1" applyAlignment="1">
      <alignment horizontal="right"/>
    </xf>
    <xf numFmtId="169" fontId="3" fillId="3" borderId="118" xfId="5" applyNumberFormat="1" applyFont="1" applyFill="1" applyBorder="1" applyAlignment="1">
      <alignment horizontal="right"/>
    </xf>
    <xf numFmtId="3" fontId="4" fillId="2" borderId="119" xfId="0" quotePrefix="1" applyNumberFormat="1" applyFont="1" applyFill="1" applyBorder="1" applyAlignment="1">
      <alignment horizontal="center" wrapText="1"/>
    </xf>
    <xf numFmtId="3" fontId="4" fillId="2" borderId="93" xfId="0" quotePrefix="1" applyNumberFormat="1" applyFont="1" applyFill="1" applyBorder="1" applyAlignment="1">
      <alignment horizontal="center" wrapText="1"/>
    </xf>
    <xf numFmtId="169" fontId="3" fillId="0" borderId="56" xfId="0" applyNumberFormat="1" applyFont="1" applyFill="1" applyBorder="1" applyAlignment="1">
      <alignment horizontal="right"/>
    </xf>
    <xf numFmtId="169" fontId="3" fillId="0" borderId="29" xfId="0" applyNumberFormat="1" applyFont="1" applyFill="1" applyBorder="1" applyAlignment="1">
      <alignment horizontal="right"/>
    </xf>
    <xf numFmtId="169" fontId="3" fillId="3" borderId="45" xfId="0" applyNumberFormat="1" applyFont="1" applyFill="1" applyBorder="1" applyAlignment="1">
      <alignment horizontal="right"/>
    </xf>
    <xf numFmtId="169" fontId="3" fillId="0" borderId="56" xfId="4" applyNumberFormat="1" applyFont="1" applyFill="1" applyBorder="1" applyAlignment="1">
      <alignment horizontal="right" vertical="center"/>
    </xf>
    <xf numFmtId="169" fontId="3" fillId="0" borderId="26" xfId="4" applyNumberFormat="1" applyFont="1" applyFill="1" applyBorder="1" applyAlignment="1">
      <alignment horizontal="right" vertical="center"/>
    </xf>
    <xf numFmtId="169" fontId="3" fillId="0" borderId="29" xfId="4" applyNumberFormat="1" applyFont="1" applyFill="1" applyBorder="1" applyAlignment="1">
      <alignment horizontal="right" vertical="center"/>
    </xf>
    <xf numFmtId="169" fontId="3" fillId="0" borderId="45" xfId="4" applyNumberFormat="1" applyFont="1" applyFill="1" applyBorder="1" applyAlignment="1">
      <alignment horizontal="right" vertical="center"/>
    </xf>
    <xf numFmtId="10" fontId="3" fillId="0" borderId="0" xfId="0" applyNumberFormat="1" applyFont="1" applyAlignment="1"/>
    <xf numFmtId="169" fontId="3" fillId="3" borderId="61" xfId="5" applyNumberFormat="1" applyFont="1" applyFill="1" applyBorder="1" applyAlignment="1">
      <alignment horizontal="right"/>
    </xf>
    <xf numFmtId="3" fontId="4" fillId="2" borderId="92" xfId="0" applyNumberFormat="1" applyFont="1" applyFill="1" applyBorder="1" applyAlignment="1">
      <alignment horizontal="center" vertical="center" wrapText="1"/>
    </xf>
    <xf numFmtId="169" fontId="4" fillId="2" borderId="47" xfId="5" applyNumberFormat="1" applyFont="1" applyFill="1" applyBorder="1" applyAlignment="1">
      <alignment horizontal="center" vertical="center" wrapText="1"/>
    </xf>
    <xf numFmtId="3" fontId="4" fillId="2" borderId="94" xfId="0" applyNumberFormat="1" applyFont="1" applyFill="1" applyBorder="1" applyAlignment="1">
      <alignment horizontal="center" vertical="center" wrapText="1"/>
    </xf>
    <xf numFmtId="169" fontId="4" fillId="2" borderId="93" xfId="5" applyNumberFormat="1" applyFont="1" applyFill="1" applyBorder="1" applyAlignment="1">
      <alignment horizontal="center" vertical="center" wrapText="1"/>
    </xf>
    <xf numFmtId="169" fontId="3" fillId="0" borderId="0" xfId="0" applyNumberFormat="1" applyFont="1" applyBorder="1"/>
    <xf numFmtId="168" fontId="3" fillId="0" borderId="0" xfId="0" applyNumberFormat="1" applyFont="1" applyFill="1" applyBorder="1"/>
    <xf numFmtId="168" fontId="8" fillId="0" borderId="0" xfId="0" applyNumberFormat="1" applyFont="1" applyFill="1" applyBorder="1"/>
    <xf numFmtId="165" fontId="4" fillId="0" borderId="0" xfId="1" applyFont="1" applyFill="1" applyBorder="1" applyAlignment="1">
      <alignment horizontal="right"/>
    </xf>
    <xf numFmtId="0" fontId="5" fillId="0" borderId="0" xfId="0" applyFont="1"/>
    <xf numFmtId="166" fontId="8" fillId="0" borderId="0" xfId="0" applyNumberFormat="1" applyFont="1" applyFill="1" applyBorder="1" applyAlignment="1">
      <alignment horizontal="center"/>
    </xf>
    <xf numFmtId="3" fontId="3" fillId="0" borderId="0" xfId="5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3" borderId="51" xfId="0" quotePrefix="1" applyNumberFormat="1" applyFont="1" applyFill="1" applyBorder="1" applyAlignment="1">
      <alignment horizontal="right"/>
    </xf>
    <xf numFmtId="168" fontId="3" fillId="3" borderId="49" xfId="0" quotePrefix="1" applyNumberFormat="1" applyFont="1" applyFill="1" applyBorder="1" applyAlignment="1">
      <alignment horizontal="right"/>
    </xf>
    <xf numFmtId="3" fontId="4" fillId="2" borderId="47" xfId="0" quotePrefix="1" applyNumberFormat="1" applyFont="1" applyFill="1" applyBorder="1" applyAlignment="1">
      <alignment horizontal="center" vertical="center" wrapText="1"/>
    </xf>
    <xf numFmtId="49" fontId="4" fillId="2" borderId="100" xfId="0" applyNumberFormat="1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Continuous"/>
    </xf>
    <xf numFmtId="0" fontId="4" fillId="2" borderId="106" xfId="0" applyFont="1" applyFill="1" applyBorder="1" applyAlignment="1">
      <alignment horizontal="centerContinuous"/>
    </xf>
    <xf numFmtId="169" fontId="3" fillId="0" borderId="85" xfId="5" applyNumberFormat="1" applyFont="1" applyFill="1" applyBorder="1" applyAlignment="1">
      <alignment horizontal="right"/>
    </xf>
    <xf numFmtId="169" fontId="3" fillId="3" borderId="109" xfId="5" applyNumberFormat="1" applyFont="1" applyFill="1" applyBorder="1" applyAlignment="1">
      <alignment horizontal="right"/>
    </xf>
    <xf numFmtId="3" fontId="4" fillId="2" borderId="94" xfId="0" quotePrefix="1" applyNumberFormat="1" applyFont="1" applyFill="1" applyBorder="1" applyAlignment="1">
      <alignment horizontal="center" wrapText="1"/>
    </xf>
    <xf numFmtId="1" fontId="3" fillId="0" borderId="0" xfId="0" applyNumberFormat="1" applyFont="1"/>
    <xf numFmtId="169" fontId="3" fillId="0" borderId="0" xfId="0" applyNumberFormat="1" applyFont="1" applyAlignment="1"/>
    <xf numFmtId="169" fontId="3" fillId="0" borderId="0" xfId="5" applyNumberFormat="1" applyFont="1" applyAlignment="1">
      <alignment horizontal="center"/>
    </xf>
    <xf numFmtId="165" fontId="8" fillId="0" borderId="0" xfId="0" applyNumberFormat="1" applyFont="1" applyFill="1"/>
    <xf numFmtId="165" fontId="8" fillId="0" borderId="0" xfId="0" applyNumberFormat="1" applyFont="1" applyFill="1" applyBorder="1"/>
    <xf numFmtId="166" fontId="3" fillId="0" borderId="0" xfId="5" applyNumberFormat="1" applyFont="1" applyFill="1" applyBorder="1" applyAlignment="1">
      <alignment horizontal="right"/>
    </xf>
    <xf numFmtId="3" fontId="3" fillId="2" borderId="120" xfId="0" applyNumberFormat="1" applyFont="1" applyFill="1" applyBorder="1" applyAlignment="1">
      <alignment horizontal="left" indent="1"/>
    </xf>
    <xf numFmtId="3" fontId="3" fillId="3" borderId="121" xfId="0" applyNumberFormat="1" applyFont="1" applyFill="1" applyBorder="1" applyAlignment="1">
      <alignment horizontal="right"/>
    </xf>
    <xf numFmtId="3" fontId="3" fillId="0" borderId="121" xfId="0" applyNumberFormat="1" applyFont="1" applyFill="1" applyBorder="1" applyAlignment="1">
      <alignment horizontal="right"/>
    </xf>
    <xf numFmtId="3" fontId="3" fillId="0" borderId="122" xfId="0" applyNumberFormat="1" applyFont="1" applyFill="1" applyBorder="1" applyAlignment="1">
      <alignment horizontal="right"/>
    </xf>
    <xf numFmtId="3" fontId="3" fillId="3" borderId="122" xfId="0" applyNumberFormat="1" applyFont="1" applyFill="1" applyBorder="1" applyAlignment="1">
      <alignment horizontal="right"/>
    </xf>
    <xf numFmtId="9" fontId="3" fillId="2" borderId="120" xfId="5" applyNumberFormat="1" applyFont="1" applyFill="1" applyBorder="1" applyAlignment="1">
      <alignment horizontal="left" indent="1"/>
    </xf>
    <xf numFmtId="169" fontId="3" fillId="3" borderId="121" xfId="5" applyNumberFormat="1" applyFont="1" applyFill="1" applyBorder="1" applyAlignment="1">
      <alignment horizontal="right"/>
    </xf>
    <xf numFmtId="169" fontId="3" fillId="3" borderId="122" xfId="5" applyNumberFormat="1" applyFont="1" applyFill="1" applyBorder="1" applyAlignment="1">
      <alignment horizontal="right"/>
    </xf>
    <xf numFmtId="169" fontId="3" fillId="3" borderId="122" xfId="0" applyNumberFormat="1" applyFont="1" applyFill="1" applyBorder="1" applyAlignment="1">
      <alignment horizontal="right"/>
    </xf>
    <xf numFmtId="4" fontId="3" fillId="3" borderId="121" xfId="0" applyNumberFormat="1" applyFont="1" applyFill="1" applyBorder="1" applyAlignment="1">
      <alignment horizontal="right"/>
    </xf>
    <xf numFmtId="4" fontId="3" fillId="3" borderId="122" xfId="0" applyNumberFormat="1" applyFont="1" applyFill="1" applyBorder="1" applyAlignment="1">
      <alignment horizontal="right"/>
    </xf>
    <xf numFmtId="169" fontId="3" fillId="3" borderId="123" xfId="5" applyNumberFormat="1" applyFont="1" applyFill="1" applyBorder="1" applyAlignment="1">
      <alignment horizontal="right"/>
    </xf>
    <xf numFmtId="169" fontId="3" fillId="0" borderId="121" xfId="5" applyNumberFormat="1" applyFont="1" applyFill="1" applyBorder="1" applyAlignment="1">
      <alignment horizontal="right"/>
    </xf>
    <xf numFmtId="169" fontId="3" fillId="0" borderId="122" xfId="5" applyNumberFormat="1" applyFont="1" applyFill="1" applyBorder="1" applyAlignment="1">
      <alignment horizontal="right"/>
    </xf>
    <xf numFmtId="171" fontId="3" fillId="3" borderId="121" xfId="1" applyNumberFormat="1" applyFont="1" applyFill="1" applyBorder="1" applyAlignment="1">
      <alignment horizontal="right"/>
    </xf>
    <xf numFmtId="171" fontId="3" fillId="0" borderId="121" xfId="1" applyNumberFormat="1" applyFont="1" applyFill="1" applyBorder="1" applyAlignment="1">
      <alignment horizontal="right"/>
    </xf>
    <xf numFmtId="171" fontId="3" fillId="0" borderId="122" xfId="1" applyNumberFormat="1" applyFont="1" applyFill="1" applyBorder="1" applyAlignment="1">
      <alignment horizontal="right"/>
    </xf>
    <xf numFmtId="171" fontId="3" fillId="3" borderId="122" xfId="1" applyNumberFormat="1" applyFont="1" applyFill="1" applyBorder="1" applyAlignment="1">
      <alignment horizontal="right"/>
    </xf>
    <xf numFmtId="171" fontId="3" fillId="3" borderId="123" xfId="1" applyNumberFormat="1" applyFont="1" applyFill="1" applyBorder="1" applyAlignment="1">
      <alignment horizontal="right"/>
    </xf>
    <xf numFmtId="169" fontId="3" fillId="3" borderId="124" xfId="5" applyNumberFormat="1" applyFont="1" applyFill="1" applyBorder="1" applyAlignment="1">
      <alignment horizontal="right"/>
    </xf>
    <xf numFmtId="169" fontId="3" fillId="3" borderId="125" xfId="0" applyNumberFormat="1" applyFont="1" applyFill="1" applyBorder="1" applyAlignment="1">
      <alignment horizontal="right"/>
    </xf>
    <xf numFmtId="169" fontId="3" fillId="3" borderId="30" xfId="0" applyNumberFormat="1" applyFont="1" applyFill="1" applyBorder="1" applyAlignment="1">
      <alignment horizontal="right"/>
    </xf>
    <xf numFmtId="169" fontId="3" fillId="3" borderId="60" xfId="0" applyNumberFormat="1" applyFont="1" applyFill="1" applyBorder="1" applyAlignment="1">
      <alignment horizontal="right"/>
    </xf>
    <xf numFmtId="169" fontId="3" fillId="3" borderId="126" xfId="5" applyNumberFormat="1" applyFont="1" applyFill="1" applyBorder="1" applyAlignment="1">
      <alignment horizontal="right"/>
    </xf>
    <xf numFmtId="169" fontId="3" fillId="0" borderId="126" xfId="5" applyNumberFormat="1" applyFont="1" applyFill="1" applyBorder="1" applyAlignment="1">
      <alignment horizontal="right"/>
    </xf>
    <xf numFmtId="169" fontId="3" fillId="0" borderId="127" xfId="5" applyNumberFormat="1" applyFont="1" applyFill="1" applyBorder="1" applyAlignment="1">
      <alignment horizontal="right"/>
    </xf>
    <xf numFmtId="169" fontId="3" fillId="3" borderId="124" xfId="0" applyNumberFormat="1" applyFont="1" applyFill="1" applyBorder="1" applyAlignment="1">
      <alignment horizontal="right"/>
    </xf>
    <xf numFmtId="169" fontId="3" fillId="3" borderId="59" xfId="0" applyNumberFormat="1" applyFont="1" applyFill="1" applyBorder="1" applyAlignment="1">
      <alignment horizontal="right"/>
    </xf>
    <xf numFmtId="169" fontId="3" fillId="0" borderId="124" xfId="5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4" fontId="3" fillId="3" borderId="95" xfId="0" applyNumberFormat="1" applyFont="1" applyFill="1" applyBorder="1" applyAlignment="1">
      <alignment horizontal="right"/>
    </xf>
    <xf numFmtId="4" fontId="3" fillId="3" borderId="114" xfId="0" applyNumberFormat="1" applyFont="1" applyFill="1" applyBorder="1" applyAlignment="1">
      <alignment horizontal="right"/>
    </xf>
    <xf numFmtId="169" fontId="13" fillId="0" borderId="0" xfId="5" applyNumberFormat="1" applyFont="1" applyFill="1" applyBorder="1"/>
    <xf numFmtId="3" fontId="14" fillId="0" borderId="0" xfId="0" quotePrefix="1" applyNumberFormat="1" applyFont="1" applyFill="1" applyBorder="1" applyAlignment="1">
      <alignment horizontal="center" wrapText="1"/>
    </xf>
    <xf numFmtId="0" fontId="14" fillId="0" borderId="0" xfId="0" quotePrefix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169" fontId="13" fillId="0" borderId="0" xfId="0" applyNumberFormat="1" applyFont="1" applyFill="1" applyBorder="1"/>
    <xf numFmtId="169" fontId="13" fillId="0" borderId="0" xfId="0" applyNumberFormat="1" applyFont="1" applyFill="1" applyBorder="1" applyAlignment="1">
      <alignment horizontal="right"/>
    </xf>
    <xf numFmtId="169" fontId="13" fillId="0" borderId="0" xfId="0" applyNumberFormat="1" applyFont="1" applyFill="1"/>
    <xf numFmtId="169" fontId="13" fillId="0" borderId="0" xfId="0" applyNumberFormat="1" applyFont="1"/>
    <xf numFmtId="0" fontId="13" fillId="0" borderId="0" xfId="0" applyFont="1" applyFill="1" applyBorder="1" applyAlignment="1">
      <alignment horizontal="right"/>
    </xf>
    <xf numFmtId="0" fontId="4" fillId="2" borderId="128" xfId="0" applyFont="1" applyFill="1" applyBorder="1" applyAlignment="1">
      <alignment horizontal="center" vertical="center"/>
    </xf>
    <xf numFmtId="0" fontId="4" fillId="2" borderId="129" xfId="0" applyFont="1" applyFill="1" applyBorder="1" applyAlignment="1">
      <alignment horizontal="center" vertical="center"/>
    </xf>
    <xf numFmtId="175" fontId="3" fillId="3" borderId="81" xfId="0" applyNumberFormat="1" applyFont="1" applyFill="1" applyBorder="1" applyAlignment="1"/>
    <xf numFmtId="175" fontId="3" fillId="3" borderId="82" xfId="0" applyNumberFormat="1" applyFont="1" applyFill="1" applyBorder="1" applyAlignment="1"/>
    <xf numFmtId="175" fontId="3" fillId="3" borderId="83" xfId="0" applyNumberFormat="1" applyFont="1" applyFill="1" applyBorder="1" applyAlignment="1"/>
    <xf numFmtId="10" fontId="3" fillId="3" borderId="80" xfId="0" applyNumberFormat="1" applyFont="1" applyFill="1" applyBorder="1" applyAlignment="1"/>
    <xf numFmtId="10" fontId="3" fillId="3" borderId="81" xfId="0" applyNumberFormat="1" applyFont="1" applyFill="1" applyBorder="1" applyAlignment="1"/>
    <xf numFmtId="10" fontId="3" fillId="3" borderId="64" xfId="0" applyNumberFormat="1" applyFont="1" applyFill="1" applyBorder="1" applyAlignment="1"/>
    <xf numFmtId="10" fontId="3" fillId="3" borderId="48" xfId="0" applyNumberFormat="1" applyFont="1" applyFill="1" applyBorder="1" applyAlignment="1"/>
    <xf numFmtId="175" fontId="3" fillId="3" borderId="48" xfId="0" applyNumberFormat="1" applyFont="1" applyFill="1" applyBorder="1" applyAlignment="1"/>
    <xf numFmtId="175" fontId="3" fillId="3" borderId="103" xfId="0" applyNumberFormat="1" applyFont="1" applyFill="1" applyBorder="1" applyAlignment="1"/>
    <xf numFmtId="175" fontId="3" fillId="3" borderId="54" xfId="0" applyNumberFormat="1" applyFont="1" applyFill="1" applyBorder="1" applyAlignment="1"/>
    <xf numFmtId="171" fontId="3" fillId="0" borderId="0" xfId="0" applyNumberFormat="1" applyFont="1" applyFill="1" applyBorder="1"/>
    <xf numFmtId="0" fontId="15" fillId="0" borderId="0" xfId="0" applyFont="1"/>
    <xf numFmtId="169" fontId="15" fillId="0" borderId="0" xfId="5" applyNumberFormat="1" applyFont="1"/>
    <xf numFmtId="0" fontId="15" fillId="0" borderId="0" xfId="0" applyFont="1" applyFill="1" applyBorder="1"/>
    <xf numFmtId="1" fontId="15" fillId="0" borderId="0" xfId="5" applyNumberFormat="1" applyFont="1"/>
    <xf numFmtId="0" fontId="13" fillId="0" borderId="0" xfId="0" applyFont="1"/>
    <xf numFmtId="166" fontId="3" fillId="0" borderId="50" xfId="2" quotePrefix="1" applyNumberFormat="1" applyFont="1" applyFill="1" applyBorder="1" applyAlignment="1">
      <alignment horizontal="right"/>
    </xf>
    <xf numFmtId="169" fontId="3" fillId="0" borderId="27" xfId="2" applyNumberFormat="1" applyFont="1" applyFill="1" applyBorder="1" applyAlignment="1">
      <alignment horizontal="right"/>
    </xf>
    <xf numFmtId="169" fontId="3" fillId="0" borderId="30" xfId="2" applyNumberFormat="1" applyFont="1" applyFill="1" applyBorder="1" applyAlignment="1">
      <alignment horizontal="right"/>
    </xf>
    <xf numFmtId="166" fontId="3" fillId="0" borderId="52" xfId="2" quotePrefix="1" applyNumberFormat="1" applyFont="1" applyFill="1" applyBorder="1" applyAlignment="1">
      <alignment horizontal="right"/>
    </xf>
    <xf numFmtId="169" fontId="3" fillId="0" borderId="63" xfId="2" applyNumberFormat="1" applyFont="1" applyFill="1" applyBorder="1" applyAlignment="1">
      <alignment horizontal="right"/>
    </xf>
    <xf numFmtId="166" fontId="3" fillId="0" borderId="91" xfId="0" applyNumberFormat="1" applyFont="1" applyFill="1" applyBorder="1" applyAlignment="1">
      <alignment horizontal="right" vertical="center"/>
    </xf>
    <xf numFmtId="166" fontId="3" fillId="0" borderId="65" xfId="2" applyNumberFormat="1" applyFont="1" applyFill="1" applyBorder="1" applyAlignment="1">
      <alignment horizontal="right" vertical="center"/>
    </xf>
    <xf numFmtId="166" fontId="3" fillId="0" borderId="130" xfId="0" applyNumberFormat="1" applyFont="1" applyFill="1" applyBorder="1" applyAlignment="1">
      <alignment horizontal="right" vertical="center"/>
    </xf>
    <xf numFmtId="169" fontId="3" fillId="0" borderId="0" xfId="5" applyNumberFormat="1" applyFont="1" applyFill="1" applyBorder="1"/>
    <xf numFmtId="169" fontId="4" fillId="0" borderId="0" xfId="0" applyNumberFormat="1" applyFont="1" applyFill="1" applyBorder="1" applyAlignment="1">
      <alignment horizontal="center"/>
    </xf>
    <xf numFmtId="169" fontId="3" fillId="0" borderId="0" xfId="1" applyNumberFormat="1" applyFont="1" applyFill="1" applyBorder="1" applyAlignment="1">
      <alignment horizontal="right"/>
    </xf>
    <xf numFmtId="166" fontId="4" fillId="2" borderId="72" xfId="0" applyNumberFormat="1" applyFont="1" applyFill="1" applyBorder="1" applyAlignment="1">
      <alignment horizontal="left" indent="1"/>
    </xf>
    <xf numFmtId="0" fontId="4" fillId="2" borderId="72" xfId="0" applyFont="1" applyFill="1" applyBorder="1" applyAlignment="1">
      <alignment horizontal="left" indent="1"/>
    </xf>
    <xf numFmtId="49" fontId="4" fillId="2" borderId="84" xfId="0" applyNumberFormat="1" applyFont="1" applyFill="1" applyBorder="1" applyAlignment="1">
      <alignment horizontal="left" indent="1"/>
    </xf>
    <xf numFmtId="2" fontId="3" fillId="3" borderId="57" xfId="0" applyNumberFormat="1" applyFont="1" applyFill="1" applyBorder="1" applyAlignment="1">
      <alignment horizontal="right"/>
    </xf>
    <xf numFmtId="3" fontId="3" fillId="3" borderId="52" xfId="1" applyNumberFormat="1" applyFont="1" applyFill="1" applyBorder="1" applyAlignment="1">
      <alignment horizontal="right"/>
    </xf>
    <xf numFmtId="169" fontId="3" fillId="3" borderId="52" xfId="1" applyNumberFormat="1" applyFont="1" applyFill="1" applyBorder="1" applyAlignment="1">
      <alignment horizontal="right"/>
    </xf>
    <xf numFmtId="0" fontId="16" fillId="0" borderId="0" xfId="0" applyFont="1" applyFill="1" applyBorder="1"/>
    <xf numFmtId="0" fontId="16" fillId="0" borderId="0" xfId="0" applyFont="1"/>
    <xf numFmtId="166" fontId="3" fillId="5" borderId="106" xfId="0" applyNumberFormat="1" applyFont="1" applyFill="1" applyBorder="1" applyAlignment="1">
      <alignment horizontal="right"/>
    </xf>
    <xf numFmtId="166" fontId="3" fillId="5" borderId="130" xfId="0" applyNumberFormat="1" applyFont="1" applyFill="1" applyBorder="1" applyAlignment="1">
      <alignment horizontal="right" vertical="center"/>
    </xf>
    <xf numFmtId="3" fontId="3" fillId="3" borderId="95" xfId="0" applyNumberFormat="1" applyFont="1" applyFill="1" applyBorder="1" applyAlignment="1">
      <alignment horizontal="right"/>
    </xf>
    <xf numFmtId="169" fontId="3" fillId="3" borderId="114" xfId="5" applyNumberFormat="1" applyFont="1" applyFill="1" applyBorder="1" applyAlignment="1">
      <alignment horizontal="right"/>
    </xf>
    <xf numFmtId="169" fontId="16" fillId="0" borderId="0" xfId="5" applyNumberFormat="1" applyFont="1"/>
    <xf numFmtId="1" fontId="16" fillId="0" borderId="0" xfId="5" applyNumberFormat="1" applyFont="1"/>
    <xf numFmtId="169" fontId="16" fillId="0" borderId="0" xfId="5" applyNumberFormat="1" applyFont="1" applyFill="1" applyBorder="1"/>
    <xf numFmtId="3" fontId="17" fillId="0" borderId="0" xfId="0" applyNumberFormat="1" applyFont="1" applyFill="1" applyBorder="1" applyAlignment="1">
      <alignment horizontal="center"/>
    </xf>
    <xf numFmtId="171" fontId="16" fillId="0" borderId="0" xfId="1" applyNumberFormat="1" applyFont="1" applyFill="1" applyBorder="1" applyAlignment="1">
      <alignment horizontal="right"/>
    </xf>
    <xf numFmtId="169" fontId="13" fillId="0" borderId="0" xfId="5" applyNumberFormat="1" applyFont="1"/>
    <xf numFmtId="1" fontId="13" fillId="0" borderId="0" xfId="5" applyNumberFormat="1" applyFont="1"/>
    <xf numFmtId="0" fontId="4" fillId="2" borderId="131" xfId="0" applyFont="1" applyFill="1" applyBorder="1" applyAlignment="1">
      <alignment horizontal="center" vertical="justify"/>
    </xf>
    <xf numFmtId="0" fontId="4" fillId="2" borderId="128" xfId="0" applyFont="1" applyFill="1" applyBorder="1" applyAlignment="1">
      <alignment horizontal="center" vertical="justify"/>
    </xf>
    <xf numFmtId="0" fontId="0" fillId="0" borderId="0" xfId="0"/>
    <xf numFmtId="168" fontId="3" fillId="0" borderId="132" xfId="0" applyNumberFormat="1" applyFont="1" applyFill="1" applyBorder="1"/>
    <xf numFmtId="168" fontId="3" fillId="0" borderId="98" xfId="0" applyNumberFormat="1" applyFont="1" applyFill="1" applyBorder="1"/>
    <xf numFmtId="166" fontId="3" fillId="0" borderId="98" xfId="2" applyNumberFormat="1" applyFont="1" applyFill="1" applyBorder="1" applyAlignment="1">
      <alignment horizontal="right"/>
    </xf>
  </cellXfs>
  <cellStyles count="6">
    <cellStyle name="Čárka" xfId="1" builtinId="3"/>
    <cellStyle name="Neutrální" xfId="2" builtinId="28"/>
    <cellStyle name="Normal_VEK_96KS" xfId="3" xr:uid="{00000000-0005-0000-0000-000002000000}"/>
    <cellStyle name="Normální" xfId="0" builtinId="0"/>
    <cellStyle name="normální_uch" xfId="4" xr:uid="{00000000-0005-0000-0000-000004000000}"/>
    <cellStyle name="Procenta" xfId="5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Úspěšnost uchazečů, kteří se dostavili k přijímacímu řízení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'voš_druh studia '!#REF!</c:v>
          </c:tx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9E-480C-BD39-4082D28C8DCD}"/>
            </c:ext>
          </c:extLst>
        </c:ser>
        <c:ser>
          <c:idx val="1"/>
          <c:order val="1"/>
          <c:tx>
            <c:v>'voš_druh studia '!#REF!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9E-480C-BD39-4082D28C8DCD}"/>
            </c:ext>
          </c:extLst>
        </c:ser>
        <c:ser>
          <c:idx val="2"/>
          <c:order val="2"/>
          <c:tx>
            <c:v>'voš_druh studia '!#REF!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99E-480C-BD39-4082D28C8DCD}"/>
            </c:ext>
          </c:extLst>
        </c:ser>
        <c:ser>
          <c:idx val="3"/>
          <c:order val="3"/>
          <c:tx>
            <c:v>'voš_druh studia '!#REF!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99E-480C-BD39-4082D28C8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356304"/>
        <c:axId val="1"/>
      </c:lineChart>
      <c:catAx>
        <c:axId val="89435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.2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6"/>
          <c:min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6304"/>
        <c:crosses val="autoZero"/>
        <c:crossBetween val="between"/>
        <c:majorUnit val="0.05"/>
        <c:minorUnit val="2.500000000000000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Úspěšnost uchazečů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'voš_druh studia '!#REF!</c:v>
          </c:tx>
          <c:spPr>
            <a:ln w="381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319-423A-8841-EE795971EA76}"/>
            </c:ext>
          </c:extLst>
        </c:ser>
        <c:ser>
          <c:idx val="1"/>
          <c:order val="1"/>
          <c:tx>
            <c:v>'voš_druh studia '!#REF!</c:v>
          </c:tx>
          <c:spPr>
            <a:ln w="3175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319-423A-8841-EE795971EA76}"/>
            </c:ext>
          </c:extLst>
        </c:ser>
        <c:ser>
          <c:idx val="2"/>
          <c:order val="2"/>
          <c:tx>
            <c:v>'voš_druh studia '!#REF!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319-423A-8841-EE795971EA76}"/>
            </c:ext>
          </c:extLst>
        </c:ser>
        <c:ser>
          <c:idx val="3"/>
          <c:order val="3"/>
          <c:tx>
            <c:v>'voš_druh studia '!#REF!</c:v>
          </c:tx>
          <c:spPr>
            <a:ln w="38100">
              <a:solidFill>
                <a:srgbClr val="000000"/>
              </a:solidFill>
              <a:prstDash val="sysDash"/>
            </a:ln>
          </c:spPr>
          <c:marker>
            <c:symbol val="none"/>
          </c:marker>
          <c:val>
            <c:numRef>
              <c:f>'voš_druh studia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'voš_druh studia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319-423A-8841-EE795971E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356704"/>
        <c:axId val="1"/>
      </c:lineChart>
      <c:catAx>
        <c:axId val="89435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At val="0.2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55000000000000004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6704"/>
        <c:crosses val="autoZero"/>
        <c:crossBetween val="between"/>
        <c:majorUnit val="0.05"/>
        <c:minorUnit val="2.500000000000000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9"/>
              <c:pt idx="0">
                <c:v>Právní vědy</c:v>
              </c:pt>
              <c:pt idx="1">
                <c:v>Umělecké obory</c:v>
              </c:pt>
              <c:pt idx="2">
                <c:v>Humanitní a spol. vědy</c:v>
              </c:pt>
              <c:pt idx="3">
                <c:v>Ekonomické vědy</c:v>
              </c:pt>
              <c:pt idx="4">
                <c:v>Učitelství</c:v>
              </c:pt>
              <c:pt idx="5">
                <c:v>Lékařské vědy, farmacie</c:v>
              </c:pt>
              <c:pt idx="6">
                <c:v>Zemědělství, veter. lék.</c:v>
              </c:pt>
              <c:pt idx="7">
                <c:v>Přírodní vědy</c:v>
              </c:pt>
              <c:pt idx="8">
                <c:v>Technické obory</c:v>
              </c:pt>
            </c:strLit>
          </c:cat>
          <c:val>
            <c:numLit>
              <c:formatCode>General</c:formatCode>
              <c:ptCount val="9"/>
              <c:pt idx="0">
                <c:v>9.8474576271186436</c:v>
              </c:pt>
              <c:pt idx="1">
                <c:v>9.27116935483871</c:v>
              </c:pt>
              <c:pt idx="2">
                <c:v>7.0840121386360009</c:v>
              </c:pt>
              <c:pt idx="3">
                <c:v>5.3688411509657072</c:v>
              </c:pt>
              <c:pt idx="4">
                <c:v>4.7950761179828731</c:v>
              </c:pt>
              <c:pt idx="5">
                <c:v>3.7236383149986585</c:v>
              </c:pt>
              <c:pt idx="6">
                <c:v>3.3844566712517192</c:v>
              </c:pt>
              <c:pt idx="7">
                <c:v>3.2089723926380369</c:v>
              </c:pt>
              <c:pt idx="8">
                <c:v>2.0137697621586534</c:v>
              </c:pt>
            </c:numLit>
          </c:val>
          <c:extLst>
            <c:ext xmlns:c16="http://schemas.microsoft.com/office/drawing/2014/chart" uri="{C3380CC4-5D6E-409C-BE32-E72D297353CC}">
              <c16:uniqueId val="{00000000-D0AA-4722-993A-92C09BD0D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353504"/>
        <c:axId val="1"/>
      </c:barChart>
      <c:catAx>
        <c:axId val="894353504"/>
        <c:scaling>
          <c:orientation val="maxMin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1"/>
        <c:scaling>
          <c:orientation val="minMax"/>
          <c:max val="12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3504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&amp;A</c:oddHeader>
      <c:oddFooter>Strana &amp;P</c:oddFooter>
    </c:headerFooter>
    <c:pageMargins b="0.984251969" l="0.78740157499999996" r="0.78740157499999996" t="0.984251969" header="0.4921259845" footer="0.492125984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Index přihlášek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8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'voš_sex '!#REF!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E3-471D-922F-628D1586B349}"/>
            </c:ext>
          </c:extLst>
        </c:ser>
        <c:ser>
          <c:idx val="1"/>
          <c:order val="1"/>
          <c:tx>
            <c:v>'voš_sex '!#REF!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00" mc:Ignorable="a14" a14:legacySpreadsheetColorIndex="8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8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E3-471D-922F-628D1586B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358704"/>
        <c:axId val="1"/>
        <c:axId val="0"/>
      </c:bar3DChart>
      <c:catAx>
        <c:axId val="89435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školní 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87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Podíl přihlášených, kteří se dostavili k přij. řízení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5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'voš_sex '!#REF!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69F-4B6E-B0FD-736A738A75C3}"/>
            </c:ext>
          </c:extLst>
        </c:ser>
        <c:ser>
          <c:idx val="1"/>
          <c:order val="1"/>
          <c:tx>
            <c:v>'voš_sex '!#REF!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00" mc:Ignorable="a14" a14:legacySpreadsheetColorIndex="8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8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'voš_sex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'voš_sex 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69F-4B6E-B0FD-736A738A7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357104"/>
        <c:axId val="1"/>
        <c:axId val="0"/>
      </c:bar3DChart>
      <c:catAx>
        <c:axId val="89435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školní rok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89435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cs-CZ"/>
              <a:t>Podíly uchazečů přijatých do denní formy vzdělávání na VOŠ podle věku</a:t>
            </a:r>
          </a:p>
        </c:rich>
      </c:tx>
      <c:layout>
        <c:manualLayout>
          <c:xMode val="edge"/>
          <c:yMode val="edge"/>
          <c:x val="0.2378720219125785"/>
          <c:y val="1.9002377643970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247380928729168E-2"/>
          <c:y val="0.12826618201893514"/>
          <c:w val="0.88106550925749039"/>
          <c:h val="0.736342896775368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'voš_věk '!$A$47</c:f>
              <c:strCache>
                <c:ptCount val="1"/>
                <c:pt idx="0">
                  <c:v>18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'!$C$46:$Z$46</c:f>
              <c:strCache>
                <c:ptCount val="24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  <c:pt idx="23">
                  <c:v>2021/22</c:v>
                </c:pt>
              </c:strCache>
            </c:strRef>
          </c:cat>
          <c:val>
            <c:numRef>
              <c:f>'voš_věk '!$C$47:$Z$47</c:f>
              <c:numCache>
                <c:formatCode>0.0%</c:formatCode>
                <c:ptCount val="24"/>
                <c:pt idx="0">
                  <c:v>0.49978503869303526</c:v>
                </c:pt>
                <c:pt idx="1">
                  <c:v>0.49643061107938319</c:v>
                </c:pt>
                <c:pt idx="2">
                  <c:v>9.7376484105706623E-2</c:v>
                </c:pt>
                <c:pt idx="3">
                  <c:v>8.3777358799901627E-2</c:v>
                </c:pt>
                <c:pt idx="4">
                  <c:v>1.4489348370927317E-2</c:v>
                </c:pt>
                <c:pt idx="5">
                  <c:v>2.0282451923076925E-3</c:v>
                </c:pt>
                <c:pt idx="6">
                  <c:v>3.0693153721544891E-3</c:v>
                </c:pt>
                <c:pt idx="7">
                  <c:v>3.3327486405893701E-3</c:v>
                </c:pt>
                <c:pt idx="8">
                  <c:v>3.1710501772057452E-3</c:v>
                </c:pt>
                <c:pt idx="9">
                  <c:v>6.2618595825426945E-3</c:v>
                </c:pt>
                <c:pt idx="10">
                  <c:v>4.241995758004242E-3</c:v>
                </c:pt>
                <c:pt idx="11">
                  <c:v>3.4712449573130687E-3</c:v>
                </c:pt>
                <c:pt idx="12">
                  <c:v>6.1616527727437476E-3</c:v>
                </c:pt>
                <c:pt idx="13">
                  <c:v>4.0260736196319029E-3</c:v>
                </c:pt>
                <c:pt idx="14">
                  <c:v>5.0086688499325766E-3</c:v>
                </c:pt>
                <c:pt idx="15">
                  <c:v>4.3855374719812884E-3</c:v>
                </c:pt>
                <c:pt idx="16">
                  <c:v>5.6281193586067754E-3</c:v>
                </c:pt>
                <c:pt idx="17">
                  <c:v>4.1676589664205767E-3</c:v>
                </c:pt>
                <c:pt idx="18">
                  <c:v>6.2178967288456337E-3</c:v>
                </c:pt>
                <c:pt idx="19">
                  <c:v>8.4878968877711413E-3</c:v>
                </c:pt>
                <c:pt idx="20">
                  <c:v>3.3E-3</c:v>
                </c:pt>
                <c:pt idx="21">
                  <c:v>3.3E-3</c:v>
                </c:pt>
                <c:pt idx="22">
                  <c:v>4.5999999999999999E-3</c:v>
                </c:pt>
                <c:pt idx="23">
                  <c:v>3.8E-3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D-4784-94F7-C41CB3833A59}"/>
            </c:ext>
          </c:extLst>
        </c:ser>
        <c:ser>
          <c:idx val="1"/>
          <c:order val="1"/>
          <c:tx>
            <c:strRef>
              <c:f>'voš_věk '!$A$48</c:f>
              <c:strCache>
                <c:ptCount val="1"/>
                <c:pt idx="0">
                  <c:v>19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1"/>
          <c:cat>
            <c:strRef>
              <c:f>'voš_věk '!$C$46:$Z$46</c:f>
              <c:strCache>
                <c:ptCount val="24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  <c:pt idx="23">
                  <c:v>2021/22</c:v>
                </c:pt>
              </c:strCache>
            </c:strRef>
          </c:cat>
          <c:val>
            <c:numRef>
              <c:f>'voš_věk '!$C$48:$Z$48</c:f>
              <c:numCache>
                <c:formatCode>0.0%</c:formatCode>
                <c:ptCount val="24"/>
                <c:pt idx="0">
                  <c:v>0.31513327601031815</c:v>
                </c:pt>
                <c:pt idx="1">
                  <c:v>0.30118503712164479</c:v>
                </c:pt>
                <c:pt idx="2">
                  <c:v>0.38854844887016471</c:v>
                </c:pt>
                <c:pt idx="3">
                  <c:v>0.62169030248381019</c:v>
                </c:pt>
                <c:pt idx="4">
                  <c:v>0.57072368421052633</c:v>
                </c:pt>
                <c:pt idx="5">
                  <c:v>0.49624399038461536</c:v>
                </c:pt>
                <c:pt idx="6">
                  <c:v>0.52766646772955916</c:v>
                </c:pt>
                <c:pt idx="7">
                  <c:v>0.52999473776530437</c:v>
                </c:pt>
                <c:pt idx="8">
                  <c:v>0.517160977429584</c:v>
                </c:pt>
                <c:pt idx="9">
                  <c:v>0.5130929791271347</c:v>
                </c:pt>
                <c:pt idx="10">
                  <c:v>0.51762448237551761</c:v>
                </c:pt>
                <c:pt idx="11">
                  <c:v>0.49760765550239233</c:v>
                </c:pt>
                <c:pt idx="12">
                  <c:v>0.48142442914099309</c:v>
                </c:pt>
                <c:pt idx="13">
                  <c:v>0.44315567484662588</c:v>
                </c:pt>
                <c:pt idx="14">
                  <c:v>0.43257561163552311</c:v>
                </c:pt>
                <c:pt idx="15">
                  <c:v>0.40541857518760355</c:v>
                </c:pt>
                <c:pt idx="16">
                  <c:v>0.40108314749920354</c:v>
                </c:pt>
                <c:pt idx="17">
                  <c:v>0.40771612288640152</c:v>
                </c:pt>
                <c:pt idx="18">
                  <c:v>0.40132468234658014</c:v>
                </c:pt>
                <c:pt idx="19">
                  <c:v>0.39547312165985538</c:v>
                </c:pt>
                <c:pt idx="20">
                  <c:v>0.40849999999999997</c:v>
                </c:pt>
                <c:pt idx="21">
                  <c:v>0.40849999999999997</c:v>
                </c:pt>
                <c:pt idx="22">
                  <c:v>0.42930000000000001</c:v>
                </c:pt>
                <c:pt idx="23">
                  <c:v>0.44440000000000002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8D-4784-94F7-C41CB3833A59}"/>
            </c:ext>
          </c:extLst>
        </c:ser>
        <c:ser>
          <c:idx val="2"/>
          <c:order val="2"/>
          <c:tx>
            <c:strRef>
              <c:f>'voš_věk '!$A$49</c:f>
              <c:strCache>
                <c:ptCount val="1"/>
                <c:pt idx="0">
                  <c:v>20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'!$C$46:$Z$46</c:f>
              <c:strCache>
                <c:ptCount val="24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  <c:pt idx="23">
                  <c:v>2021/22</c:v>
                </c:pt>
              </c:strCache>
            </c:strRef>
          </c:cat>
          <c:val>
            <c:numRef>
              <c:f>'voš_věk '!$C$49:$Z$49</c:f>
              <c:numCache>
                <c:formatCode>0.0%</c:formatCode>
                <c:ptCount val="24"/>
                <c:pt idx="0">
                  <c:v>0.11593579822298652</c:v>
                </c:pt>
                <c:pt idx="1">
                  <c:v>0.11964591661907481</c:v>
                </c:pt>
                <c:pt idx="2">
                  <c:v>0.19293374186135581</c:v>
                </c:pt>
                <c:pt idx="3">
                  <c:v>0.16845643085498813</c:v>
                </c:pt>
                <c:pt idx="4">
                  <c:v>0.27232142857142855</c:v>
                </c:pt>
                <c:pt idx="5">
                  <c:v>0.28448016826923078</c:v>
                </c:pt>
                <c:pt idx="6">
                  <c:v>0.27530053713019015</c:v>
                </c:pt>
                <c:pt idx="7">
                  <c:v>0.27284686897035609</c:v>
                </c:pt>
                <c:pt idx="8">
                  <c:v>0.27289684760305916</c:v>
                </c:pt>
                <c:pt idx="9">
                  <c:v>0.27058823529411763</c:v>
                </c:pt>
                <c:pt idx="10">
                  <c:v>0.26674073325926673</c:v>
                </c:pt>
                <c:pt idx="11">
                  <c:v>0.2792006754855052</c:v>
                </c:pt>
                <c:pt idx="12">
                  <c:v>0.27799927509967381</c:v>
                </c:pt>
                <c:pt idx="13">
                  <c:v>0.30310582822085896</c:v>
                </c:pt>
                <c:pt idx="14">
                  <c:v>0.28867270275476792</c:v>
                </c:pt>
                <c:pt idx="15">
                  <c:v>0.30572068999122892</c:v>
                </c:pt>
                <c:pt idx="16">
                  <c:v>0.28554741425082297</c:v>
                </c:pt>
                <c:pt idx="17">
                  <c:v>0.26482495832341035</c:v>
                </c:pt>
                <c:pt idx="18">
                  <c:v>0.26074614760746145</c:v>
                </c:pt>
                <c:pt idx="19">
                  <c:v>0.26784030179188933</c:v>
                </c:pt>
                <c:pt idx="20">
                  <c:v>0.26219999999999999</c:v>
                </c:pt>
                <c:pt idx="21">
                  <c:v>0.26219999999999999</c:v>
                </c:pt>
                <c:pt idx="22">
                  <c:v>0.26650000000000001</c:v>
                </c:pt>
                <c:pt idx="23">
                  <c:v>0.26979999999999998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8D-4784-94F7-C41CB3833A59}"/>
            </c:ext>
          </c:extLst>
        </c:ser>
        <c:ser>
          <c:idx val="3"/>
          <c:order val="3"/>
          <c:tx>
            <c:strRef>
              <c:f>'voš_věk '!$A$50</c:f>
              <c:strCache>
                <c:ptCount val="1"/>
                <c:pt idx="0">
                  <c:v>21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'!$C$46:$Z$46</c:f>
              <c:strCache>
                <c:ptCount val="24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  <c:pt idx="23">
                  <c:v>2021/22</c:v>
                </c:pt>
              </c:strCache>
            </c:strRef>
          </c:cat>
          <c:val>
            <c:numRef>
              <c:f>'voš_věk '!$C$50:$Z$50</c:f>
              <c:numCache>
                <c:formatCode>0.0%</c:formatCode>
                <c:ptCount val="24"/>
                <c:pt idx="0">
                  <c:v>3.6901691028948122E-2</c:v>
                </c:pt>
                <c:pt idx="1">
                  <c:v>4.3332381496287833E-2</c:v>
                </c:pt>
                <c:pt idx="2">
                  <c:v>9.7184986595174258E-2</c:v>
                </c:pt>
                <c:pt idx="3">
                  <c:v>5.9021231248462987E-2</c:v>
                </c:pt>
                <c:pt idx="4">
                  <c:v>7.0567042606516292E-2</c:v>
                </c:pt>
                <c:pt idx="5">
                  <c:v>0.12364783653846154</c:v>
                </c:pt>
                <c:pt idx="6">
                  <c:v>9.7621280586580275E-2</c:v>
                </c:pt>
                <c:pt idx="7">
                  <c:v>9.8140677074197505E-2</c:v>
                </c:pt>
                <c:pt idx="8">
                  <c:v>0.10744264129826525</c:v>
                </c:pt>
                <c:pt idx="9">
                  <c:v>0.10132827324478179</c:v>
                </c:pt>
                <c:pt idx="10">
                  <c:v>9.6858903141096853E-2</c:v>
                </c:pt>
                <c:pt idx="11">
                  <c:v>0.1021671826625387</c:v>
                </c:pt>
                <c:pt idx="12">
                  <c:v>0.10837259876766944</c:v>
                </c:pt>
                <c:pt idx="13">
                  <c:v>0.11474309815950923</c:v>
                </c:pt>
                <c:pt idx="14">
                  <c:v>0.12637256790599116</c:v>
                </c:pt>
                <c:pt idx="15">
                  <c:v>0.12035863950881981</c:v>
                </c:pt>
                <c:pt idx="16">
                  <c:v>0.12944674524795582</c:v>
                </c:pt>
                <c:pt idx="17">
                  <c:v>0.12717313646106215</c:v>
                </c:pt>
                <c:pt idx="18">
                  <c:v>0.11868072452014058</c:v>
                </c:pt>
                <c:pt idx="19">
                  <c:v>0.11898773970449544</c:v>
                </c:pt>
                <c:pt idx="20">
                  <c:v>0.1147</c:v>
                </c:pt>
                <c:pt idx="21">
                  <c:v>0.1147</c:v>
                </c:pt>
                <c:pt idx="22">
                  <c:v>0.10829999999999999</c:v>
                </c:pt>
                <c:pt idx="23">
                  <c:v>0.1174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8D-4784-94F7-C41CB3833A59}"/>
            </c:ext>
          </c:extLst>
        </c:ser>
        <c:ser>
          <c:idx val="4"/>
          <c:order val="4"/>
          <c:tx>
            <c:strRef>
              <c:f>'voš_věk '!$A$51</c:f>
              <c:strCache>
                <c:ptCount val="1"/>
                <c:pt idx="0">
                  <c:v>22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'!$C$46:$Z$46</c:f>
              <c:strCache>
                <c:ptCount val="24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  <c:pt idx="23">
                  <c:v>2021/22</c:v>
                </c:pt>
              </c:strCache>
            </c:strRef>
          </c:cat>
          <c:val>
            <c:numRef>
              <c:f>'voš_věk '!$C$51:$Z$51</c:f>
              <c:numCache>
                <c:formatCode>0.0%</c:formatCode>
                <c:ptCount val="24"/>
                <c:pt idx="0">
                  <c:v>1.5190599025508742E-2</c:v>
                </c:pt>
                <c:pt idx="1">
                  <c:v>1.9703026841804683E-2</c:v>
                </c:pt>
                <c:pt idx="2">
                  <c:v>5.3619302949061663E-2</c:v>
                </c:pt>
                <c:pt idx="3">
                  <c:v>3.0412328879416344E-2</c:v>
                </c:pt>
                <c:pt idx="4">
                  <c:v>2.9605263157894735E-2</c:v>
                </c:pt>
                <c:pt idx="5">
                  <c:v>4.371995192307692E-2</c:v>
                </c:pt>
                <c:pt idx="6">
                  <c:v>4.7915423309745075E-2</c:v>
                </c:pt>
                <c:pt idx="7">
                  <c:v>4.5079810559550959E-2</c:v>
                </c:pt>
                <c:pt idx="8">
                  <c:v>4.1969781757134866E-2</c:v>
                </c:pt>
                <c:pt idx="9">
                  <c:v>4.506641366223909E-2</c:v>
                </c:pt>
                <c:pt idx="10">
                  <c:v>4.5146954853045144E-2</c:v>
                </c:pt>
                <c:pt idx="11">
                  <c:v>4.3437470682052726E-2</c:v>
                </c:pt>
                <c:pt idx="12">
                  <c:v>4.8296484233417904E-2</c:v>
                </c:pt>
                <c:pt idx="13">
                  <c:v>5.6365030674846633E-2</c:v>
                </c:pt>
                <c:pt idx="14">
                  <c:v>6.1741475630899642E-2</c:v>
                </c:pt>
                <c:pt idx="15">
                  <c:v>6.5490692914920573E-2</c:v>
                </c:pt>
                <c:pt idx="16">
                  <c:v>6.4351704364447274E-2</c:v>
                </c:pt>
                <c:pt idx="17">
                  <c:v>7.1326506311026439E-2</c:v>
                </c:pt>
                <c:pt idx="18">
                  <c:v>7.5560962422276293E-2</c:v>
                </c:pt>
                <c:pt idx="19">
                  <c:v>6.9003458032065382E-2</c:v>
                </c:pt>
                <c:pt idx="20">
                  <c:v>6.6199999999999995E-2</c:v>
                </c:pt>
                <c:pt idx="21">
                  <c:v>6.6199999999999995E-2</c:v>
                </c:pt>
                <c:pt idx="22">
                  <c:v>0.06</c:v>
                </c:pt>
                <c:pt idx="23">
                  <c:v>5.6399999999999999E-2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8D-4784-94F7-C41CB3833A59}"/>
            </c:ext>
          </c:extLst>
        </c:ser>
        <c:ser>
          <c:idx val="5"/>
          <c:order val="5"/>
          <c:tx>
            <c:strRef>
              <c:f>'voš_věk '!$A$52</c:f>
              <c:strCache>
                <c:ptCount val="1"/>
                <c:pt idx="0">
                  <c:v>23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blipFill dpi="0" rotWithShape="0">
                <a:blip xmlns:r="http://schemas.openxmlformats.org/officeDocument/2006/relationships" r:embed="rId4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38D-4784-94F7-C41CB3833A59}"/>
              </c:ext>
            </c:extLst>
          </c:dPt>
          <c:cat>
            <c:strRef>
              <c:f>'voš_věk '!$C$46:$Z$46</c:f>
              <c:strCache>
                <c:ptCount val="24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  <c:pt idx="23">
                  <c:v>2021/22</c:v>
                </c:pt>
              </c:strCache>
            </c:strRef>
          </c:cat>
          <c:val>
            <c:numRef>
              <c:f>'voš_věk '!$C$52:$Z$52</c:f>
              <c:numCache>
                <c:formatCode>0.0%</c:formatCode>
                <c:ptCount val="24"/>
                <c:pt idx="0">
                  <c:v>6.8071080538836346E-3</c:v>
                </c:pt>
                <c:pt idx="1">
                  <c:v>8.0668189605939463E-3</c:v>
                </c:pt>
                <c:pt idx="2">
                  <c:v>3.47567981616239E-2</c:v>
                </c:pt>
                <c:pt idx="3">
                  <c:v>1.483728174440528E-2</c:v>
                </c:pt>
                <c:pt idx="4">
                  <c:v>1.9110275689223057E-2</c:v>
                </c:pt>
                <c:pt idx="5">
                  <c:v>2.1559495192307692E-2</c:v>
                </c:pt>
                <c:pt idx="6">
                  <c:v>1.9865291158666552E-2</c:v>
                </c:pt>
                <c:pt idx="7">
                  <c:v>2.0698123136291879E-2</c:v>
                </c:pt>
                <c:pt idx="8">
                  <c:v>2.1731020332027607E-2</c:v>
                </c:pt>
                <c:pt idx="9">
                  <c:v>2.4952561669829221E-2</c:v>
                </c:pt>
                <c:pt idx="10">
                  <c:v>2.2623977376022623E-2</c:v>
                </c:pt>
                <c:pt idx="11">
                  <c:v>2.5049254151421334E-2</c:v>
                </c:pt>
                <c:pt idx="12">
                  <c:v>2.6549474447263501E-2</c:v>
                </c:pt>
                <c:pt idx="13">
                  <c:v>2.9907975460122707E-2</c:v>
                </c:pt>
                <c:pt idx="14">
                  <c:v>3.4482758620689662E-2</c:v>
                </c:pt>
                <c:pt idx="15">
                  <c:v>3.9957119189162851E-2</c:v>
                </c:pt>
                <c:pt idx="16">
                  <c:v>4.5343527662737602E-2</c:v>
                </c:pt>
                <c:pt idx="17">
                  <c:v>4.9535603715170282E-2</c:v>
                </c:pt>
                <c:pt idx="18">
                  <c:v>5.3663152203298189E-2</c:v>
                </c:pt>
                <c:pt idx="19">
                  <c:v>4.9198365293932726E-2</c:v>
                </c:pt>
                <c:pt idx="20">
                  <c:v>5.11E-2</c:v>
                </c:pt>
                <c:pt idx="21">
                  <c:v>5.11E-2</c:v>
                </c:pt>
                <c:pt idx="22">
                  <c:v>4.2700000000000002E-2</c:v>
                </c:pt>
                <c:pt idx="23">
                  <c:v>3.8300000000000001E-2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38D-4784-94F7-C41CB3833A59}"/>
            </c:ext>
          </c:extLst>
        </c:ser>
        <c:ser>
          <c:idx val="6"/>
          <c:order val="6"/>
          <c:tx>
            <c:strRef>
              <c:f>'voš_věk '!$A$53</c:f>
              <c:strCache>
                <c:ptCount val="1"/>
                <c:pt idx="0">
                  <c:v>24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'!$C$46:$Z$46</c:f>
              <c:strCache>
                <c:ptCount val="24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  <c:pt idx="23">
                  <c:v>2021/22</c:v>
                </c:pt>
              </c:strCache>
            </c:strRef>
          </c:cat>
          <c:val>
            <c:numRef>
              <c:f>'voš_věk '!$C$53:$Z$53</c:f>
              <c:numCache>
                <c:formatCode>0.0%</c:formatCode>
                <c:ptCount val="24"/>
                <c:pt idx="0">
                  <c:v>4.6574949842361707E-3</c:v>
                </c:pt>
                <c:pt idx="1">
                  <c:v>4.5688178183894918E-3</c:v>
                </c:pt>
                <c:pt idx="2">
                  <c:v>2.2022213711221754E-2</c:v>
                </c:pt>
                <c:pt idx="3">
                  <c:v>7.7875235675055332E-3</c:v>
                </c:pt>
                <c:pt idx="4">
                  <c:v>8.615288220551378E-3</c:v>
                </c:pt>
                <c:pt idx="5">
                  <c:v>1.2620192307692308E-2</c:v>
                </c:pt>
                <c:pt idx="6">
                  <c:v>9.6342399181515905E-3</c:v>
                </c:pt>
                <c:pt idx="7">
                  <c:v>9.033502894229082E-3</c:v>
                </c:pt>
                <c:pt idx="8">
                  <c:v>1.1844805073680284E-2</c:v>
                </c:pt>
                <c:pt idx="9">
                  <c:v>1.2049335863377609E-2</c:v>
                </c:pt>
                <c:pt idx="10">
                  <c:v>1.3432986567013434E-2</c:v>
                </c:pt>
                <c:pt idx="11">
                  <c:v>1.4635519279482128E-2</c:v>
                </c:pt>
                <c:pt idx="12">
                  <c:v>1.3138818412468285E-2</c:v>
                </c:pt>
                <c:pt idx="13">
                  <c:v>1.5816717791411045E-2</c:v>
                </c:pt>
                <c:pt idx="14">
                  <c:v>1.9649393180504723E-2</c:v>
                </c:pt>
                <c:pt idx="15">
                  <c:v>2.2414969301237698E-2</c:v>
                </c:pt>
                <c:pt idx="16">
                  <c:v>2.7291069342678137E-2</c:v>
                </c:pt>
                <c:pt idx="17">
                  <c:v>2.822100500119076E-2</c:v>
                </c:pt>
                <c:pt idx="18">
                  <c:v>3.0954311976209785E-2</c:v>
                </c:pt>
                <c:pt idx="19">
                  <c:v>3.222257151839044E-2</c:v>
                </c:pt>
                <c:pt idx="20">
                  <c:v>3.2199999999999999E-2</c:v>
                </c:pt>
                <c:pt idx="21">
                  <c:v>3.2199999999999999E-2</c:v>
                </c:pt>
                <c:pt idx="22">
                  <c:v>3.4299999999999997E-2</c:v>
                </c:pt>
                <c:pt idx="23">
                  <c:v>2.5499999999999998E-2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38D-4784-94F7-C41CB3833A59}"/>
            </c:ext>
          </c:extLst>
        </c:ser>
        <c:ser>
          <c:idx val="7"/>
          <c:order val="7"/>
          <c:tx>
            <c:strRef>
              <c:f>'voš_věk '!$A$54</c:f>
              <c:strCache>
                <c:ptCount val="1"/>
                <c:pt idx="0">
                  <c:v>25 a více let 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5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'voš_věk '!$C$46:$Z$46</c:f>
              <c:strCache>
                <c:ptCount val="24"/>
                <c:pt idx="0">
                  <c:v>1998/99</c:v>
                </c:pt>
                <c:pt idx="1">
                  <c:v>1999/00</c:v>
                </c:pt>
                <c:pt idx="2">
                  <c:v>2000/01</c:v>
                </c:pt>
                <c:pt idx="3">
                  <c:v>2001/02</c:v>
                </c:pt>
                <c:pt idx="4">
                  <c:v>2002/03</c:v>
                </c:pt>
                <c:pt idx="5">
                  <c:v>2003/04</c:v>
                </c:pt>
                <c:pt idx="6">
                  <c:v>2004/05</c:v>
                </c:pt>
                <c:pt idx="7">
                  <c:v>2005/06</c:v>
                </c:pt>
                <c:pt idx="8">
                  <c:v>2006/07</c:v>
                </c:pt>
                <c:pt idx="9">
                  <c:v>2007/08</c:v>
                </c:pt>
                <c:pt idx="10">
                  <c:v>2008/09</c:v>
                </c:pt>
                <c:pt idx="11">
                  <c:v>2009/10</c:v>
                </c:pt>
                <c:pt idx="12">
                  <c:v>2010/11</c:v>
                </c:pt>
                <c:pt idx="13">
                  <c:v>2011/12</c:v>
                </c:pt>
                <c:pt idx="14">
                  <c:v>2012/13</c:v>
                </c:pt>
                <c:pt idx="15">
                  <c:v>2013/14</c:v>
                </c:pt>
                <c:pt idx="16">
                  <c:v>2014/15</c:v>
                </c:pt>
                <c:pt idx="17">
                  <c:v>2015/16</c:v>
                </c:pt>
                <c:pt idx="18">
                  <c:v>2016/17</c:v>
                </c:pt>
                <c:pt idx="19">
                  <c:v>2017/18</c:v>
                </c:pt>
                <c:pt idx="20">
                  <c:v>2018/19</c:v>
                </c:pt>
                <c:pt idx="21">
                  <c:v>2019/20</c:v>
                </c:pt>
                <c:pt idx="22">
                  <c:v>2020/21</c:v>
                </c:pt>
                <c:pt idx="23">
                  <c:v>2021/22</c:v>
                </c:pt>
              </c:strCache>
            </c:strRef>
          </c:cat>
          <c:val>
            <c:numRef>
              <c:f>'voš_věk '!$C$54:$Z$54</c:f>
              <c:numCache>
                <c:formatCode>0.0%</c:formatCode>
                <c:ptCount val="24"/>
                <c:pt idx="0">
                  <c:v>5.5173402120951565E-3</c:v>
                </c:pt>
                <c:pt idx="1">
                  <c:v>7.0673900628212454E-3</c:v>
                </c:pt>
                <c:pt idx="2">
                  <c:v>0.11355802374569131</c:v>
                </c:pt>
                <c:pt idx="3">
                  <c:v>1.401754242150996E-2</c:v>
                </c:pt>
                <c:pt idx="4">
                  <c:v>1.456766917293233E-2</c:v>
                </c:pt>
                <c:pt idx="5">
                  <c:v>1.5700120192307692E-2</c:v>
                </c:pt>
                <c:pt idx="6">
                  <c:v>1.8927444794952682E-2</c:v>
                </c:pt>
                <c:pt idx="7">
                  <c:v>2.0873530959480791E-2</c:v>
                </c:pt>
                <c:pt idx="8">
                  <c:v>2.3782876329043089E-2</c:v>
                </c:pt>
                <c:pt idx="9">
                  <c:v>2.666034155597723E-2</c:v>
                </c:pt>
                <c:pt idx="10">
                  <c:v>3.332996667003333E-2</c:v>
                </c:pt>
                <c:pt idx="11">
                  <c:v>3.4430997279294495E-2</c:v>
                </c:pt>
                <c:pt idx="12">
                  <c:v>3.8057267125770206E-2</c:v>
                </c:pt>
                <c:pt idx="13">
                  <c:v>3.2879601226993863E-2</c:v>
                </c:pt>
                <c:pt idx="14">
                  <c:v>3.1496821421691398E-2</c:v>
                </c:pt>
                <c:pt idx="15">
                  <c:v>3.6253776435045314E-2</c:v>
                </c:pt>
                <c:pt idx="16">
                  <c:v>4.1308272273547844E-2</c:v>
                </c:pt>
                <c:pt idx="17">
                  <c:v>4.7035008335317929E-2</c:v>
                </c:pt>
                <c:pt idx="18">
                  <c:v>5.2852122195187888E-2</c:v>
                </c:pt>
                <c:pt idx="19">
                  <c:v>5.8786545111600128E-2</c:v>
                </c:pt>
                <c:pt idx="20">
                  <c:v>6.1600000000000002E-2</c:v>
                </c:pt>
                <c:pt idx="21">
                  <c:v>6.1600000000000002E-2</c:v>
                </c:pt>
                <c:pt idx="22">
                  <c:v>5.4300000000000001E-2</c:v>
                </c:pt>
                <c:pt idx="23">
                  <c:v>4.4400000000000002E-2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8D-4784-94F7-C41CB3833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94359104"/>
        <c:axId val="1"/>
      </c:barChart>
      <c:catAx>
        <c:axId val="89435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cs-CZ"/>
          </a:p>
        </c:txPr>
        <c:crossAx val="89435910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39160889446727"/>
          <c:y val="0.9524950440018527"/>
          <c:w val="0.60876476990812001"/>
          <c:h val="4.037992897946585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9</xdr:col>
      <xdr:colOff>0</xdr:colOff>
      <xdr:row>3</xdr:row>
      <xdr:rowOff>0</xdr:rowOff>
    </xdr:to>
    <xdr:graphicFrame macro="">
      <xdr:nvGraphicFramePr>
        <xdr:cNvPr id="1302" name="graf 1">
          <a:extLst>
            <a:ext uri="{FF2B5EF4-FFF2-40B4-BE49-F238E27FC236}">
              <a16:creationId xmlns:a16="http://schemas.microsoft.com/office/drawing/2014/main" id="{47F6BEEC-660B-4608-86D3-751E9567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3</xdr:row>
      <xdr:rowOff>0</xdr:rowOff>
    </xdr:to>
    <xdr:graphicFrame macro="">
      <xdr:nvGraphicFramePr>
        <xdr:cNvPr id="1303" name="graf 2">
          <a:extLst>
            <a:ext uri="{FF2B5EF4-FFF2-40B4-BE49-F238E27FC236}">
              <a16:creationId xmlns:a16="http://schemas.microsoft.com/office/drawing/2014/main" id="{F1F60323-B04C-4EEE-9CEA-4D2E1411B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87</xdr:row>
      <xdr:rowOff>0</xdr:rowOff>
    </xdr:from>
    <xdr:to>
      <xdr:col>2</xdr:col>
      <xdr:colOff>0</xdr:colOff>
      <xdr:row>87</xdr:row>
      <xdr:rowOff>0</xdr:rowOff>
    </xdr:to>
    <xdr:graphicFrame macro="">
      <xdr:nvGraphicFramePr>
        <xdr:cNvPr id="2189" name="graf 1">
          <a:extLst>
            <a:ext uri="{FF2B5EF4-FFF2-40B4-BE49-F238E27FC236}">
              <a16:creationId xmlns:a16="http://schemas.microsoft.com/office/drawing/2014/main" id="{0F935875-5B71-4748-87A6-55CB0B42D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0.25634</cdr:x>
      <cdr:y>0.22373</cdr:y>
    </cdr:from>
    <cdr:to>
      <cdr:x>0.25973</cdr:x>
      <cdr:y>0.44583</cdr:y>
    </cdr:to>
    <cdr:sp macro="" textlink="">
      <cdr:nvSpPr>
        <cdr:cNvPr id="307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740562" y="167267"/>
          <a:ext cx="9735" cy="1628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76200</xdr:rowOff>
    </xdr:to>
    <xdr:graphicFrame macro="">
      <xdr:nvGraphicFramePr>
        <xdr:cNvPr id="6421" name="graf 1">
          <a:extLst>
            <a:ext uri="{FF2B5EF4-FFF2-40B4-BE49-F238E27FC236}">
              <a16:creationId xmlns:a16="http://schemas.microsoft.com/office/drawing/2014/main" id="{4C6E5768-564E-47B2-969E-2F2D7A81B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76200</xdr:rowOff>
    </xdr:to>
    <xdr:graphicFrame macro="">
      <xdr:nvGraphicFramePr>
        <xdr:cNvPr id="6422" name="graf 2">
          <a:extLst>
            <a:ext uri="{FF2B5EF4-FFF2-40B4-BE49-F238E27FC236}">
              <a16:creationId xmlns:a16="http://schemas.microsoft.com/office/drawing/2014/main" id="{D954D603-386A-4140-9174-10E49AF17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18</xdr:row>
      <xdr:rowOff>0</xdr:rowOff>
    </xdr:from>
    <xdr:to>
      <xdr:col>13</xdr:col>
      <xdr:colOff>0</xdr:colOff>
      <xdr:row>43</xdr:row>
      <xdr:rowOff>0</xdr:rowOff>
    </xdr:to>
    <xdr:graphicFrame macro="">
      <xdr:nvGraphicFramePr>
        <xdr:cNvPr id="4242" name="graf 1">
          <a:extLst>
            <a:ext uri="{FF2B5EF4-FFF2-40B4-BE49-F238E27FC236}">
              <a16:creationId xmlns:a16="http://schemas.microsoft.com/office/drawing/2014/main" id="{93DB9218-9D86-46E3-97AE-43D02BCF63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2"/>
  <sheetViews>
    <sheetView zoomScaleNormal="100" workbookViewId="0">
      <selection activeCell="A17" sqref="A17"/>
    </sheetView>
  </sheetViews>
  <sheetFormatPr defaultColWidth="9.140625" defaultRowHeight="12.75" x14ac:dyDescent="0.2"/>
  <cols>
    <col min="1" max="1" width="108.140625" style="1" customWidth="1"/>
    <col min="2" max="16384" width="9.140625" style="1"/>
  </cols>
  <sheetData>
    <row r="1" spans="1:1" x14ac:dyDescent="0.2">
      <c r="A1" s="2" t="s">
        <v>86</v>
      </c>
    </row>
    <row r="2" spans="1:1" x14ac:dyDescent="0.2">
      <c r="A2" s="2"/>
    </row>
    <row r="3" spans="1:1" x14ac:dyDescent="0.2">
      <c r="A3" s="1" t="str">
        <f>'voš_vše '!A1</f>
        <v>Počet přihlášek, přihlášených, přijatých a zapsaných na VOŠ 1999/00–2021/22 v tisících</v>
      </c>
    </row>
    <row r="4" spans="1:1" ht="15" customHeight="1" x14ac:dyDescent="0.2">
      <c r="A4" s="1" t="str">
        <f>'voš_vše '!A10</f>
        <v>Počet přihlášených a zapsaných na VOŠ ve vztahu k populaci 18/19letých a k počtu maturantů v denní formě vzdělávání</v>
      </c>
    </row>
    <row r="5" spans="1:1" ht="15" customHeight="1" x14ac:dyDescent="0.2">
      <c r="A5" s="1" t="str">
        <f>'voš_vše '!A24</f>
        <v>Počet přihlášených a zapsaných do denní formy vzdělávání na VOŠ ve vztahu k populaci 18/19letých a k počtu maturantů v denní formě vzdělávání</v>
      </c>
    </row>
    <row r="6" spans="1:1" ht="15" customHeight="1" x14ac:dyDescent="0.2">
      <c r="A6" s="1" t="str">
        <f>'voš_vše '!A38</f>
        <v>Uchazeči o studium na VOŠ podle počtu podaných přihlášek 1999/00–2021/22</v>
      </c>
    </row>
    <row r="7" spans="1:1" ht="15" customHeight="1" x14ac:dyDescent="0.2">
      <c r="A7" s="1" t="str">
        <f>'voš_vše '!A65</f>
        <v>Struktura uchazečů na VOŠ podle počtu podaných přihlášek 1999/00–2021/22 v %</v>
      </c>
    </row>
    <row r="8" spans="1:1" ht="15" customHeight="1" x14ac:dyDescent="0.2"/>
    <row r="9" spans="1:1" ht="15" customHeight="1" x14ac:dyDescent="0.2">
      <c r="A9" s="1" t="str">
        <f>'voš_druh studia '!A1</f>
        <v>Počet přihlášek, přihlášených, přijatých a zapsaných na VOŠ podle formy vzdělávání v letech 1999/00–2021/22</v>
      </c>
    </row>
    <row r="10" spans="1:1" ht="15" customHeight="1" x14ac:dyDescent="0.2"/>
    <row r="11" spans="1:1" ht="15" customHeight="1" x14ac:dyDescent="0.2">
      <c r="A11" s="1" t="str">
        <f>voš_zřizovatel!A1</f>
        <v>Počet přihlášek, přihlášených, přijatých a zapsaných na VOŠ podle zřizovatele v letech 1999/00–2021/22</v>
      </c>
    </row>
    <row r="12" spans="1:1" ht="15" customHeight="1" x14ac:dyDescent="0.2"/>
    <row r="13" spans="1:1" ht="15" customHeight="1" x14ac:dyDescent="0.2">
      <c r="A13" s="1" t="str">
        <f>'voš_obory '!A1</f>
        <v>Počet přihlášek, přihlášených, přijatých a zapsaných na VOŠ podle skupin oborů v letech 1999/00–2021/22</v>
      </c>
    </row>
    <row r="14" spans="1:1" ht="15" customHeight="1" x14ac:dyDescent="0.2"/>
    <row r="15" spans="1:1" ht="15" customHeight="1" x14ac:dyDescent="0.2">
      <c r="A15" s="1" t="str">
        <f>'voš_sex '!A1</f>
        <v>Počet přihlášek, přihlášených, přijetí, přijatých, zapsání a zapsaných na VOŠ podle pohlaví v letech 1999/00–2021/22</v>
      </c>
    </row>
    <row r="16" spans="1:1" ht="15" customHeight="1" x14ac:dyDescent="0.2"/>
    <row r="17" spans="1:10" ht="15" customHeight="1" x14ac:dyDescent="0.2">
      <c r="A17" s="358" t="str">
        <f>'voš_věk x dfst '!A1</f>
        <v>Struktura přihlášených, přijatých a zapsaných na VOŠ podle věku v letech 1999/00–2021/22</v>
      </c>
    </row>
    <row r="18" spans="1:10" ht="15" customHeight="1" x14ac:dyDescent="0.2"/>
    <row r="19" spans="1:10" ht="15" customHeight="1" x14ac:dyDescent="0.2">
      <c r="A19" s="358" t="str">
        <f>'voš_věk '!A1</f>
        <v>Uchazeči přijatí do denní formy vzdělávání na VOŠ podle věku v letech 1999/00–2021/22</v>
      </c>
      <c r="I19" s="270"/>
      <c r="J19" s="270"/>
    </row>
    <row r="20" spans="1:10" ht="15" customHeight="1" x14ac:dyDescent="0.2">
      <c r="A20" s="1" t="str">
        <f>'voš_věk '!A17</f>
        <v>Podíly uchazečů přijatých do denní formy vzdělávání na VOŠ podle věku v letech 1999/00–2021/22</v>
      </c>
    </row>
    <row r="70" spans="1:1" x14ac:dyDescent="0.2">
      <c r="A70" s="1" t="s">
        <v>83</v>
      </c>
    </row>
    <row r="71" spans="1:1" x14ac:dyDescent="0.2">
      <c r="A71" s="1" t="s">
        <v>82</v>
      </c>
    </row>
    <row r="72" spans="1:1" x14ac:dyDescent="0.2">
      <c r="A72" s="1" t="s">
        <v>81</v>
      </c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75" orientation="portrait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AJ173"/>
  <sheetViews>
    <sheetView tabSelected="1" zoomScale="80" zoomScaleNormal="80" workbookViewId="0">
      <pane xSplit="1" ySplit="2" topLeftCell="B3" activePane="bottomRight" state="frozen"/>
      <selection sqref="A1:B4"/>
      <selection pane="topRight" sqref="A1:B4"/>
      <selection pane="bottomLeft" sqref="A1:B4"/>
      <selection pane="bottomRight"/>
    </sheetView>
  </sheetViews>
  <sheetFormatPr defaultColWidth="9.140625" defaultRowHeight="12.75" x14ac:dyDescent="0.2"/>
  <cols>
    <col min="1" max="1" width="47.5703125" style="3" customWidth="1"/>
    <col min="2" max="12" width="7.42578125" style="3" customWidth="1"/>
    <col min="13" max="17" width="9.140625" style="1"/>
    <col min="18" max="18" width="9.42578125" style="1" customWidth="1"/>
    <col min="19" max="16384" width="9.140625" style="1"/>
  </cols>
  <sheetData>
    <row r="1" spans="1:36" ht="13.5" thickBot="1" x14ac:dyDescent="0.25">
      <c r="A1" s="45" t="s">
        <v>155</v>
      </c>
      <c r="B1" s="46"/>
      <c r="C1" s="46"/>
      <c r="D1" s="46"/>
      <c r="E1" s="4"/>
      <c r="F1" s="46"/>
      <c r="G1" s="46"/>
      <c r="H1" s="4"/>
      <c r="I1" s="4"/>
      <c r="J1" s="4"/>
      <c r="K1" s="4"/>
      <c r="L1" s="4"/>
    </row>
    <row r="2" spans="1:36" ht="14.25" thickTop="1" thickBot="1" x14ac:dyDescent="0.25">
      <c r="A2" s="5"/>
      <c r="B2" s="99" t="s">
        <v>3</v>
      </c>
      <c r="C2" s="100" t="s">
        <v>4</v>
      </c>
      <c r="D2" s="101" t="s">
        <v>5</v>
      </c>
      <c r="E2" s="101" t="s">
        <v>41</v>
      </c>
      <c r="F2" s="303" t="s">
        <v>53</v>
      </c>
      <c r="G2" s="303" t="s">
        <v>54</v>
      </c>
      <c r="H2" s="303" t="s">
        <v>76</v>
      </c>
      <c r="I2" s="303" t="s">
        <v>84</v>
      </c>
      <c r="J2" s="303" t="s">
        <v>87</v>
      </c>
      <c r="K2" s="303" t="s">
        <v>89</v>
      </c>
      <c r="L2" s="303" t="s">
        <v>108</v>
      </c>
      <c r="M2" s="303" t="s">
        <v>118</v>
      </c>
      <c r="N2" s="303" t="s">
        <v>121</v>
      </c>
      <c r="O2" s="303" t="s">
        <v>132</v>
      </c>
      <c r="P2" s="303" t="s">
        <v>134</v>
      </c>
      <c r="Q2" s="303" t="s">
        <v>137</v>
      </c>
      <c r="R2" s="303" t="s">
        <v>139</v>
      </c>
      <c r="S2" s="303" t="s">
        <v>142</v>
      </c>
      <c r="T2" s="303" t="s">
        <v>145</v>
      </c>
      <c r="U2" s="303" t="s">
        <v>148</v>
      </c>
      <c r="V2" s="303" t="s">
        <v>151</v>
      </c>
      <c r="W2" s="303" t="s">
        <v>153</v>
      </c>
      <c r="X2" s="350" t="s">
        <v>156</v>
      </c>
      <c r="Y2" s="302"/>
      <c r="Z2" s="302"/>
    </row>
    <row r="3" spans="1:36" ht="13.5" thickTop="1" x14ac:dyDescent="0.2">
      <c r="A3" s="213" t="s">
        <v>7</v>
      </c>
      <c r="B3" s="102">
        <v>35.9</v>
      </c>
      <c r="C3" s="102">
        <v>21.2</v>
      </c>
      <c r="D3" s="103">
        <v>28.2</v>
      </c>
      <c r="E3" s="103">
        <v>29.45</v>
      </c>
      <c r="F3" s="304">
        <v>32.673000000000002</v>
      </c>
      <c r="G3" s="304">
        <v>27</v>
      </c>
      <c r="H3" s="304">
        <v>25</v>
      </c>
      <c r="I3" s="304">
        <v>22.6</v>
      </c>
      <c r="J3" s="304">
        <v>21.2</v>
      </c>
      <c r="K3" s="304">
        <v>18.896999999999998</v>
      </c>
      <c r="L3" s="304">
        <v>20.623000000000001</v>
      </c>
      <c r="M3" s="304">
        <v>22.146000000000001</v>
      </c>
      <c r="N3" s="304">
        <v>21.358000000000001</v>
      </c>
      <c r="O3" s="304">
        <v>20.991</v>
      </c>
      <c r="P3" s="304">
        <v>20.88</v>
      </c>
      <c r="Q3" s="304">
        <v>19.318000000000001</v>
      </c>
      <c r="R3" s="304">
        <v>17.385000000000002</v>
      </c>
      <c r="S3" s="304">
        <v>15.036</v>
      </c>
      <c r="T3" s="304">
        <v>13.743</v>
      </c>
      <c r="U3" s="304">
        <v>12.85</v>
      </c>
      <c r="V3" s="304">
        <v>13.048999999999999</v>
      </c>
      <c r="W3" s="304">
        <v>14.199</v>
      </c>
      <c r="X3" s="351">
        <v>17.507000000000001</v>
      </c>
      <c r="Y3" s="302"/>
      <c r="Z3" s="302"/>
      <c r="AG3" s="7"/>
    </row>
    <row r="4" spans="1:36" x14ac:dyDescent="0.2">
      <c r="A4" s="214" t="s">
        <v>8</v>
      </c>
      <c r="B4" s="104">
        <v>24.6</v>
      </c>
      <c r="C4" s="104">
        <v>15.4</v>
      </c>
      <c r="D4" s="105">
        <v>20.3</v>
      </c>
      <c r="E4" s="105">
        <v>22.22</v>
      </c>
      <c r="F4" s="305">
        <v>24.338999999999999</v>
      </c>
      <c r="G4" s="305">
        <v>20.6</v>
      </c>
      <c r="H4" s="305">
        <v>19.399999999999999</v>
      </c>
      <c r="I4" s="305">
        <v>17.2</v>
      </c>
      <c r="J4" s="305">
        <v>17.5</v>
      </c>
      <c r="K4" s="305">
        <v>16.702999999999999</v>
      </c>
      <c r="L4" s="305">
        <v>17.696000000000002</v>
      </c>
      <c r="M4" s="305">
        <v>19.041</v>
      </c>
      <c r="N4" s="305">
        <v>17.864000000000001</v>
      </c>
      <c r="O4" s="305">
        <v>17.605</v>
      </c>
      <c r="P4" s="305">
        <v>17.384</v>
      </c>
      <c r="Q4" s="305">
        <v>16.05</v>
      </c>
      <c r="R4" s="305">
        <v>14.397</v>
      </c>
      <c r="S4" s="305">
        <v>12.699</v>
      </c>
      <c r="T4" s="305">
        <v>11.731999999999999</v>
      </c>
      <c r="U4" s="305">
        <v>11.006</v>
      </c>
      <c r="V4" s="305">
        <v>10.916</v>
      </c>
      <c r="W4" s="305">
        <v>11.554</v>
      </c>
      <c r="X4" s="352">
        <v>13.715999999999999</v>
      </c>
      <c r="Y4" s="302"/>
      <c r="Z4" s="302"/>
      <c r="AG4" s="7"/>
    </row>
    <row r="5" spans="1:36" x14ac:dyDescent="0.2">
      <c r="A5" s="214" t="s">
        <v>9</v>
      </c>
      <c r="B5" s="104">
        <v>15.4</v>
      </c>
      <c r="C5" s="104">
        <v>10.4</v>
      </c>
      <c r="D5" s="105">
        <v>13.9</v>
      </c>
      <c r="E5" s="105">
        <v>14.823</v>
      </c>
      <c r="F5" s="305">
        <v>15.507</v>
      </c>
      <c r="G5" s="305">
        <v>13.4</v>
      </c>
      <c r="H5" s="305">
        <v>13.2</v>
      </c>
      <c r="I5" s="305">
        <v>12.7</v>
      </c>
      <c r="J5" s="305">
        <v>13.6</v>
      </c>
      <c r="K5" s="305">
        <f>12593/1000</f>
        <v>12.593</v>
      </c>
      <c r="L5" s="305">
        <v>13.741</v>
      </c>
      <c r="M5" s="305">
        <v>14.446999999999999</v>
      </c>
      <c r="N5" s="305">
        <v>13.82</v>
      </c>
      <c r="O5" s="305">
        <v>13.798</v>
      </c>
      <c r="P5" s="305">
        <v>13.74</v>
      </c>
      <c r="Q5" s="305">
        <v>12.481999999999999</v>
      </c>
      <c r="R5" s="305">
        <v>11.58</v>
      </c>
      <c r="S5" s="305">
        <v>10.362</v>
      </c>
      <c r="T5" s="305">
        <v>9.8249999999999993</v>
      </c>
      <c r="U5" s="305">
        <v>9.0280000000000005</v>
      </c>
      <c r="V5" s="305">
        <v>8.9</v>
      </c>
      <c r="W5" s="305">
        <v>9.2119999999999997</v>
      </c>
      <c r="X5" s="352">
        <v>10.792999999999999</v>
      </c>
      <c r="Y5" s="302"/>
      <c r="Z5" s="302"/>
      <c r="AB5" s="16"/>
      <c r="AC5" s="16"/>
      <c r="AD5" s="16"/>
      <c r="AE5" s="16"/>
      <c r="AF5" s="16"/>
      <c r="AG5" s="7"/>
    </row>
    <row r="6" spans="1:36" ht="13.5" thickBot="1" x14ac:dyDescent="0.25">
      <c r="A6" s="215" t="s">
        <v>10</v>
      </c>
      <c r="B6" s="106">
        <v>13.5</v>
      </c>
      <c r="C6" s="106">
        <v>8.8000000000000007</v>
      </c>
      <c r="D6" s="107">
        <v>11.8</v>
      </c>
      <c r="E6" s="107">
        <v>12.6</v>
      </c>
      <c r="F6" s="306">
        <v>13.4</v>
      </c>
      <c r="G6" s="306">
        <v>11.3</v>
      </c>
      <c r="H6" s="306">
        <v>11.1</v>
      </c>
      <c r="I6" s="306">
        <v>10.8</v>
      </c>
      <c r="J6" s="306">
        <v>11.3</v>
      </c>
      <c r="K6" s="447">
        <v>10.657999999999999</v>
      </c>
      <c r="L6" s="447">
        <v>11.563000000000001</v>
      </c>
      <c r="M6" s="447">
        <v>12.515000000000001</v>
      </c>
      <c r="N6" s="447">
        <v>11.804</v>
      </c>
      <c r="O6" s="447">
        <v>12.042999999999999</v>
      </c>
      <c r="P6" s="447">
        <v>11.877000000000001</v>
      </c>
      <c r="Q6" s="447">
        <v>10.951000000000001</v>
      </c>
      <c r="R6" s="447">
        <v>10.032</v>
      </c>
      <c r="S6" s="447">
        <v>9.0250000000000004</v>
      </c>
      <c r="T6" s="447">
        <v>8.3040000000000003</v>
      </c>
      <c r="U6" s="447">
        <v>7.8440000000000003</v>
      </c>
      <c r="V6" s="447">
        <v>7.8330000000000002</v>
      </c>
      <c r="W6" s="447">
        <v>8.0749999999999993</v>
      </c>
      <c r="X6" s="384">
        <v>9.3689999999999998</v>
      </c>
      <c r="Y6" s="302"/>
      <c r="Z6" s="302"/>
      <c r="AB6" s="23"/>
      <c r="AC6" s="23"/>
      <c r="AD6" s="23"/>
      <c r="AE6" s="23"/>
      <c r="AF6" s="338"/>
      <c r="AG6" s="8"/>
      <c r="AH6" s="8"/>
      <c r="AI6" s="8"/>
      <c r="AJ6" s="9"/>
    </row>
    <row r="7" spans="1:36" ht="5.0999999999999996" customHeight="1" thickTop="1" x14ac:dyDescent="0.2">
      <c r="A7" s="98"/>
      <c r="B7" s="409"/>
      <c r="C7" s="409"/>
      <c r="D7" s="97"/>
      <c r="E7" s="97"/>
      <c r="F7" s="97"/>
      <c r="G7" s="6"/>
      <c r="H7" s="6"/>
      <c r="I7" s="6"/>
      <c r="J7" s="500"/>
      <c r="K7" s="500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02"/>
      <c r="AB7" s="338"/>
      <c r="AC7" s="338"/>
      <c r="AD7" s="338"/>
      <c r="AE7" s="338"/>
      <c r="AF7" s="23"/>
    </row>
    <row r="8" spans="1:36" x14ac:dyDescent="0.2">
      <c r="A8" s="48" t="s">
        <v>75</v>
      </c>
      <c r="B8" s="46"/>
      <c r="C8" s="4"/>
      <c r="D8" s="4"/>
      <c r="E8" s="4"/>
      <c r="F8" s="4"/>
      <c r="G8" s="4"/>
      <c r="H8" s="4"/>
      <c r="I8" s="4"/>
      <c r="J8" s="315"/>
      <c r="K8" s="315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02"/>
      <c r="AB8" s="338"/>
      <c r="AC8" s="338"/>
      <c r="AD8" s="338"/>
      <c r="AE8" s="23"/>
      <c r="AF8" s="23"/>
    </row>
    <row r="9" spans="1:36" x14ac:dyDescent="0.2">
      <c r="A9" s="48"/>
      <c r="B9" s="46"/>
      <c r="C9" s="4"/>
      <c r="D9" s="4"/>
      <c r="E9" s="4"/>
      <c r="F9" s="4"/>
      <c r="G9" s="4"/>
      <c r="H9" s="4"/>
      <c r="I9" s="4"/>
      <c r="J9" s="315"/>
      <c r="K9" s="315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AB9" s="338"/>
      <c r="AC9" s="338"/>
      <c r="AD9" s="338"/>
      <c r="AE9" s="23"/>
      <c r="AF9" s="23"/>
    </row>
    <row r="10" spans="1:36" ht="13.5" thickBot="1" x14ac:dyDescent="0.25">
      <c r="A10" s="45" t="s">
        <v>99</v>
      </c>
      <c r="B10" s="4"/>
      <c r="C10" s="4"/>
      <c r="D10" s="46"/>
      <c r="E10" s="46"/>
      <c r="F10" s="4"/>
      <c r="G10" s="4"/>
      <c r="H10" s="4"/>
      <c r="I10" s="4"/>
      <c r="J10" s="315"/>
      <c r="K10" s="315"/>
      <c r="L10" s="302"/>
      <c r="M10" s="302"/>
      <c r="N10" s="302"/>
      <c r="O10" s="302"/>
      <c r="P10" s="302"/>
      <c r="Q10" s="302"/>
      <c r="R10" s="302"/>
      <c r="S10" s="302"/>
      <c r="T10" s="302"/>
      <c r="U10" s="302"/>
      <c r="V10" s="302"/>
      <c r="W10" s="302"/>
      <c r="X10" s="302"/>
      <c r="Y10" s="302"/>
      <c r="Z10" s="302"/>
      <c r="AA10" s="412"/>
      <c r="AB10" s="338"/>
      <c r="AC10" s="338"/>
      <c r="AD10" s="338"/>
      <c r="AE10" s="23"/>
      <c r="AF10" s="23"/>
    </row>
    <row r="11" spans="1:36" ht="14.25" thickTop="1" thickBot="1" x14ac:dyDescent="0.25">
      <c r="A11" s="5"/>
      <c r="B11" s="108" t="s">
        <v>11</v>
      </c>
      <c r="C11" s="100" t="s">
        <v>4</v>
      </c>
      <c r="D11" s="109" t="s">
        <v>5</v>
      </c>
      <c r="E11" s="109" t="s">
        <v>41</v>
      </c>
      <c r="F11" s="307" t="s">
        <v>53</v>
      </c>
      <c r="G11" s="307" t="s">
        <v>54</v>
      </c>
      <c r="H11" s="307" t="s">
        <v>76</v>
      </c>
      <c r="I11" s="307" t="s">
        <v>84</v>
      </c>
      <c r="J11" s="307" t="s">
        <v>87</v>
      </c>
      <c r="K11" s="303" t="s">
        <v>89</v>
      </c>
      <c r="L11" s="303" t="s">
        <v>108</v>
      </c>
      <c r="M11" s="303" t="s">
        <v>118</v>
      </c>
      <c r="N11" s="303" t="s">
        <v>121</v>
      </c>
      <c r="O11" s="303" t="s">
        <v>132</v>
      </c>
      <c r="P11" s="303" t="s">
        <v>134</v>
      </c>
      <c r="Q11" s="303" t="s">
        <v>137</v>
      </c>
      <c r="R11" s="303" t="s">
        <v>139</v>
      </c>
      <c r="S11" s="303" t="s">
        <v>142</v>
      </c>
      <c r="T11" s="303" t="str">
        <f>T2</f>
        <v>2017/18</v>
      </c>
      <c r="U11" s="303" t="str">
        <f>U2</f>
        <v>2018/19</v>
      </c>
      <c r="V11" s="303" t="str">
        <f>V2</f>
        <v>2019/20</v>
      </c>
      <c r="W11" s="303" t="s">
        <v>153</v>
      </c>
      <c r="X11" s="350" t="s">
        <v>156</v>
      </c>
      <c r="Y11" s="302"/>
      <c r="Z11" s="302"/>
      <c r="AA11" s="412"/>
      <c r="AB11" s="338"/>
      <c r="AC11" s="338"/>
      <c r="AD11" s="338"/>
      <c r="AE11" s="23"/>
      <c r="AF11" s="23"/>
    </row>
    <row r="12" spans="1:36" ht="13.5" thickTop="1" x14ac:dyDescent="0.2">
      <c r="A12" s="216" t="s">
        <v>12</v>
      </c>
      <c r="B12" s="110">
        <v>24.6</v>
      </c>
      <c r="C12" s="110">
        <v>15.4</v>
      </c>
      <c r="D12" s="111">
        <v>20.3</v>
      </c>
      <c r="E12" s="260">
        <v>22.22</v>
      </c>
      <c r="F12" s="308">
        <v>24.338999999999999</v>
      </c>
      <c r="G12" s="308">
        <v>20.6</v>
      </c>
      <c r="H12" s="308">
        <v>19.399999999999999</v>
      </c>
      <c r="I12" s="308">
        <v>17.2</v>
      </c>
      <c r="J12" s="308">
        <v>17.5</v>
      </c>
      <c r="K12" s="448">
        <v>16.702999999999999</v>
      </c>
      <c r="L12" s="448">
        <v>17.696000000000002</v>
      </c>
      <c r="M12" s="448">
        <v>19.041</v>
      </c>
      <c r="N12" s="448">
        <v>17.864000000000001</v>
      </c>
      <c r="O12" s="448">
        <f t="shared" ref="O12:T12" si="0">+O4</f>
        <v>17.605</v>
      </c>
      <c r="P12" s="448">
        <f t="shared" si="0"/>
        <v>17.384</v>
      </c>
      <c r="Q12" s="448">
        <f t="shared" si="0"/>
        <v>16.05</v>
      </c>
      <c r="R12" s="448">
        <f t="shared" si="0"/>
        <v>14.397</v>
      </c>
      <c r="S12" s="448">
        <f t="shared" si="0"/>
        <v>12.699</v>
      </c>
      <c r="T12" s="448">
        <f t="shared" si="0"/>
        <v>11.731999999999999</v>
      </c>
      <c r="U12" s="448">
        <f>+U4</f>
        <v>11.006</v>
      </c>
      <c r="V12" s="448">
        <f>+V4</f>
        <v>10.916</v>
      </c>
      <c r="W12" s="448">
        <f>+W4</f>
        <v>11.554</v>
      </c>
      <c r="X12" s="112">
        <f>+X4</f>
        <v>13.715999999999999</v>
      </c>
      <c r="Y12" s="302"/>
      <c r="Z12" s="302"/>
      <c r="AA12" s="412"/>
      <c r="AB12" s="338"/>
      <c r="AC12" s="338"/>
      <c r="AD12" s="338"/>
      <c r="AE12" s="23"/>
      <c r="AF12" s="23"/>
    </row>
    <row r="13" spans="1:36" x14ac:dyDescent="0.2">
      <c r="A13" s="214" t="s">
        <v>106</v>
      </c>
      <c r="B13" s="63">
        <f t="shared" ref="B13:K13" si="1">B12*1000/B20</f>
        <v>0.17416175804259176</v>
      </c>
      <c r="C13" s="63">
        <f t="shared" si="1"/>
        <v>0.11101819544969578</v>
      </c>
      <c r="D13" s="113">
        <f t="shared" si="1"/>
        <v>0.14530722098150375</v>
      </c>
      <c r="E13" s="113">
        <f t="shared" si="1"/>
        <v>0.16467920165420333</v>
      </c>
      <c r="F13" s="309">
        <f t="shared" si="1"/>
        <v>0.17925716432090855</v>
      </c>
      <c r="G13" s="309">
        <f t="shared" si="1"/>
        <v>0.15202952029520295</v>
      </c>
      <c r="H13" s="309">
        <f t="shared" si="1"/>
        <v>0.14579998346598125</v>
      </c>
      <c r="I13" s="309">
        <f t="shared" si="1"/>
        <v>0.13097876164149894</v>
      </c>
      <c r="J13" s="309">
        <f t="shared" si="1"/>
        <v>0.13175230566534915</v>
      </c>
      <c r="K13" s="279">
        <f t="shared" si="1"/>
        <v>0.12919418962610027</v>
      </c>
      <c r="L13" s="279">
        <f>L12/L18</f>
        <v>0.13349930217645506</v>
      </c>
      <c r="M13" s="279">
        <v>0.14557339449541284</v>
      </c>
      <c r="N13" s="279">
        <f t="shared" ref="N13:S13" si="2">N12/N18</f>
        <v>0.14473449678349781</v>
      </c>
      <c r="O13" s="279">
        <f t="shared" si="2"/>
        <v>0.14335268587807082</v>
      </c>
      <c r="P13" s="279">
        <f t="shared" si="2"/>
        <v>0.15942919505864875</v>
      </c>
      <c r="Q13" s="279">
        <f t="shared" si="2"/>
        <v>0.16249379891265833</v>
      </c>
      <c r="R13" s="279">
        <f t="shared" si="2"/>
        <v>0.1542227268831948</v>
      </c>
      <c r="S13" s="279">
        <f t="shared" si="2"/>
        <v>0.13635631529780631</v>
      </c>
      <c r="T13" s="279">
        <f>T12/T18</f>
        <v>0.12642377611827713</v>
      </c>
      <c r="U13" s="279">
        <f>U12/U18</f>
        <v>0.11944347977079353</v>
      </c>
      <c r="V13" s="279">
        <f>V12/V18</f>
        <v>0.11595003399048266</v>
      </c>
      <c r="W13" s="279">
        <f>W12/W18</f>
        <v>0.1208097199857797</v>
      </c>
      <c r="X13" s="261">
        <f>X12/X18</f>
        <v>0.14155529181072293</v>
      </c>
      <c r="Y13" s="302"/>
      <c r="Z13" s="302"/>
      <c r="AA13" s="412"/>
      <c r="AB13" s="338"/>
      <c r="AC13" s="338"/>
      <c r="AD13" s="338"/>
      <c r="AE13" s="23"/>
      <c r="AF13" s="23"/>
    </row>
    <row r="14" spans="1:36" x14ac:dyDescent="0.2">
      <c r="A14" s="217" t="s">
        <v>13</v>
      </c>
      <c r="B14" s="66">
        <f t="shared" ref="B14:K14" si="3">B12*1000/B21</f>
        <v>0.27018715402864424</v>
      </c>
      <c r="C14" s="66">
        <f t="shared" si="3"/>
        <v>0.43917184737352422</v>
      </c>
      <c r="D14" s="66">
        <f t="shared" si="3"/>
        <v>0.27758406147871628</v>
      </c>
      <c r="E14" s="66">
        <f t="shared" si="3"/>
        <v>0.29990552031313267</v>
      </c>
      <c r="F14" s="233">
        <f t="shared" si="3"/>
        <v>0.30671808249215532</v>
      </c>
      <c r="G14" s="233">
        <f t="shared" si="3"/>
        <v>0.25218210976042699</v>
      </c>
      <c r="H14" s="233">
        <f t="shared" si="3"/>
        <v>0.22907613829586246</v>
      </c>
      <c r="I14" s="233">
        <f t="shared" si="3"/>
        <v>0.2015066134001898</v>
      </c>
      <c r="J14" s="233">
        <f t="shared" si="3"/>
        <v>0.20404831864185438</v>
      </c>
      <c r="K14" s="282">
        <f t="shared" si="3"/>
        <v>0.18725336322869957</v>
      </c>
      <c r="L14" s="282">
        <f t="shared" ref="L14:R14" si="4">L12/L19</f>
        <v>0.21090267680499608</v>
      </c>
      <c r="M14" s="282">
        <f t="shared" si="4"/>
        <v>0.23488848317378863</v>
      </c>
      <c r="N14" s="282">
        <f t="shared" si="4"/>
        <v>0.23956014483036076</v>
      </c>
      <c r="O14" s="282">
        <f t="shared" si="4"/>
        <v>0.2424697343231369</v>
      </c>
      <c r="P14" s="282">
        <f t="shared" si="4"/>
        <v>0.24824710468819169</v>
      </c>
      <c r="Q14" s="282">
        <f>Q12/Q19</f>
        <v>0.26399763142311994</v>
      </c>
      <c r="R14" s="282">
        <f t="shared" si="4"/>
        <v>0.25653498690329823</v>
      </c>
      <c r="S14" s="282">
        <f t="shared" ref="S14:X14" si="5">S12/S19</f>
        <v>0.24264832330180566</v>
      </c>
      <c r="T14" s="282">
        <f t="shared" si="5"/>
        <v>0.22365837384424744</v>
      </c>
      <c r="U14" s="282">
        <f t="shared" si="5"/>
        <v>0.20858918959896899</v>
      </c>
      <c r="V14" s="282">
        <f t="shared" si="5"/>
        <v>0.20688348116139793</v>
      </c>
      <c r="W14" s="282">
        <f t="shared" si="5"/>
        <v>0.2006878343639269</v>
      </c>
      <c r="X14" s="114">
        <f t="shared" si="5"/>
        <v>0.22274550562710102</v>
      </c>
      <c r="AB14" s="338"/>
      <c r="AC14" s="338"/>
      <c r="AD14" s="338"/>
      <c r="AE14" s="23"/>
      <c r="AF14" s="23"/>
    </row>
    <row r="15" spans="1:36" x14ac:dyDescent="0.2">
      <c r="A15" s="216" t="s">
        <v>14</v>
      </c>
      <c r="B15" s="115">
        <v>13.5</v>
      </c>
      <c r="C15" s="115">
        <v>8.8000000000000007</v>
      </c>
      <c r="D15" s="116">
        <v>11.8</v>
      </c>
      <c r="E15" s="267">
        <v>12.6</v>
      </c>
      <c r="F15" s="310">
        <v>13.4</v>
      </c>
      <c r="G15" s="310">
        <v>11.3</v>
      </c>
      <c r="H15" s="310">
        <v>11.1</v>
      </c>
      <c r="I15" s="310">
        <v>10.8</v>
      </c>
      <c r="J15" s="310">
        <v>11.3</v>
      </c>
      <c r="K15" s="449">
        <v>10.657999999999999</v>
      </c>
      <c r="L15" s="449">
        <v>11.563000000000001</v>
      </c>
      <c r="M15" s="449">
        <v>12.515000000000001</v>
      </c>
      <c r="N15" s="449">
        <v>11.804</v>
      </c>
      <c r="O15" s="449">
        <f t="shared" ref="O15:T15" si="6">+O6</f>
        <v>12.042999999999999</v>
      </c>
      <c r="P15" s="449">
        <f t="shared" si="6"/>
        <v>11.877000000000001</v>
      </c>
      <c r="Q15" s="449">
        <f t="shared" si="6"/>
        <v>10.951000000000001</v>
      </c>
      <c r="R15" s="449">
        <f t="shared" si="6"/>
        <v>10.032</v>
      </c>
      <c r="S15" s="449">
        <f t="shared" si="6"/>
        <v>9.0250000000000004</v>
      </c>
      <c r="T15" s="449">
        <f t="shared" si="6"/>
        <v>8.3040000000000003</v>
      </c>
      <c r="U15" s="449">
        <f>+U6</f>
        <v>7.8440000000000003</v>
      </c>
      <c r="V15" s="449">
        <f>+V6</f>
        <v>7.8330000000000002</v>
      </c>
      <c r="W15" s="449">
        <f>+W6</f>
        <v>8.0749999999999993</v>
      </c>
      <c r="X15" s="117">
        <f>+X6</f>
        <v>9.3689999999999998</v>
      </c>
      <c r="AB15" s="338"/>
      <c r="AC15" s="338"/>
      <c r="AD15" s="338"/>
      <c r="AE15" s="23"/>
      <c r="AF15" s="23"/>
    </row>
    <row r="16" spans="1:36" x14ac:dyDescent="0.2">
      <c r="A16" s="214" t="s">
        <v>106</v>
      </c>
      <c r="B16" s="63">
        <f t="shared" ref="B16:K16" si="7">B15*1000/B20</f>
        <v>9.5576574535568642E-2</v>
      </c>
      <c r="C16" s="63">
        <f t="shared" si="7"/>
        <v>6.3438968828397585E-2</v>
      </c>
      <c r="D16" s="113">
        <f t="shared" si="7"/>
        <v>8.4464295939987402E-2</v>
      </c>
      <c r="E16" s="113">
        <f t="shared" si="7"/>
        <v>9.3382445582491536E-2</v>
      </c>
      <c r="F16" s="309">
        <f t="shared" si="7"/>
        <v>9.8691236365511095E-2</v>
      </c>
      <c r="G16" s="309">
        <f t="shared" si="7"/>
        <v>8.3394833948339478E-2</v>
      </c>
      <c r="H16" s="309">
        <f t="shared" si="7"/>
        <v>8.3421640024350097E-2</v>
      </c>
      <c r="I16" s="309">
        <f t="shared" si="7"/>
        <v>8.2242478240010963E-2</v>
      </c>
      <c r="J16" s="309">
        <f t="shared" si="7"/>
        <v>8.5074345943911167E-2</v>
      </c>
      <c r="K16" s="279">
        <f t="shared" si="7"/>
        <v>8.2437386878703028E-2</v>
      </c>
      <c r="L16" s="279">
        <f>L15/L18</f>
        <v>8.7231715137112892E-2</v>
      </c>
      <c r="M16" s="279">
        <v>9.5680428134556572E-2</v>
      </c>
      <c r="N16" s="279">
        <f t="shared" ref="N16:S16" si="8">N15/N18</f>
        <v>9.5636251681169279E-2</v>
      </c>
      <c r="O16" s="279">
        <f t="shared" si="8"/>
        <v>9.8062845556921727E-2</v>
      </c>
      <c r="P16" s="279">
        <f t="shared" si="8"/>
        <v>0.10892432982694265</v>
      </c>
      <c r="Q16" s="279">
        <f t="shared" si="8"/>
        <v>0.11087037955716644</v>
      </c>
      <c r="R16" s="279">
        <f t="shared" si="8"/>
        <v>0.10746422144142599</v>
      </c>
      <c r="S16" s="279">
        <f t="shared" si="8"/>
        <v>9.6906508037066075E-2</v>
      </c>
      <c r="T16" s="279">
        <f>T15/T18</f>
        <v>8.9483722884944883E-2</v>
      </c>
      <c r="U16" s="279">
        <f>U15/U18</f>
        <v>8.5127626324014591E-2</v>
      </c>
      <c r="V16" s="279">
        <f>V15/V18</f>
        <v>8.3202328348062543E-2</v>
      </c>
      <c r="W16" s="279">
        <f>W15/W18</f>
        <v>8.4432965975867316E-2</v>
      </c>
      <c r="X16" s="261">
        <f>X15/X18</f>
        <v>9.6692295784096188E-2</v>
      </c>
      <c r="AB16" s="338"/>
      <c r="AC16" s="338"/>
      <c r="AD16" s="338"/>
      <c r="AE16" s="23"/>
      <c r="AF16" s="23"/>
    </row>
    <row r="17" spans="1:35" ht="13.5" thickBot="1" x14ac:dyDescent="0.25">
      <c r="A17" s="218" t="s">
        <v>13</v>
      </c>
      <c r="B17" s="118">
        <f t="shared" ref="B17:K17" si="9">B15*1000/B21</f>
        <v>0.14827343818645111</v>
      </c>
      <c r="C17" s="118">
        <f t="shared" si="9"/>
        <v>0.25095534135629954</v>
      </c>
      <c r="D17" s="118">
        <f t="shared" si="9"/>
        <v>0.16135428204181537</v>
      </c>
      <c r="E17" s="118">
        <f t="shared" si="9"/>
        <v>0.17006343636118235</v>
      </c>
      <c r="F17" s="311">
        <f t="shared" si="9"/>
        <v>0.16886570135974696</v>
      </c>
      <c r="G17" s="311">
        <f t="shared" si="9"/>
        <v>0.13833290486858374</v>
      </c>
      <c r="H17" s="311">
        <f t="shared" si="9"/>
        <v>0.13106933686000377</v>
      </c>
      <c r="I17" s="311">
        <f t="shared" si="9"/>
        <v>0.12652740841407267</v>
      </c>
      <c r="J17" s="311">
        <f t="shared" si="9"/>
        <v>0.13175691432302597</v>
      </c>
      <c r="K17" s="379">
        <f t="shared" si="9"/>
        <v>0.11948430493273543</v>
      </c>
      <c r="L17" s="379">
        <f t="shared" ref="L17:R17" si="10">L15/L19</f>
        <v>0.1378089767120349</v>
      </c>
      <c r="M17" s="379">
        <f t="shared" si="10"/>
        <v>0.15438419026941677</v>
      </c>
      <c r="N17" s="379">
        <f t="shared" si="10"/>
        <v>0.1582942201957892</v>
      </c>
      <c r="O17" s="379">
        <f t="shared" si="10"/>
        <v>0.16586555015356647</v>
      </c>
      <c r="P17" s="379">
        <f t="shared" si="10"/>
        <v>0.16960600911077156</v>
      </c>
      <c r="Q17" s="379">
        <f>Q15/Q19</f>
        <v>0.180126982038292</v>
      </c>
      <c r="R17" s="379">
        <f t="shared" si="10"/>
        <v>0.17875661517079167</v>
      </c>
      <c r="S17" s="379">
        <f t="shared" ref="S17:X17" si="11">S15/S19</f>
        <v>0.17244673736505206</v>
      </c>
      <c r="T17" s="379">
        <f t="shared" si="11"/>
        <v>0.15830712038890479</v>
      </c>
      <c r="U17" s="379">
        <f t="shared" si="11"/>
        <v>0.14866196649230537</v>
      </c>
      <c r="V17" s="379">
        <f t="shared" si="11"/>
        <v>0.14845349101660221</v>
      </c>
      <c r="W17" s="379">
        <f t="shared" si="11"/>
        <v>0.14025915375529768</v>
      </c>
      <c r="X17" s="325">
        <f t="shared" si="11"/>
        <v>0.15215096545788201</v>
      </c>
      <c r="AB17" s="338"/>
      <c r="AC17" s="338"/>
      <c r="AD17" s="338"/>
      <c r="AE17" s="23"/>
      <c r="AF17" s="23"/>
    </row>
    <row r="18" spans="1:35" ht="13.5" thickBot="1" x14ac:dyDescent="0.25">
      <c r="A18" s="219" t="s">
        <v>107</v>
      </c>
      <c r="B18" s="417">
        <v>141.24799999999999</v>
      </c>
      <c r="C18" s="418">
        <v>138.71600000000001</v>
      </c>
      <c r="D18" s="419">
        <v>139.70400000000001</v>
      </c>
      <c r="E18" s="419">
        <v>134.929</v>
      </c>
      <c r="F18" s="420">
        <v>135.77699999999999</v>
      </c>
      <c r="G18" s="420">
        <v>135.5</v>
      </c>
      <c r="H18" s="420">
        <v>133.059</v>
      </c>
      <c r="I18" s="420">
        <v>131.31899999999999</v>
      </c>
      <c r="J18" s="420">
        <v>134.946</v>
      </c>
      <c r="K18" s="450">
        <v>131.517</v>
      </c>
      <c r="L18" s="450">
        <v>132.55500000000001</v>
      </c>
      <c r="M18" s="450">
        <v>130.79499999999999</v>
      </c>
      <c r="N18" s="450">
        <v>123.426</v>
      </c>
      <c r="O18" s="450">
        <v>122.809</v>
      </c>
      <c r="P18" s="450">
        <v>109.039</v>
      </c>
      <c r="Q18" s="450">
        <v>98.772999999999996</v>
      </c>
      <c r="R18" s="450">
        <v>93.352000000000004</v>
      </c>
      <c r="S18" s="450">
        <v>93.131</v>
      </c>
      <c r="T18" s="450">
        <v>92.799000000000007</v>
      </c>
      <c r="U18" s="450">
        <v>92.144000000000005</v>
      </c>
      <c r="V18" s="597">
        <v>94.144000000000005</v>
      </c>
      <c r="W18" s="597">
        <v>95.638000000000005</v>
      </c>
      <c r="X18" s="612">
        <v>96.894999999999996</v>
      </c>
      <c r="Y18" s="302"/>
      <c r="Z18" s="302"/>
      <c r="AA18" s="302"/>
      <c r="AB18" s="302"/>
      <c r="AC18" s="338"/>
      <c r="AD18" s="338"/>
      <c r="AE18" s="23"/>
      <c r="AF18" s="23"/>
    </row>
    <row r="19" spans="1:35" ht="13.5" thickBot="1" x14ac:dyDescent="0.25">
      <c r="A19" s="220" t="s">
        <v>144</v>
      </c>
      <c r="B19" s="421">
        <v>91.04</v>
      </c>
      <c r="C19" s="422">
        <v>35.066000000000003</v>
      </c>
      <c r="D19" s="423">
        <v>73.120999999999995</v>
      </c>
      <c r="E19" s="423">
        <v>74.09</v>
      </c>
      <c r="F19" s="424">
        <v>79.337999999999994</v>
      </c>
      <c r="G19" s="424">
        <v>81.674999999999997</v>
      </c>
      <c r="H19" s="424">
        <v>84.688000000000002</v>
      </c>
      <c r="I19" s="427">
        <v>85.379000000000005</v>
      </c>
      <c r="J19" s="427">
        <v>85.778999999999996</v>
      </c>
      <c r="K19" s="451">
        <v>84.317999999999998</v>
      </c>
      <c r="L19" s="451">
        <v>83.906000000000006</v>
      </c>
      <c r="M19" s="451">
        <v>81.063999999999993</v>
      </c>
      <c r="N19" s="451">
        <v>74.569999999999993</v>
      </c>
      <c r="O19" s="451">
        <v>72.606999999999999</v>
      </c>
      <c r="P19" s="583">
        <v>70.027000000000001</v>
      </c>
      <c r="Q19" s="585">
        <v>60.795999999999999</v>
      </c>
      <c r="R19" s="585">
        <v>56.121000000000002</v>
      </c>
      <c r="S19" s="585">
        <v>52.335000000000001</v>
      </c>
      <c r="T19" s="585">
        <v>52.454999999999998</v>
      </c>
      <c r="U19" s="585">
        <v>52.764000000000003</v>
      </c>
      <c r="V19" s="598">
        <v>52.764000000000003</v>
      </c>
      <c r="W19" s="598">
        <v>57.572000000000003</v>
      </c>
      <c r="X19" s="611">
        <v>61.576999999999998</v>
      </c>
      <c r="Y19" s="302"/>
      <c r="Z19" s="302"/>
      <c r="AA19" s="302"/>
      <c r="AB19" s="302"/>
      <c r="AC19" s="338"/>
      <c r="AD19" s="338"/>
      <c r="AE19" s="23"/>
      <c r="AF19" s="23"/>
    </row>
    <row r="20" spans="1:35" ht="3.75" customHeight="1" thickTop="1" x14ac:dyDescent="0.2">
      <c r="A20" s="46"/>
      <c r="B20" s="425">
        <v>141248</v>
      </c>
      <c r="C20" s="425">
        <v>138716</v>
      </c>
      <c r="D20" s="426">
        <v>139704</v>
      </c>
      <c r="E20" s="426">
        <v>134929</v>
      </c>
      <c r="F20" s="426">
        <v>135777</v>
      </c>
      <c r="G20" s="426">
        <v>135500</v>
      </c>
      <c r="H20" s="426">
        <v>133059</v>
      </c>
      <c r="I20" s="426">
        <v>131319</v>
      </c>
      <c r="J20" s="426">
        <v>132825</v>
      </c>
      <c r="K20" s="426">
        <v>129286</v>
      </c>
      <c r="L20" s="499">
        <v>131758</v>
      </c>
      <c r="M20" s="499"/>
      <c r="N20" s="499"/>
      <c r="O20" s="499"/>
      <c r="P20" s="302"/>
      <c r="Q20" s="302"/>
      <c r="R20" s="302"/>
      <c r="S20" s="302"/>
      <c r="T20" s="302"/>
      <c r="U20" s="302"/>
      <c r="V20" s="302"/>
      <c r="W20" s="302"/>
      <c r="X20" s="302"/>
      <c r="AB20" s="338"/>
      <c r="AC20" s="338"/>
      <c r="AD20" s="338"/>
      <c r="AE20" s="23"/>
      <c r="AF20" s="23"/>
    </row>
    <row r="21" spans="1:35" ht="3.75" customHeight="1" x14ac:dyDescent="0.2">
      <c r="A21" s="433"/>
      <c r="B21" s="425">
        <v>91048</v>
      </c>
      <c r="C21" s="425">
        <v>35066</v>
      </c>
      <c r="D21" s="426">
        <v>73131</v>
      </c>
      <c r="E21" s="426">
        <v>74090</v>
      </c>
      <c r="F21" s="426">
        <v>79353</v>
      </c>
      <c r="G21" s="426">
        <v>81687</v>
      </c>
      <c r="H21" s="426">
        <v>84688</v>
      </c>
      <c r="I21" s="426">
        <v>85357</v>
      </c>
      <c r="J21" s="426">
        <v>85764</v>
      </c>
      <c r="K21" s="426">
        <v>89200</v>
      </c>
      <c r="L21" s="499"/>
      <c r="M21" s="499"/>
      <c r="N21" s="499"/>
      <c r="O21" s="499"/>
      <c r="P21" s="302"/>
      <c r="Q21" s="302"/>
      <c r="R21" s="302"/>
      <c r="S21" s="302"/>
      <c r="T21" s="302"/>
      <c r="U21" s="302"/>
      <c r="V21" s="302"/>
      <c r="W21" s="302"/>
      <c r="X21" s="302"/>
      <c r="AB21" s="338"/>
      <c r="AC21" s="338"/>
      <c r="AD21" s="338"/>
      <c r="AE21" s="23"/>
      <c r="AF21" s="23"/>
    </row>
    <row r="22" spans="1:35" x14ac:dyDescent="0.2">
      <c r="A22" s="433" t="s">
        <v>140</v>
      </c>
      <c r="B22" s="501"/>
      <c r="C22" s="501"/>
      <c r="D22" s="502"/>
      <c r="E22" s="502"/>
      <c r="F22" s="502"/>
      <c r="G22" s="502"/>
      <c r="H22" s="502"/>
      <c r="I22" s="502"/>
      <c r="J22" s="502"/>
      <c r="K22" s="5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302"/>
      <c r="AB22" s="338"/>
      <c r="AC22" s="338"/>
      <c r="AD22" s="338"/>
      <c r="AE22" s="23"/>
      <c r="AF22" s="23"/>
    </row>
    <row r="23" spans="1:35" x14ac:dyDescent="0.2">
      <c r="A23" s="433"/>
      <c r="B23" s="517"/>
      <c r="C23" s="517"/>
      <c r="D23" s="409"/>
      <c r="E23" s="409"/>
      <c r="F23" s="409"/>
      <c r="G23" s="409"/>
      <c r="H23" s="409"/>
      <c r="I23" s="409"/>
      <c r="J23" s="409"/>
      <c r="K23" s="409"/>
      <c r="L23" s="413"/>
      <c r="M23" s="413"/>
      <c r="N23" s="413"/>
      <c r="O23" s="413"/>
      <c r="P23" s="413"/>
      <c r="Q23" s="413"/>
      <c r="R23" s="413"/>
      <c r="S23" s="413"/>
      <c r="T23" s="413"/>
      <c r="U23" s="413"/>
      <c r="V23" s="413"/>
      <c r="W23" s="413"/>
      <c r="X23" s="302"/>
      <c r="AB23" s="338"/>
      <c r="AC23" s="338"/>
      <c r="AD23" s="338"/>
      <c r="AE23" s="23"/>
      <c r="AF23" s="23"/>
    </row>
    <row r="24" spans="1:35" ht="13.5" thickBot="1" x14ac:dyDescent="0.25">
      <c r="A24" s="45" t="s">
        <v>100</v>
      </c>
      <c r="B24" s="4"/>
      <c r="C24" s="4"/>
      <c r="D24" s="46"/>
      <c r="E24" s="46"/>
      <c r="F24" s="4"/>
      <c r="G24" s="4"/>
      <c r="H24" s="4"/>
      <c r="I24" s="4"/>
      <c r="J24" s="315"/>
      <c r="K24" s="315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AB24" s="16"/>
      <c r="AC24" s="16"/>
      <c r="AD24" s="16"/>
      <c r="AE24" s="16"/>
      <c r="AF24" s="16"/>
    </row>
    <row r="25" spans="1:35" ht="14.25" thickTop="1" thickBot="1" x14ac:dyDescent="0.25">
      <c r="A25" s="5"/>
      <c r="B25" s="108" t="s">
        <v>11</v>
      </c>
      <c r="C25" s="100" t="s">
        <v>4</v>
      </c>
      <c r="D25" s="109" t="s">
        <v>5</v>
      </c>
      <c r="E25" s="109" t="s">
        <v>41</v>
      </c>
      <c r="F25" s="307" t="s">
        <v>53</v>
      </c>
      <c r="G25" s="307" t="s">
        <v>54</v>
      </c>
      <c r="H25" s="307" t="s">
        <v>76</v>
      </c>
      <c r="I25" s="307" t="s">
        <v>84</v>
      </c>
      <c r="J25" s="307" t="s">
        <v>87</v>
      </c>
      <c r="K25" s="303" t="s">
        <v>89</v>
      </c>
      <c r="L25" s="303" t="s">
        <v>108</v>
      </c>
      <c r="M25" s="303" t="s">
        <v>118</v>
      </c>
      <c r="N25" s="303" t="s">
        <v>121</v>
      </c>
      <c r="O25" s="303" t="s">
        <v>132</v>
      </c>
      <c r="P25" s="303" t="s">
        <v>134</v>
      </c>
      <c r="Q25" s="303" t="s">
        <v>137</v>
      </c>
      <c r="R25" s="303" t="s">
        <v>139</v>
      </c>
      <c r="S25" s="303" t="s">
        <v>142</v>
      </c>
      <c r="T25" s="303" t="str">
        <f>T2</f>
        <v>2017/18</v>
      </c>
      <c r="U25" s="303" t="str">
        <f>U2</f>
        <v>2018/19</v>
      </c>
      <c r="V25" s="303" t="str">
        <f>V2</f>
        <v>2019/20</v>
      </c>
      <c r="W25" s="303" t="s">
        <v>153</v>
      </c>
      <c r="X25" s="350" t="s">
        <v>156</v>
      </c>
      <c r="Z25" s="302"/>
      <c r="AA25" s="302"/>
    </row>
    <row r="26" spans="1:35" ht="13.5" thickTop="1" x14ac:dyDescent="0.2">
      <c r="A26" s="216" t="s">
        <v>12</v>
      </c>
      <c r="B26" s="110">
        <v>22.8</v>
      </c>
      <c r="C26" s="110">
        <v>12.6</v>
      </c>
      <c r="D26" s="504">
        <v>18</v>
      </c>
      <c r="E26" s="260">
        <v>19.402000000000001</v>
      </c>
      <c r="F26" s="308">
        <v>21.302</v>
      </c>
      <c r="G26" s="308">
        <v>18.100000000000001</v>
      </c>
      <c r="H26" s="308">
        <v>16.8</v>
      </c>
      <c r="I26" s="308">
        <v>14.3</v>
      </c>
      <c r="J26" s="308">
        <v>13.4</v>
      </c>
      <c r="K26" s="448">
        <v>12.999000000000001</v>
      </c>
      <c r="L26" s="448">
        <v>13.379</v>
      </c>
      <c r="M26" s="448">
        <v>14.212</v>
      </c>
      <c r="N26" s="448">
        <v>13.177</v>
      </c>
      <c r="O26" s="448">
        <f>+'voš_druh studia '!C57/1000</f>
        <v>12.948</v>
      </c>
      <c r="P26" s="448">
        <f>+'voš_druh studia '!C61/1000</f>
        <v>12.647</v>
      </c>
      <c r="Q26" s="448">
        <f>+'voš_druh studia '!C65/1000</f>
        <v>11.516</v>
      </c>
      <c r="R26" s="448">
        <f>+'voš_druh studia '!C69/1000</f>
        <v>10.145</v>
      </c>
      <c r="S26" s="448">
        <f>+'voš_druh studia '!C73/1000</f>
        <v>8.8810000000000002</v>
      </c>
      <c r="T26" s="448">
        <f>+'voš_druh studia '!C77/1000</f>
        <v>7.657</v>
      </c>
      <c r="U26" s="448">
        <f>+'voš_druh studia '!C81/1000</f>
        <v>7.1050000000000004</v>
      </c>
      <c r="V26" s="448">
        <f>+'voš_druh studia '!C85/1000</f>
        <v>7.0449999999999999</v>
      </c>
      <c r="W26" s="448">
        <f>+'voš_druh studia '!B89/1000</f>
        <v>9.3079999999999998</v>
      </c>
      <c r="X26" s="578">
        <f>+'voš_druh studia '!C89/1000</f>
        <v>7.3979999999999997</v>
      </c>
      <c r="Z26" s="302"/>
      <c r="AA26" s="302"/>
    </row>
    <row r="27" spans="1:35" x14ac:dyDescent="0.2">
      <c r="A27" s="214" t="s">
        <v>106</v>
      </c>
      <c r="B27" s="278">
        <f t="shared" ref="B27:K27" si="12">B26*1000/B34</f>
        <v>0.16141821477118259</v>
      </c>
      <c r="C27" s="278">
        <f t="shared" si="12"/>
        <v>9.0833069004296552E-2</v>
      </c>
      <c r="D27" s="376">
        <f t="shared" si="12"/>
        <v>0.12884384126438755</v>
      </c>
      <c r="E27" s="376">
        <f t="shared" si="12"/>
        <v>0.14379414358662704</v>
      </c>
      <c r="F27" s="377">
        <f t="shared" si="12"/>
        <v>0.15688960575060576</v>
      </c>
      <c r="G27" s="377">
        <f t="shared" si="12"/>
        <v>0.13357933579335793</v>
      </c>
      <c r="H27" s="377">
        <f t="shared" si="12"/>
        <v>0.12625977949631367</v>
      </c>
      <c r="I27" s="377">
        <f t="shared" si="12"/>
        <v>0.10889513322519971</v>
      </c>
      <c r="J27" s="377">
        <f t="shared" si="12"/>
        <v>0.10088462262375306</v>
      </c>
      <c r="K27" s="279">
        <f t="shared" si="12"/>
        <v>0.10054452918336092</v>
      </c>
      <c r="L27" s="279">
        <f>L26/L32</f>
        <v>0.10093168873297875</v>
      </c>
      <c r="M27" s="279">
        <v>0.10865443425076451</v>
      </c>
      <c r="N27" s="279">
        <f t="shared" ref="N27:S27" si="13">N26/N32</f>
        <v>0.10676032602531071</v>
      </c>
      <c r="O27" s="279">
        <f t="shared" si="13"/>
        <v>0.10543201231180126</v>
      </c>
      <c r="P27" s="279">
        <f t="shared" si="13"/>
        <v>0.11598602334944377</v>
      </c>
      <c r="Q27" s="279">
        <f t="shared" si="13"/>
        <v>0.11659056624786127</v>
      </c>
      <c r="R27" s="279">
        <f t="shared" si="13"/>
        <v>0.10867469363270202</v>
      </c>
      <c r="S27" s="279">
        <f t="shared" si="13"/>
        <v>9.5360298933759968E-2</v>
      </c>
      <c r="T27" s="279">
        <f>T26/T32</f>
        <v>8.2511664996390038E-2</v>
      </c>
      <c r="U27" s="279">
        <f>U26/U32</f>
        <v>7.7107570758812291E-2</v>
      </c>
      <c r="V27" s="279">
        <f>V26/V32</f>
        <v>7.4832171991842278E-2</v>
      </c>
      <c r="W27" s="279">
        <f>W26/W32</f>
        <v>9.7325330935402243E-2</v>
      </c>
      <c r="X27" s="579">
        <f>X26/X32</f>
        <v>7.6350688890035601E-2</v>
      </c>
      <c r="Z27" s="302"/>
      <c r="AA27" s="302"/>
    </row>
    <row r="28" spans="1:35" x14ac:dyDescent="0.2">
      <c r="A28" s="217" t="s">
        <v>13</v>
      </c>
      <c r="B28" s="281">
        <f t="shared" ref="B28:K28" si="14">B26*1000/B35</f>
        <v>0.25041736227045075</v>
      </c>
      <c r="C28" s="281">
        <f t="shared" si="14"/>
        <v>0.35932242057833796</v>
      </c>
      <c r="D28" s="281">
        <f t="shared" si="14"/>
        <v>0.24613365057226075</v>
      </c>
      <c r="E28" s="281">
        <f t="shared" si="14"/>
        <v>0.26187069779997302</v>
      </c>
      <c r="F28" s="282">
        <f t="shared" si="14"/>
        <v>0.26844605748994999</v>
      </c>
      <c r="G28" s="282">
        <f t="shared" si="14"/>
        <v>0.2215774847895014</v>
      </c>
      <c r="H28" s="282">
        <f t="shared" si="14"/>
        <v>0.19837521254487059</v>
      </c>
      <c r="I28" s="282">
        <f t="shared" si="14"/>
        <v>0.16753166114085546</v>
      </c>
      <c r="J28" s="282">
        <f t="shared" si="14"/>
        <v>0.15624271256004851</v>
      </c>
      <c r="K28" s="282">
        <f t="shared" si="14"/>
        <v>0.1457286995515695</v>
      </c>
      <c r="L28" s="282">
        <f t="shared" ref="L28:R28" si="15">L26/L33</f>
        <v>0.15945224417800871</v>
      </c>
      <c r="M28" s="282">
        <f t="shared" si="15"/>
        <v>0.17531826704825818</v>
      </c>
      <c r="N28" s="282">
        <f t="shared" si="15"/>
        <v>0.17670645031514015</v>
      </c>
      <c r="O28" s="282">
        <f t="shared" si="15"/>
        <v>0.17832991309377885</v>
      </c>
      <c r="P28" s="282">
        <f t="shared" si="15"/>
        <v>0.18060176788952834</v>
      </c>
      <c r="Q28" s="282">
        <f>Q26/Q33</f>
        <v>0.18942035660240805</v>
      </c>
      <c r="R28" s="282">
        <f t="shared" si="15"/>
        <v>0.18077012170132392</v>
      </c>
      <c r="S28" s="282">
        <f t="shared" ref="S28:X28" si="16">S26/S33</f>
        <v>0.1696952326359033</v>
      </c>
      <c r="T28" s="282">
        <f t="shared" si="16"/>
        <v>0.1459727385377943</v>
      </c>
      <c r="U28" s="282">
        <f t="shared" si="16"/>
        <v>0.13465620498824957</v>
      </c>
      <c r="V28" s="282">
        <f t="shared" si="16"/>
        <v>0.13351906602986885</v>
      </c>
      <c r="W28" s="282">
        <f t="shared" si="16"/>
        <v>0.16167581463211284</v>
      </c>
      <c r="X28" s="580">
        <f t="shared" si="16"/>
        <v>0.12014226090910567</v>
      </c>
      <c r="Z28" s="302"/>
      <c r="AA28" s="302"/>
    </row>
    <row r="29" spans="1:35" x14ac:dyDescent="0.2">
      <c r="A29" s="216" t="s">
        <v>14</v>
      </c>
      <c r="B29" s="115">
        <v>12.1</v>
      </c>
      <c r="C29" s="115">
        <v>6.9</v>
      </c>
      <c r="D29" s="503">
        <v>10.199999999999999</v>
      </c>
      <c r="E29" s="267">
        <v>10.736000000000001</v>
      </c>
      <c r="F29" s="310">
        <v>11.384</v>
      </c>
      <c r="G29" s="310">
        <v>9.94</v>
      </c>
      <c r="H29" s="310">
        <v>9.5</v>
      </c>
      <c r="I29" s="310">
        <v>9.1</v>
      </c>
      <c r="J29" s="310">
        <v>8.6</v>
      </c>
      <c r="K29" s="449">
        <v>8.2119999999999997</v>
      </c>
      <c r="L29" s="449">
        <v>8.7859999999999996</v>
      </c>
      <c r="M29" s="449">
        <v>9.4359999999999999</v>
      </c>
      <c r="N29" s="449">
        <v>8.7119999999999997</v>
      </c>
      <c r="O29" s="449">
        <f>+'voš_druh studia '!I57/1000</f>
        <v>8.9090000000000007</v>
      </c>
      <c r="P29" s="449">
        <f>+'voš_druh studia '!I61/1000</f>
        <v>8.7149999999999999</v>
      </c>
      <c r="Q29" s="449">
        <f>+'voš_druh studia '!I65/1000</f>
        <v>8.1440000000000001</v>
      </c>
      <c r="R29" s="449">
        <f>+'voš_druh studia '!I69/1000</f>
        <v>7.1340000000000003</v>
      </c>
      <c r="S29" s="449">
        <f>+'voš_druh studia '!I73/1000</f>
        <v>6.3419999999999996</v>
      </c>
      <c r="T29" s="449">
        <f>+'voš_druh studia '!I77/1000</f>
        <v>5.4489999999999998</v>
      </c>
      <c r="U29" s="449">
        <f>+'voš_druh studia '!I81/1000</f>
        <v>5.08</v>
      </c>
      <c r="V29" s="449">
        <f>+'voš_druh studia '!I85/1000</f>
        <v>5.0810000000000004</v>
      </c>
      <c r="W29" s="449">
        <f>+'voš_druh studia '!H89/1000</f>
        <v>6.0869999999999997</v>
      </c>
      <c r="X29" s="581">
        <f>+'voš_druh studia '!I89/1000</f>
        <v>5.266</v>
      </c>
      <c r="Z29" s="302"/>
      <c r="AA29" s="302"/>
    </row>
    <row r="30" spans="1:35" x14ac:dyDescent="0.2">
      <c r="A30" s="214" t="s">
        <v>106</v>
      </c>
      <c r="B30" s="278">
        <f t="shared" ref="B30:K30" si="17">B29*1000/B34</f>
        <v>8.5664929768917084E-2</v>
      </c>
      <c r="C30" s="278">
        <f t="shared" si="17"/>
        <v>4.9741918740448109E-2</v>
      </c>
      <c r="D30" s="376">
        <f t="shared" si="17"/>
        <v>7.3011510049819622E-2</v>
      </c>
      <c r="E30" s="376">
        <f t="shared" si="17"/>
        <v>7.9567772680446749E-2</v>
      </c>
      <c r="F30" s="377">
        <f t="shared" si="17"/>
        <v>8.3843360804849124E-2</v>
      </c>
      <c r="G30" s="377">
        <f t="shared" si="17"/>
        <v>7.3357933579335788E-2</v>
      </c>
      <c r="H30" s="377">
        <f t="shared" si="17"/>
        <v>7.1396899119939281E-2</v>
      </c>
      <c r="I30" s="377">
        <f t="shared" si="17"/>
        <v>6.9296902961490728E-2</v>
      </c>
      <c r="J30" s="377">
        <f t="shared" si="17"/>
        <v>6.4746847355543008E-2</v>
      </c>
      <c r="K30" s="279">
        <f t="shared" si="17"/>
        <v>6.3518091672725582E-2</v>
      </c>
      <c r="L30" s="279">
        <f>L29/L32</f>
        <v>6.6281920712157216E-2</v>
      </c>
      <c r="M30" s="279">
        <v>7.2140672782874615E-2</v>
      </c>
      <c r="N30" s="279">
        <f t="shared" ref="N30:S30" si="18">N29/N32</f>
        <v>7.0584803850080202E-2</v>
      </c>
      <c r="O30" s="279">
        <f t="shared" si="18"/>
        <v>7.2543543225659368E-2</v>
      </c>
      <c r="P30" s="279">
        <f t="shared" si="18"/>
        <v>7.9925531231944527E-2</v>
      </c>
      <c r="Q30" s="279">
        <f t="shared" si="18"/>
        <v>8.2451682139856042E-2</v>
      </c>
      <c r="R30" s="279">
        <f t="shared" si="18"/>
        <v>7.6420430199674358E-2</v>
      </c>
      <c r="S30" s="279">
        <f t="shared" si="18"/>
        <v>6.8097625924772628E-2</v>
      </c>
      <c r="T30" s="279">
        <f>T29/T32</f>
        <v>5.8718305154150364E-2</v>
      </c>
      <c r="U30" s="279">
        <f>U29/U32</f>
        <v>5.5131099149157835E-2</v>
      </c>
      <c r="V30" s="279">
        <f>V29/V32</f>
        <v>5.3970513256288238E-2</v>
      </c>
      <c r="W30" s="279">
        <f>W29/W32</f>
        <v>6.3646249398774543E-2</v>
      </c>
      <c r="X30" s="579">
        <f>X29/X32</f>
        <v>5.4347489550544407E-2</v>
      </c>
      <c r="Z30" s="302"/>
      <c r="AA30" s="302"/>
    </row>
    <row r="31" spans="1:35" ht="13.5" thickBot="1" x14ac:dyDescent="0.25">
      <c r="A31" s="218" t="s">
        <v>13</v>
      </c>
      <c r="B31" s="378">
        <f t="shared" ref="B31:K31" si="19">B29*1000/B35</f>
        <v>0.13289693348563394</v>
      </c>
      <c r="C31" s="378">
        <f t="shared" si="19"/>
        <v>0.19677180174528033</v>
      </c>
      <c r="D31" s="378">
        <f t="shared" si="19"/>
        <v>0.13947573532428109</v>
      </c>
      <c r="E31" s="378">
        <f t="shared" si="19"/>
        <v>0.14490484545822649</v>
      </c>
      <c r="F31" s="379">
        <f t="shared" si="19"/>
        <v>0.14346023464771337</v>
      </c>
      <c r="G31" s="379">
        <f t="shared" si="19"/>
        <v>0.12168398888440021</v>
      </c>
      <c r="H31" s="379">
        <f t="shared" si="19"/>
        <v>0.11217645947477801</v>
      </c>
      <c r="I31" s="379">
        <f t="shared" si="19"/>
        <v>0.10661105708963529</v>
      </c>
      <c r="J31" s="379">
        <f t="shared" si="19"/>
        <v>0.10027517373256845</v>
      </c>
      <c r="K31" s="379">
        <f t="shared" si="19"/>
        <v>9.20627802690583E-2</v>
      </c>
      <c r="L31" s="379">
        <f t="shared" ref="L31:R31" si="20">L29/L33</f>
        <v>0.10471241627535574</v>
      </c>
      <c r="M31" s="379">
        <f t="shared" si="20"/>
        <v>0.1164018553241883</v>
      </c>
      <c r="N31" s="379">
        <f t="shared" si="20"/>
        <v>0.11682982432613652</v>
      </c>
      <c r="O31" s="379">
        <f t="shared" si="20"/>
        <v>0.12270166788326195</v>
      </c>
      <c r="P31" s="379">
        <f t="shared" si="20"/>
        <v>0.12445199708683793</v>
      </c>
      <c r="Q31" s="379">
        <f>Q29/Q33</f>
        <v>0.13395618132771894</v>
      </c>
      <c r="R31" s="379">
        <f t="shared" si="20"/>
        <v>0.12711819105147806</v>
      </c>
      <c r="S31" s="379">
        <f t="shared" ref="S31:X31" si="21">S29/S33</f>
        <v>0.12118085411292633</v>
      </c>
      <c r="T31" s="379">
        <f t="shared" si="21"/>
        <v>0.10387951577542656</v>
      </c>
      <c r="U31" s="379">
        <f t="shared" si="21"/>
        <v>9.6277765142900457E-2</v>
      </c>
      <c r="V31" s="379">
        <f t="shared" si="21"/>
        <v>9.6296717458873471E-2</v>
      </c>
      <c r="W31" s="379">
        <f t="shared" si="21"/>
        <v>0.10572847912179531</v>
      </c>
      <c r="X31" s="582">
        <f t="shared" si="21"/>
        <v>8.5518943761469388E-2</v>
      </c>
      <c r="Z31" s="302"/>
      <c r="AA31" s="302"/>
      <c r="AF31" s="11"/>
      <c r="AG31" s="11"/>
      <c r="AH31" s="11"/>
      <c r="AI31" s="9"/>
    </row>
    <row r="32" spans="1:35" ht="13.5" thickBot="1" x14ac:dyDescent="0.25">
      <c r="A32" s="219" t="s">
        <v>107</v>
      </c>
      <c r="B32" s="417">
        <v>141.24799999999999</v>
      </c>
      <c r="C32" s="418">
        <v>138.71600000000001</v>
      </c>
      <c r="D32" s="419">
        <v>139.70400000000001</v>
      </c>
      <c r="E32" s="419">
        <v>134.929</v>
      </c>
      <c r="F32" s="420">
        <v>135.77699999999999</v>
      </c>
      <c r="G32" s="420">
        <f>+G18</f>
        <v>135.5</v>
      </c>
      <c r="H32" s="420">
        <f t="shared" ref="H32:P32" si="22">+H18</f>
        <v>133.059</v>
      </c>
      <c r="I32" s="420">
        <f t="shared" si="22"/>
        <v>131.31899999999999</v>
      </c>
      <c r="J32" s="420">
        <f t="shared" si="22"/>
        <v>134.946</v>
      </c>
      <c r="K32" s="450">
        <f t="shared" si="22"/>
        <v>131.517</v>
      </c>
      <c r="L32" s="450">
        <f t="shared" si="22"/>
        <v>132.55500000000001</v>
      </c>
      <c r="M32" s="450">
        <f t="shared" si="22"/>
        <v>130.79499999999999</v>
      </c>
      <c r="N32" s="450">
        <f t="shared" si="22"/>
        <v>123.426</v>
      </c>
      <c r="O32" s="450">
        <f>+O18</f>
        <v>122.809</v>
      </c>
      <c r="P32" s="450">
        <f t="shared" si="22"/>
        <v>109.039</v>
      </c>
      <c r="Q32" s="450">
        <f t="shared" ref="Q32:S33" si="23">+Q18</f>
        <v>98.772999999999996</v>
      </c>
      <c r="R32" s="450">
        <f t="shared" si="23"/>
        <v>93.352000000000004</v>
      </c>
      <c r="S32" s="450">
        <f t="shared" si="23"/>
        <v>93.131</v>
      </c>
      <c r="T32" s="450">
        <f t="shared" ref="T32:V33" si="24">+T18</f>
        <v>92.799000000000007</v>
      </c>
      <c r="U32" s="450">
        <f t="shared" si="24"/>
        <v>92.144000000000005</v>
      </c>
      <c r="V32" s="450">
        <f t="shared" si="24"/>
        <v>94.144000000000005</v>
      </c>
      <c r="W32" s="450">
        <f t="shared" ref="W32:X32" si="25">+W18</f>
        <v>95.638000000000005</v>
      </c>
      <c r="X32" s="613">
        <f t="shared" si="25"/>
        <v>96.894999999999996</v>
      </c>
      <c r="Z32" s="302"/>
      <c r="AA32" s="302"/>
      <c r="AF32" s="11"/>
      <c r="AG32" s="11"/>
      <c r="AH32" s="11"/>
      <c r="AI32" s="12"/>
    </row>
    <row r="33" spans="1:27" ht="13.5" thickBot="1" x14ac:dyDescent="0.25">
      <c r="A33" s="220" t="s">
        <v>144</v>
      </c>
      <c r="B33" s="421">
        <v>91.048000000000002</v>
      </c>
      <c r="C33" s="422">
        <v>35.066000000000003</v>
      </c>
      <c r="D33" s="423">
        <v>73.131</v>
      </c>
      <c r="E33" s="423">
        <v>74.09</v>
      </c>
      <c r="F33" s="424">
        <v>79.352999999999994</v>
      </c>
      <c r="G33" s="424">
        <f t="shared" ref="G33:P33" si="26">+G19</f>
        <v>81.674999999999997</v>
      </c>
      <c r="H33" s="424">
        <f t="shared" si="26"/>
        <v>84.688000000000002</v>
      </c>
      <c r="I33" s="427">
        <f t="shared" si="26"/>
        <v>85.379000000000005</v>
      </c>
      <c r="J33" s="427">
        <f t="shared" si="26"/>
        <v>85.778999999999996</v>
      </c>
      <c r="K33" s="451">
        <f t="shared" si="26"/>
        <v>84.317999999999998</v>
      </c>
      <c r="L33" s="451">
        <f t="shared" si="26"/>
        <v>83.906000000000006</v>
      </c>
      <c r="M33" s="451">
        <f t="shared" si="26"/>
        <v>81.063999999999993</v>
      </c>
      <c r="N33" s="451">
        <f t="shared" si="26"/>
        <v>74.569999999999993</v>
      </c>
      <c r="O33" s="451">
        <f>+O19</f>
        <v>72.606999999999999</v>
      </c>
      <c r="P33" s="451">
        <f t="shared" si="26"/>
        <v>70.027000000000001</v>
      </c>
      <c r="Q33" s="583">
        <f t="shared" si="23"/>
        <v>60.795999999999999</v>
      </c>
      <c r="R33" s="583">
        <f t="shared" si="23"/>
        <v>56.121000000000002</v>
      </c>
      <c r="S33" s="583">
        <f t="shared" si="23"/>
        <v>52.335000000000001</v>
      </c>
      <c r="T33" s="583">
        <f t="shared" si="24"/>
        <v>52.454999999999998</v>
      </c>
      <c r="U33" s="583">
        <f t="shared" si="24"/>
        <v>52.764000000000003</v>
      </c>
      <c r="V33" s="583">
        <f t="shared" si="24"/>
        <v>52.764000000000003</v>
      </c>
      <c r="W33" s="583">
        <f t="shared" ref="W33:X33" si="27">+W19</f>
        <v>57.572000000000003</v>
      </c>
      <c r="X33" s="584">
        <f t="shared" si="27"/>
        <v>61.576999999999998</v>
      </c>
      <c r="Z33" s="302"/>
      <c r="AA33" s="302"/>
    </row>
    <row r="34" spans="1:27" ht="3.75" customHeight="1" thickTop="1" x14ac:dyDescent="0.2">
      <c r="A34" s="407"/>
      <c r="B34" s="501">
        <v>141248</v>
      </c>
      <c r="C34" s="501">
        <v>138716</v>
      </c>
      <c r="D34" s="502">
        <v>139704</v>
      </c>
      <c r="E34" s="502">
        <v>134929</v>
      </c>
      <c r="F34" s="502">
        <v>135777</v>
      </c>
      <c r="G34" s="502">
        <v>135500</v>
      </c>
      <c r="H34" s="502">
        <v>133059</v>
      </c>
      <c r="I34" s="502">
        <v>131319</v>
      </c>
      <c r="J34" s="502">
        <v>132825</v>
      </c>
      <c r="K34" s="502">
        <v>129286</v>
      </c>
      <c r="L34" s="316"/>
      <c r="M34" s="302"/>
      <c r="N34" s="302"/>
      <c r="O34" s="302"/>
      <c r="P34" s="302"/>
      <c r="Q34" s="302"/>
      <c r="R34" s="302"/>
      <c r="S34" s="302"/>
      <c r="T34" s="302"/>
      <c r="U34" s="302"/>
      <c r="V34" s="302"/>
      <c r="W34" s="302"/>
    </row>
    <row r="35" spans="1:27" ht="3.75" customHeight="1" x14ac:dyDescent="0.2">
      <c r="A35" s="337"/>
      <c r="B35" s="425">
        <v>91048</v>
      </c>
      <c r="C35" s="425">
        <v>35066</v>
      </c>
      <c r="D35" s="426">
        <v>73131</v>
      </c>
      <c r="E35" s="426">
        <v>74090</v>
      </c>
      <c r="F35" s="426">
        <v>79353</v>
      </c>
      <c r="G35" s="426">
        <v>81687</v>
      </c>
      <c r="H35" s="426">
        <v>84688</v>
      </c>
      <c r="I35" s="428">
        <v>85357</v>
      </c>
      <c r="J35" s="428">
        <v>85764</v>
      </c>
      <c r="K35" s="428">
        <v>89200</v>
      </c>
      <c r="L35" s="316"/>
      <c r="M35" s="302"/>
      <c r="N35" s="302"/>
      <c r="O35" s="302"/>
      <c r="P35" s="302"/>
      <c r="Q35" s="302"/>
      <c r="R35" s="302"/>
      <c r="S35" s="302"/>
      <c r="T35" s="302"/>
      <c r="U35" s="302"/>
      <c r="V35" s="302"/>
      <c r="W35" s="302"/>
    </row>
    <row r="36" spans="1:27" ht="12.75" customHeight="1" x14ac:dyDescent="0.2">
      <c r="A36" s="433" t="s">
        <v>140</v>
      </c>
      <c r="B36" s="501"/>
      <c r="C36" s="501"/>
      <c r="D36" s="502"/>
      <c r="E36" s="502"/>
      <c r="F36" s="502"/>
      <c r="G36" s="502"/>
      <c r="H36" s="502"/>
      <c r="I36" s="502"/>
      <c r="J36" s="502"/>
      <c r="K36" s="502"/>
      <c r="L36" s="316"/>
      <c r="M36" s="302"/>
      <c r="N36" s="302"/>
      <c r="O36" s="302"/>
      <c r="P36" s="302"/>
      <c r="Q36" s="302"/>
      <c r="R36" s="302"/>
      <c r="S36" s="302"/>
      <c r="T36" s="302"/>
      <c r="U36" s="302"/>
      <c r="V36" s="302"/>
      <c r="W36" s="302"/>
    </row>
    <row r="37" spans="1:27" x14ac:dyDescent="0.2">
      <c r="A37" s="43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02"/>
      <c r="N37" s="302"/>
      <c r="O37" s="302"/>
      <c r="P37" s="302"/>
      <c r="Q37" s="302"/>
      <c r="R37" s="302"/>
      <c r="S37" s="302"/>
      <c r="T37" s="302"/>
      <c r="U37" s="302"/>
      <c r="V37" s="302"/>
      <c r="W37" s="302"/>
    </row>
    <row r="38" spans="1:27" ht="13.5" thickBot="1" x14ac:dyDescent="0.25">
      <c r="A38" s="408" t="s">
        <v>157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7" ht="17.25" customHeight="1" thickTop="1" x14ac:dyDescent="0.2">
      <c r="A39" s="14"/>
      <c r="B39" s="357" t="s">
        <v>0</v>
      </c>
      <c r="C39" s="357"/>
      <c r="D39" s="357"/>
      <c r="E39" s="357"/>
      <c r="F39" s="357"/>
      <c r="G39" s="357"/>
      <c r="H39" s="357"/>
      <c r="I39" s="357"/>
      <c r="J39" s="357"/>
      <c r="K39" s="357"/>
      <c r="L39" s="357"/>
      <c r="M39" s="608" t="s">
        <v>48</v>
      </c>
    </row>
    <row r="40" spans="1:27" ht="24.75" customHeight="1" thickBot="1" x14ac:dyDescent="0.25">
      <c r="A40" s="15"/>
      <c r="B40" s="88">
        <v>1</v>
      </c>
      <c r="C40" s="89">
        <v>2</v>
      </c>
      <c r="D40" s="89">
        <v>3</v>
      </c>
      <c r="E40" s="89">
        <v>4</v>
      </c>
      <c r="F40" s="89">
        <v>5</v>
      </c>
      <c r="G40" s="89">
        <v>6</v>
      </c>
      <c r="H40" s="89">
        <v>7</v>
      </c>
      <c r="I40" s="89">
        <v>8</v>
      </c>
      <c r="J40" s="89">
        <v>9</v>
      </c>
      <c r="K40" s="89" t="s">
        <v>6</v>
      </c>
      <c r="L40" s="90" t="s">
        <v>26</v>
      </c>
      <c r="M40" s="609"/>
    </row>
    <row r="41" spans="1:27" ht="13.5" thickTop="1" x14ac:dyDescent="0.2">
      <c r="A41" s="221" t="s">
        <v>11</v>
      </c>
      <c r="B41" s="194">
        <v>16974</v>
      </c>
      <c r="C41" s="195">
        <v>4983</v>
      </c>
      <c r="D41" s="195">
        <v>1800</v>
      </c>
      <c r="E41" s="195">
        <v>561</v>
      </c>
      <c r="F41" s="195">
        <v>143</v>
      </c>
      <c r="G41" s="195">
        <v>56</v>
      </c>
      <c r="H41" s="195">
        <v>17</v>
      </c>
      <c r="I41" s="195">
        <v>9</v>
      </c>
      <c r="J41" s="195">
        <v>4</v>
      </c>
      <c r="K41" s="195">
        <v>4</v>
      </c>
      <c r="L41" s="92">
        <v>1.46</v>
      </c>
      <c r="M41" s="51">
        <v>24551</v>
      </c>
      <c r="N41" s="3"/>
      <c r="O41" s="3"/>
    </row>
    <row r="42" spans="1:27" x14ac:dyDescent="0.2">
      <c r="A42" s="221" t="s">
        <v>4</v>
      </c>
      <c r="B42" s="196">
        <v>11408</v>
      </c>
      <c r="C42" s="197">
        <v>2757</v>
      </c>
      <c r="D42" s="197">
        <v>868</v>
      </c>
      <c r="E42" s="197">
        <v>241</v>
      </c>
      <c r="F42" s="197">
        <v>94</v>
      </c>
      <c r="G42" s="197">
        <v>20</v>
      </c>
      <c r="H42" s="197">
        <v>9</v>
      </c>
      <c r="I42" s="197">
        <v>6</v>
      </c>
      <c r="J42" s="197">
        <v>1</v>
      </c>
      <c r="K42" s="197">
        <v>2</v>
      </c>
      <c r="L42" s="94">
        <v>1.38</v>
      </c>
      <c r="M42" s="95">
        <v>15406</v>
      </c>
      <c r="N42" s="502"/>
      <c r="O42" s="502"/>
      <c r="P42" s="10"/>
      <c r="Q42" s="10"/>
      <c r="R42" s="3"/>
      <c r="AA42" s="302"/>
    </row>
    <row r="43" spans="1:27" x14ac:dyDescent="0.2">
      <c r="A43" s="222" t="s">
        <v>5</v>
      </c>
      <c r="B43" s="198">
        <v>14880</v>
      </c>
      <c r="C43" s="199">
        <v>3747</v>
      </c>
      <c r="D43" s="199">
        <v>1173</v>
      </c>
      <c r="E43" s="199">
        <v>361</v>
      </c>
      <c r="F43" s="199">
        <v>98</v>
      </c>
      <c r="G43" s="199">
        <v>43</v>
      </c>
      <c r="H43" s="199">
        <v>12</v>
      </c>
      <c r="I43" s="199">
        <v>3</v>
      </c>
      <c r="J43" s="199">
        <v>2</v>
      </c>
      <c r="K43" s="199">
        <v>0</v>
      </c>
      <c r="L43" s="96">
        <v>1.4</v>
      </c>
      <c r="M43" s="119">
        <v>20319</v>
      </c>
      <c r="N43" s="547"/>
      <c r="O43" s="547"/>
      <c r="P43" s="10"/>
      <c r="Q43" s="10"/>
      <c r="R43" s="3"/>
      <c r="AA43" s="302"/>
    </row>
    <row r="44" spans="1:27" x14ac:dyDescent="0.2">
      <c r="A44" s="234" t="s">
        <v>41</v>
      </c>
      <c r="B44" s="235">
        <v>16918</v>
      </c>
      <c r="C44" s="236">
        <v>3869</v>
      </c>
      <c r="D44" s="236">
        <v>1070</v>
      </c>
      <c r="E44" s="236">
        <v>272</v>
      </c>
      <c r="F44" s="236">
        <v>62</v>
      </c>
      <c r="G44" s="236">
        <v>18</v>
      </c>
      <c r="H44" s="236">
        <v>10</v>
      </c>
      <c r="I44" s="236">
        <v>1</v>
      </c>
      <c r="J44" s="236">
        <v>0</v>
      </c>
      <c r="K44" s="236">
        <v>0</v>
      </c>
      <c r="L44" s="237">
        <v>1.3</v>
      </c>
      <c r="M44" s="238">
        <v>22220</v>
      </c>
      <c r="N44" s="547"/>
      <c r="O44" s="547"/>
      <c r="P44" s="10"/>
      <c r="Q44" s="10"/>
      <c r="R44" s="3"/>
      <c r="AA44" s="302"/>
    </row>
    <row r="45" spans="1:27" x14ac:dyDescent="0.2">
      <c r="A45" s="234" t="s">
        <v>53</v>
      </c>
      <c r="B45" s="235">
        <v>18307</v>
      </c>
      <c r="C45" s="236">
        <v>4304</v>
      </c>
      <c r="D45" s="236">
        <v>1291</v>
      </c>
      <c r="E45" s="236">
        <v>338</v>
      </c>
      <c r="F45" s="236">
        <v>73</v>
      </c>
      <c r="G45" s="236">
        <v>19</v>
      </c>
      <c r="H45" s="236">
        <v>4</v>
      </c>
      <c r="I45" s="236">
        <v>2</v>
      </c>
      <c r="J45" s="236">
        <v>1</v>
      </c>
      <c r="K45" s="236">
        <v>0</v>
      </c>
      <c r="L45" s="237">
        <v>1.3</v>
      </c>
      <c r="M45" s="238">
        <v>24339</v>
      </c>
      <c r="N45" s="547"/>
      <c r="O45" s="547"/>
      <c r="P45" s="10"/>
      <c r="Q45" s="10"/>
      <c r="AA45" s="302"/>
    </row>
    <row r="46" spans="1:27" x14ac:dyDescent="0.2">
      <c r="A46" s="234" t="s">
        <v>54</v>
      </c>
      <c r="B46" s="235">
        <v>15883</v>
      </c>
      <c r="C46" s="236">
        <v>3439</v>
      </c>
      <c r="D46" s="236">
        <v>955</v>
      </c>
      <c r="E46" s="236">
        <v>238</v>
      </c>
      <c r="F46" s="236">
        <v>64</v>
      </c>
      <c r="G46" s="236">
        <v>10</v>
      </c>
      <c r="H46" s="236">
        <v>3</v>
      </c>
      <c r="I46" s="236">
        <v>1</v>
      </c>
      <c r="J46" s="236">
        <v>1</v>
      </c>
      <c r="K46" s="236">
        <v>1</v>
      </c>
      <c r="L46" s="237">
        <v>1.3</v>
      </c>
      <c r="M46" s="238">
        <v>20595</v>
      </c>
      <c r="N46" s="547"/>
      <c r="O46" s="547"/>
      <c r="P46" s="10"/>
      <c r="Q46" s="10"/>
      <c r="AA46" s="302"/>
    </row>
    <row r="47" spans="1:27" x14ac:dyDescent="0.2">
      <c r="A47" s="234" t="s">
        <v>76</v>
      </c>
      <c r="B47" s="235">
        <v>15336</v>
      </c>
      <c r="C47" s="236">
        <v>3034</v>
      </c>
      <c r="D47" s="236">
        <v>818</v>
      </c>
      <c r="E47" s="236">
        <v>190</v>
      </c>
      <c r="F47" s="236">
        <v>48</v>
      </c>
      <c r="G47" s="236">
        <v>7</v>
      </c>
      <c r="H47" s="236">
        <v>6</v>
      </c>
      <c r="I47" s="236">
        <v>1</v>
      </c>
      <c r="J47" s="236">
        <v>1</v>
      </c>
      <c r="K47" s="236">
        <v>1</v>
      </c>
      <c r="L47" s="237">
        <v>1.3</v>
      </c>
      <c r="M47" s="238">
        <v>19441</v>
      </c>
      <c r="N47" s="547"/>
      <c r="O47" s="547"/>
      <c r="P47" s="10"/>
      <c r="Q47" s="10"/>
      <c r="AA47" s="302"/>
    </row>
    <row r="48" spans="1:27" x14ac:dyDescent="0.2">
      <c r="A48" s="234" t="s">
        <v>84</v>
      </c>
      <c r="B48" s="235">
        <v>14327</v>
      </c>
      <c r="C48" s="236">
        <v>1921</v>
      </c>
      <c r="D48" s="236">
        <v>407</v>
      </c>
      <c r="E48" s="236">
        <v>153</v>
      </c>
      <c r="F48" s="236">
        <v>93</v>
      </c>
      <c r="G48" s="236">
        <v>70</v>
      </c>
      <c r="H48" s="236">
        <v>63</v>
      </c>
      <c r="I48" s="236">
        <v>43</v>
      </c>
      <c r="J48" s="236">
        <v>26</v>
      </c>
      <c r="K48" s="236">
        <v>61</v>
      </c>
      <c r="L48" s="237">
        <v>1.3</v>
      </c>
      <c r="M48" s="238">
        <v>17164</v>
      </c>
      <c r="N48" s="547"/>
      <c r="O48" s="547"/>
      <c r="P48" s="10"/>
      <c r="Q48" s="10"/>
      <c r="AA48" s="302"/>
    </row>
    <row r="49" spans="1:26" x14ac:dyDescent="0.2">
      <c r="A49" s="234" t="s">
        <v>87</v>
      </c>
      <c r="B49" s="235">
        <v>15022</v>
      </c>
      <c r="C49" s="236">
        <v>1803</v>
      </c>
      <c r="D49" s="236">
        <v>378</v>
      </c>
      <c r="E49" s="236">
        <v>132</v>
      </c>
      <c r="F49" s="236">
        <v>70</v>
      </c>
      <c r="G49" s="236">
        <v>28</v>
      </c>
      <c r="H49" s="236">
        <v>14</v>
      </c>
      <c r="I49" s="236">
        <v>17</v>
      </c>
      <c r="J49" s="236">
        <v>9</v>
      </c>
      <c r="K49" s="236">
        <v>11</v>
      </c>
      <c r="L49" s="237">
        <v>1.2</v>
      </c>
      <c r="M49" s="238">
        <v>17484</v>
      </c>
      <c r="N49" s="547"/>
      <c r="O49" s="547"/>
      <c r="P49" s="10"/>
      <c r="Q49" s="10"/>
    </row>
    <row r="50" spans="1:26" x14ac:dyDescent="0.2">
      <c r="A50" s="234" t="s">
        <v>89</v>
      </c>
      <c r="B50" s="452">
        <v>14863</v>
      </c>
      <c r="C50" s="453">
        <v>1540</v>
      </c>
      <c r="D50" s="453">
        <v>255</v>
      </c>
      <c r="E50" s="453">
        <v>36</v>
      </c>
      <c r="F50" s="453">
        <v>9</v>
      </c>
      <c r="G50" s="453">
        <v>0</v>
      </c>
      <c r="H50" s="453">
        <v>0</v>
      </c>
      <c r="I50" s="453">
        <v>0</v>
      </c>
      <c r="J50" s="453">
        <v>0</v>
      </c>
      <c r="K50" s="453">
        <v>0</v>
      </c>
      <c r="L50" s="454">
        <f>(B50*B40+C50*C40+D50*D40+E50*E40+F50*F40)/M50</f>
        <v>1.1313536490450817</v>
      </c>
      <c r="M50" s="455">
        <v>16703</v>
      </c>
      <c r="N50" s="547"/>
      <c r="O50" s="547"/>
      <c r="U50" s="302"/>
      <c r="V50" s="302"/>
      <c r="W50" s="302"/>
      <c r="X50" s="302"/>
      <c r="Y50" s="302"/>
      <c r="Z50" s="302"/>
    </row>
    <row r="51" spans="1:26" x14ac:dyDescent="0.2">
      <c r="A51" s="239" t="s">
        <v>108</v>
      </c>
      <c r="B51" s="452">
        <v>15377</v>
      </c>
      <c r="C51" s="453">
        <v>1856</v>
      </c>
      <c r="D51" s="453">
        <v>355</v>
      </c>
      <c r="E51" s="453">
        <v>84</v>
      </c>
      <c r="F51" s="453">
        <v>16</v>
      </c>
      <c r="G51" s="453">
        <v>3</v>
      </c>
      <c r="H51" s="453">
        <v>5</v>
      </c>
      <c r="I51" s="453">
        <v>0</v>
      </c>
      <c r="J51" s="453">
        <v>0</v>
      </c>
      <c r="K51" s="453">
        <v>0</v>
      </c>
      <c r="L51" s="454">
        <v>1.1654046112115732</v>
      </c>
      <c r="M51" s="455">
        <v>17696</v>
      </c>
      <c r="N51" s="547"/>
      <c r="O51" s="547"/>
      <c r="R51" s="302"/>
      <c r="S51" s="302"/>
      <c r="T51" s="302"/>
      <c r="U51" s="302"/>
      <c r="V51" s="302"/>
      <c r="W51" s="302"/>
      <c r="X51" s="302"/>
      <c r="Y51" s="302"/>
      <c r="Z51" s="302"/>
    </row>
    <row r="52" spans="1:26" x14ac:dyDescent="0.2">
      <c r="A52" s="239" t="s">
        <v>118</v>
      </c>
      <c r="B52" s="452">
        <v>16571</v>
      </c>
      <c r="C52" s="453">
        <v>1964</v>
      </c>
      <c r="D52" s="453">
        <v>411</v>
      </c>
      <c r="E52" s="453">
        <v>67</v>
      </c>
      <c r="F52" s="453">
        <v>23</v>
      </c>
      <c r="G52" s="453">
        <v>4</v>
      </c>
      <c r="H52" s="453">
        <v>1</v>
      </c>
      <c r="I52" s="453">
        <v>0</v>
      </c>
      <c r="J52" s="453">
        <v>0</v>
      </c>
      <c r="K52" s="453">
        <v>0</v>
      </c>
      <c r="L52" s="454">
        <v>1.163069166535371</v>
      </c>
      <c r="M52" s="455">
        <v>19041</v>
      </c>
      <c r="N52" s="547"/>
      <c r="O52" s="547"/>
      <c r="R52" s="302"/>
      <c r="S52" s="302"/>
      <c r="T52" s="302"/>
      <c r="U52" s="302"/>
      <c r="V52" s="302"/>
      <c r="W52" s="302"/>
      <c r="X52" s="302"/>
      <c r="Y52" s="302"/>
      <c r="Z52" s="302"/>
    </row>
    <row r="53" spans="1:26" x14ac:dyDescent="0.2">
      <c r="A53" s="239" t="s">
        <v>121</v>
      </c>
      <c r="B53" s="452">
        <v>15158</v>
      </c>
      <c r="C53" s="453">
        <v>2108</v>
      </c>
      <c r="D53" s="453">
        <v>458</v>
      </c>
      <c r="E53" s="453">
        <v>103</v>
      </c>
      <c r="F53" s="453">
        <v>29</v>
      </c>
      <c r="G53" s="453">
        <v>4</v>
      </c>
      <c r="H53" s="453">
        <v>3</v>
      </c>
      <c r="I53" s="453">
        <v>1</v>
      </c>
      <c r="J53" s="453">
        <v>0</v>
      </c>
      <c r="K53" s="453">
        <v>0</v>
      </c>
      <c r="L53" s="454">
        <v>1.1955888938647559</v>
      </c>
      <c r="M53" s="455">
        <v>17864</v>
      </c>
      <c r="N53" s="547"/>
      <c r="O53" s="547"/>
      <c r="R53" s="302"/>
      <c r="S53" s="302"/>
      <c r="T53" s="302"/>
      <c r="U53" s="302"/>
      <c r="V53" s="302"/>
      <c r="W53" s="302"/>
      <c r="X53" s="302"/>
      <c r="Y53" s="302"/>
      <c r="Z53" s="302"/>
    </row>
    <row r="54" spans="1:26" x14ac:dyDescent="0.2">
      <c r="A54" s="239" t="s">
        <v>132</v>
      </c>
      <c r="B54" s="452">
        <v>15019</v>
      </c>
      <c r="C54" s="453">
        <v>2025</v>
      </c>
      <c r="D54" s="453">
        <v>399</v>
      </c>
      <c r="E54" s="453">
        <v>107</v>
      </c>
      <c r="F54" s="453">
        <v>40</v>
      </c>
      <c r="G54" s="453">
        <v>9</v>
      </c>
      <c r="H54" s="453">
        <v>5</v>
      </c>
      <c r="I54" s="453">
        <v>1</v>
      </c>
      <c r="J54" s="453">
        <v>0</v>
      </c>
      <c r="K54" s="453">
        <v>0</v>
      </c>
      <c r="L54" s="454">
        <f>+O3*1000/M54</f>
        <v>1.1923317239420619</v>
      </c>
      <c r="M54" s="455">
        <v>17605</v>
      </c>
      <c r="N54" s="547"/>
      <c r="O54" s="547"/>
      <c r="P54" s="3"/>
      <c r="Q54" s="3"/>
    </row>
    <row r="55" spans="1:26" x14ac:dyDescent="0.2">
      <c r="A55" s="239" t="s">
        <v>134</v>
      </c>
      <c r="B55" s="452">
        <v>14725</v>
      </c>
      <c r="C55" s="453">
        <v>2023</v>
      </c>
      <c r="D55" s="453">
        <v>459</v>
      </c>
      <c r="E55" s="453">
        <v>110</v>
      </c>
      <c r="F55" s="453">
        <v>36</v>
      </c>
      <c r="G55" s="453">
        <v>6</v>
      </c>
      <c r="H55" s="453">
        <v>4</v>
      </c>
      <c r="I55" s="453">
        <v>1</v>
      </c>
      <c r="J55" s="453">
        <v>0</v>
      </c>
      <c r="K55" s="453">
        <v>0</v>
      </c>
      <c r="L55" s="454">
        <v>1.2011044638748274</v>
      </c>
      <c r="M55" s="455">
        <v>17384</v>
      </c>
      <c r="N55" s="547"/>
      <c r="O55" s="547"/>
      <c r="P55" s="3"/>
      <c r="Q55" s="3"/>
    </row>
    <row r="56" spans="1:26" x14ac:dyDescent="0.2">
      <c r="A56" s="239" t="s">
        <v>137</v>
      </c>
      <c r="B56" s="452">
        <v>13583</v>
      </c>
      <c r="C56" s="453">
        <v>1873</v>
      </c>
      <c r="D56" s="453">
        <v>445</v>
      </c>
      <c r="E56" s="453">
        <v>108</v>
      </c>
      <c r="F56" s="453">
        <v>29</v>
      </c>
      <c r="G56" s="453">
        <v>9</v>
      </c>
      <c r="H56" s="453">
        <v>2</v>
      </c>
      <c r="I56" s="453">
        <v>0</v>
      </c>
      <c r="J56" s="453">
        <v>1</v>
      </c>
      <c r="K56" s="453">
        <v>0</v>
      </c>
      <c r="L56" s="454">
        <f>Q3/Q4</f>
        <v>1.203613707165109</v>
      </c>
      <c r="M56" s="455">
        <f t="shared" ref="M56:M63" si="28">SUM(B56:K56)</f>
        <v>16050</v>
      </c>
      <c r="N56" s="547"/>
      <c r="O56" s="547"/>
      <c r="P56" s="3"/>
      <c r="Q56" s="3"/>
    </row>
    <row r="57" spans="1:26" x14ac:dyDescent="0.2">
      <c r="A57" s="239" t="s">
        <v>139</v>
      </c>
      <c r="B57" s="452">
        <v>12152</v>
      </c>
      <c r="C57" s="453">
        <v>1706</v>
      </c>
      <c r="D57" s="453">
        <v>396</v>
      </c>
      <c r="E57" s="453">
        <v>102</v>
      </c>
      <c r="F57" s="453">
        <v>28</v>
      </c>
      <c r="G57" s="453">
        <v>9</v>
      </c>
      <c r="H57" s="453">
        <v>3</v>
      </c>
      <c r="I57" s="453">
        <v>0</v>
      </c>
      <c r="J57" s="453">
        <v>0</v>
      </c>
      <c r="K57" s="453">
        <v>1</v>
      </c>
      <c r="L57" s="454">
        <f>R3/R4</f>
        <v>1.2075432381746198</v>
      </c>
      <c r="M57" s="455">
        <f t="shared" si="28"/>
        <v>14397</v>
      </c>
      <c r="N57" s="547"/>
      <c r="O57" s="547"/>
      <c r="P57" s="3"/>
      <c r="Q57" s="3"/>
    </row>
    <row r="58" spans="1:26" x14ac:dyDescent="0.2">
      <c r="A58" s="239" t="s">
        <v>142</v>
      </c>
      <c r="B58" s="452">
        <v>10860</v>
      </c>
      <c r="C58" s="453">
        <v>1454</v>
      </c>
      <c r="D58" s="453">
        <v>299</v>
      </c>
      <c r="E58" s="453">
        <v>68</v>
      </c>
      <c r="F58" s="453">
        <v>12</v>
      </c>
      <c r="G58" s="453">
        <v>3</v>
      </c>
      <c r="H58" s="453">
        <v>3</v>
      </c>
      <c r="I58" s="453">
        <v>0</v>
      </c>
      <c r="J58" s="453">
        <v>0</v>
      </c>
      <c r="K58" s="453">
        <v>0</v>
      </c>
      <c r="L58" s="454">
        <f>S3/S4</f>
        <v>1.1840302386014647</v>
      </c>
      <c r="M58" s="455">
        <f t="shared" si="28"/>
        <v>12699</v>
      </c>
      <c r="N58" s="547"/>
      <c r="O58" s="547"/>
      <c r="P58" s="3"/>
      <c r="Q58" s="3"/>
    </row>
    <row r="59" spans="1:26" x14ac:dyDescent="0.2">
      <c r="A59" s="239" t="str">
        <f>T2</f>
        <v>2017/18</v>
      </c>
      <c r="B59" s="452">
        <v>10178</v>
      </c>
      <c r="C59" s="453">
        <v>1222</v>
      </c>
      <c r="D59" s="453">
        <v>261</v>
      </c>
      <c r="E59" s="453">
        <v>47</v>
      </c>
      <c r="F59" s="453">
        <v>11</v>
      </c>
      <c r="G59" s="453">
        <v>11</v>
      </c>
      <c r="H59" s="453">
        <v>1</v>
      </c>
      <c r="I59" s="453">
        <v>0</v>
      </c>
      <c r="J59" s="453">
        <v>0</v>
      </c>
      <c r="K59" s="453">
        <v>1</v>
      </c>
      <c r="L59" s="454">
        <f>T3/T4</f>
        <v>1.1714115240368224</v>
      </c>
      <c r="M59" s="455">
        <f t="shared" si="28"/>
        <v>11732</v>
      </c>
      <c r="N59" s="547"/>
      <c r="O59" s="547"/>
      <c r="P59" s="3"/>
      <c r="Q59" s="3"/>
    </row>
    <row r="60" spans="1:26" x14ac:dyDescent="0.2">
      <c r="A60" s="591" t="str">
        <f>U2</f>
        <v>2018/19</v>
      </c>
      <c r="B60" s="452">
        <v>9551</v>
      </c>
      <c r="C60" s="453">
        <v>1167</v>
      </c>
      <c r="D60" s="453">
        <v>212</v>
      </c>
      <c r="E60" s="453">
        <v>60</v>
      </c>
      <c r="F60" s="453">
        <v>11</v>
      </c>
      <c r="G60" s="453">
        <v>3</v>
      </c>
      <c r="H60" s="453">
        <v>1</v>
      </c>
      <c r="I60" s="453">
        <v>0</v>
      </c>
      <c r="J60" s="453">
        <v>1</v>
      </c>
      <c r="K60" s="453">
        <v>0</v>
      </c>
      <c r="L60" s="454">
        <f>U3/U4</f>
        <v>1.1675449754679266</v>
      </c>
      <c r="M60" s="455">
        <f t="shared" si="28"/>
        <v>11006</v>
      </c>
      <c r="N60" s="547"/>
      <c r="O60" s="547"/>
      <c r="P60" s="3"/>
      <c r="Q60" s="3"/>
    </row>
    <row r="61" spans="1:26" x14ac:dyDescent="0.2">
      <c r="A61" s="591" t="str">
        <f>V2</f>
        <v>2019/20</v>
      </c>
      <c r="B61" s="452">
        <v>9311</v>
      </c>
      <c r="C61" s="453">
        <v>1248</v>
      </c>
      <c r="D61" s="453">
        <v>264</v>
      </c>
      <c r="E61" s="453">
        <v>58</v>
      </c>
      <c r="F61" s="453">
        <v>21</v>
      </c>
      <c r="G61" s="453">
        <v>8</v>
      </c>
      <c r="H61" s="453">
        <v>2</v>
      </c>
      <c r="I61" s="453">
        <v>2</v>
      </c>
      <c r="J61" s="453">
        <v>1</v>
      </c>
      <c r="K61" s="453">
        <v>1</v>
      </c>
      <c r="L61" s="454">
        <f>V3/V4</f>
        <v>1.1954012458776107</v>
      </c>
      <c r="M61" s="455">
        <f t="shared" si="28"/>
        <v>10916</v>
      </c>
      <c r="N61" s="547"/>
      <c r="O61" s="547"/>
      <c r="P61" s="3"/>
      <c r="Q61" s="3"/>
    </row>
    <row r="62" spans="1:26" x14ac:dyDescent="0.2">
      <c r="A62" s="591" t="str">
        <f>W2</f>
        <v>2020/21</v>
      </c>
      <c r="B62" s="452">
        <v>9804</v>
      </c>
      <c r="C62" s="453">
        <v>1347</v>
      </c>
      <c r="D62" s="453">
        <v>290</v>
      </c>
      <c r="E62" s="453">
        <v>83</v>
      </c>
      <c r="F62" s="453">
        <v>18</v>
      </c>
      <c r="G62" s="453">
        <v>5</v>
      </c>
      <c r="H62" s="453">
        <v>5</v>
      </c>
      <c r="I62" s="453">
        <v>2</v>
      </c>
      <c r="J62" s="453">
        <v>0</v>
      </c>
      <c r="K62" s="453">
        <v>0</v>
      </c>
      <c r="L62" s="454">
        <f>W3/W4</f>
        <v>1.2289250476025619</v>
      </c>
      <c r="M62" s="455">
        <f t="shared" si="28"/>
        <v>11554</v>
      </c>
      <c r="N62" s="547"/>
      <c r="O62" s="547"/>
      <c r="P62" s="3"/>
      <c r="Q62" s="3"/>
    </row>
    <row r="63" spans="1:26" ht="13.5" thickBot="1" x14ac:dyDescent="0.25">
      <c r="A63" s="589" t="str">
        <f>X2</f>
        <v>2021/22</v>
      </c>
      <c r="B63" s="200">
        <v>11165</v>
      </c>
      <c r="C63" s="201">
        <v>1914</v>
      </c>
      <c r="D63" s="201">
        <v>420</v>
      </c>
      <c r="E63" s="201">
        <v>145</v>
      </c>
      <c r="F63" s="201">
        <v>42</v>
      </c>
      <c r="G63" s="201">
        <v>16</v>
      </c>
      <c r="H63" s="201">
        <v>6</v>
      </c>
      <c r="I63" s="201">
        <v>2</v>
      </c>
      <c r="J63" s="201">
        <v>3</v>
      </c>
      <c r="K63" s="201">
        <v>3</v>
      </c>
      <c r="L63" s="385">
        <f>X3/X4</f>
        <v>1.2763925342665501</v>
      </c>
      <c r="M63" s="120">
        <f t="shared" si="28"/>
        <v>13716</v>
      </c>
      <c r="N63" s="547"/>
      <c r="O63" s="547"/>
      <c r="P63" s="3"/>
      <c r="Q63" s="3"/>
    </row>
    <row r="64" spans="1:26" ht="13.5" thickTop="1" x14ac:dyDescent="0.2">
      <c r="A64" s="87"/>
      <c r="B64" s="338"/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8"/>
      <c r="N64" s="338"/>
      <c r="O64" s="338"/>
      <c r="P64" s="3"/>
      <c r="Q64" s="3"/>
    </row>
    <row r="65" spans="1:26" ht="13.5" thickBot="1" x14ac:dyDescent="0.25">
      <c r="A65" s="25" t="s">
        <v>158</v>
      </c>
      <c r="B65" s="339"/>
      <c r="C65" s="339"/>
      <c r="D65" s="339"/>
      <c r="E65" s="339"/>
      <c r="F65" s="339"/>
      <c r="G65" s="339"/>
      <c r="H65" s="339"/>
      <c r="I65" s="339"/>
      <c r="J65" s="339"/>
      <c r="K65" s="339"/>
      <c r="M65" s="339"/>
      <c r="N65" s="339"/>
      <c r="O65" s="339"/>
      <c r="P65" s="3"/>
      <c r="Q65" s="3"/>
    </row>
    <row r="66" spans="1:26" ht="13.5" thickTop="1" x14ac:dyDescent="0.2">
      <c r="A66" s="14"/>
      <c r="B66" s="434" t="s">
        <v>0</v>
      </c>
      <c r="C66" s="357"/>
      <c r="D66" s="357"/>
      <c r="E66" s="357"/>
      <c r="F66" s="357"/>
      <c r="G66" s="357"/>
      <c r="H66" s="357"/>
      <c r="I66" s="357"/>
      <c r="J66" s="357"/>
      <c r="K66" s="561"/>
      <c r="L66" s="16" t="s">
        <v>49</v>
      </c>
      <c r="Z66" s="302"/>
    </row>
    <row r="67" spans="1:26" ht="13.5" thickBot="1" x14ac:dyDescent="0.25">
      <c r="A67" s="15"/>
      <c r="B67" s="88">
        <v>1</v>
      </c>
      <c r="C67" s="89">
        <v>2</v>
      </c>
      <c r="D67" s="89">
        <v>3</v>
      </c>
      <c r="E67" s="89">
        <v>4</v>
      </c>
      <c r="F67" s="89">
        <v>5</v>
      </c>
      <c r="G67" s="89">
        <v>6</v>
      </c>
      <c r="H67" s="89">
        <v>7</v>
      </c>
      <c r="I67" s="89">
        <v>8</v>
      </c>
      <c r="J67" s="90">
        <v>9</v>
      </c>
      <c r="K67" s="560" t="s">
        <v>6</v>
      </c>
      <c r="L67" s="1"/>
      <c r="Z67" s="302"/>
    </row>
    <row r="68" spans="1:26" ht="13.5" thickTop="1" x14ac:dyDescent="0.2">
      <c r="A68" s="221" t="s">
        <v>11</v>
      </c>
      <c r="B68" s="565">
        <v>0.69137713331432527</v>
      </c>
      <c r="C68" s="566">
        <v>0.20296525599771903</v>
      </c>
      <c r="D68" s="566">
        <v>7.3316769174371715E-2</v>
      </c>
      <c r="E68" s="566">
        <v>2.2850393059345851E-2</v>
      </c>
      <c r="F68" s="566">
        <v>5.8246099955195311E-3</v>
      </c>
      <c r="G68" s="566">
        <v>2.2809661520915643E-3</v>
      </c>
      <c r="H68" s="562">
        <v>6.924361533135107E-4</v>
      </c>
      <c r="I68" s="562">
        <v>3.6658384587185858E-4</v>
      </c>
      <c r="J68" s="563">
        <v>1.6292615372082603E-4</v>
      </c>
      <c r="K68" s="564">
        <v>1.6292615372082603E-4</v>
      </c>
      <c r="L68" s="1"/>
      <c r="Z68" s="302"/>
    </row>
    <row r="69" spans="1:26" x14ac:dyDescent="0.2">
      <c r="A69" s="221" t="s">
        <v>4</v>
      </c>
      <c r="B69" s="565">
        <v>0.74049071790211607</v>
      </c>
      <c r="C69" s="566">
        <v>0.1789562508113722</v>
      </c>
      <c r="D69" s="566">
        <v>5.6341685057769701E-2</v>
      </c>
      <c r="E69" s="566">
        <v>1.5643255874334676E-2</v>
      </c>
      <c r="F69" s="566">
        <v>6.1015188887446449E-3</v>
      </c>
      <c r="G69" s="566">
        <v>1.2981955082435415E-3</v>
      </c>
      <c r="H69" s="562">
        <v>5.8418797870959363E-4</v>
      </c>
      <c r="I69" s="562">
        <v>3.8945865247306242E-4</v>
      </c>
      <c r="J69" s="563">
        <v>6.4909775412177079E-5</v>
      </c>
      <c r="K69" s="564">
        <v>1.2981955082435416E-4</v>
      </c>
      <c r="L69" s="1"/>
      <c r="Z69" s="302"/>
    </row>
    <row r="70" spans="1:26" x14ac:dyDescent="0.2">
      <c r="A70" s="221" t="s">
        <v>5</v>
      </c>
      <c r="B70" s="565">
        <v>0.73231950391259415</v>
      </c>
      <c r="C70" s="566">
        <v>0.18440868152960282</v>
      </c>
      <c r="D70" s="566">
        <v>5.7729218957625866E-2</v>
      </c>
      <c r="E70" s="566">
        <v>1.7766622373148286E-2</v>
      </c>
      <c r="F70" s="566">
        <v>4.8230720015748803E-3</v>
      </c>
      <c r="G70" s="566">
        <v>2.1162458782420395E-3</v>
      </c>
      <c r="H70" s="562">
        <v>5.9058024509080177E-4</v>
      </c>
      <c r="I70" s="562">
        <v>1.4764506127270044E-4</v>
      </c>
      <c r="J70" s="563">
        <v>9.8430040848466948E-5</v>
      </c>
      <c r="K70" s="564">
        <v>0</v>
      </c>
      <c r="L70" s="16"/>
      <c r="Z70" s="302"/>
    </row>
    <row r="71" spans="1:26" x14ac:dyDescent="0.2">
      <c r="A71" s="239" t="s">
        <v>41</v>
      </c>
      <c r="B71" s="565">
        <v>0.7613861386138614</v>
      </c>
      <c r="C71" s="566">
        <v>0.17412241224122413</v>
      </c>
      <c r="D71" s="566">
        <v>4.8154815481548152E-2</v>
      </c>
      <c r="E71" s="566">
        <v>1.2241224122412242E-2</v>
      </c>
      <c r="F71" s="566">
        <v>2.7902790279027904E-3</v>
      </c>
      <c r="G71" s="566">
        <v>8.100810081008101E-4</v>
      </c>
      <c r="H71" s="562">
        <v>4.5004500450045003E-4</v>
      </c>
      <c r="I71" s="562">
        <v>4.5004500450045003E-5</v>
      </c>
      <c r="J71" s="563">
        <v>0</v>
      </c>
      <c r="K71" s="564">
        <v>0</v>
      </c>
      <c r="L71" s="16"/>
      <c r="Z71" s="302"/>
    </row>
    <row r="72" spans="1:26" x14ac:dyDescent="0.2">
      <c r="A72" s="239" t="s">
        <v>53</v>
      </c>
      <c r="B72" s="565">
        <v>0.75216730350466332</v>
      </c>
      <c r="C72" s="566">
        <v>0.17683553145157976</v>
      </c>
      <c r="D72" s="566">
        <v>5.3042442171001271E-2</v>
      </c>
      <c r="E72" s="566">
        <v>1.3887176958790418E-2</v>
      </c>
      <c r="F72" s="566">
        <v>2.999301532519824E-3</v>
      </c>
      <c r="G72" s="566">
        <v>7.8064012490241998E-4</v>
      </c>
      <c r="H72" s="562">
        <v>1.6434528945314105E-4</v>
      </c>
      <c r="I72" s="562">
        <v>8.2172644726570524E-5</v>
      </c>
      <c r="J72" s="563">
        <v>4.1086322363285262E-5</v>
      </c>
      <c r="K72" s="564">
        <v>0</v>
      </c>
      <c r="L72" s="16"/>
      <c r="Z72" s="302"/>
    </row>
    <row r="73" spans="1:26" x14ac:dyDescent="0.2">
      <c r="A73" s="239" t="s">
        <v>54</v>
      </c>
      <c r="B73" s="565">
        <v>0.77120660354454962</v>
      </c>
      <c r="C73" s="566">
        <v>0.16698227725176013</v>
      </c>
      <c r="D73" s="566">
        <v>4.6370478271425104E-2</v>
      </c>
      <c r="E73" s="566">
        <v>1.1556202961883952E-2</v>
      </c>
      <c r="F73" s="566">
        <v>3.1075503763049283E-3</v>
      </c>
      <c r="G73" s="566">
        <v>4.8555474629764507E-4</v>
      </c>
      <c r="H73" s="562">
        <v>1.4566642388929351E-4</v>
      </c>
      <c r="I73" s="562">
        <v>4.8555474629764505E-5</v>
      </c>
      <c r="J73" s="563">
        <v>4.8555474629764505E-5</v>
      </c>
      <c r="K73" s="564">
        <v>4.8555474629764505E-5</v>
      </c>
      <c r="L73" s="340"/>
      <c r="Z73" s="302"/>
    </row>
    <row r="74" spans="1:26" x14ac:dyDescent="0.2">
      <c r="A74" s="239" t="s">
        <v>76</v>
      </c>
      <c r="B74" s="565">
        <v>0.78884831027210534</v>
      </c>
      <c r="C74" s="566">
        <v>0.15606193097062909</v>
      </c>
      <c r="D74" s="566">
        <v>4.2076024895838691E-2</v>
      </c>
      <c r="E74" s="566">
        <v>9.7731598168818469E-3</v>
      </c>
      <c r="F74" s="566">
        <v>2.4690087958438352E-3</v>
      </c>
      <c r="G74" s="566">
        <v>3.6006378272722595E-4</v>
      </c>
      <c r="H74" s="562">
        <v>3.0862609948047941E-4</v>
      </c>
      <c r="I74" s="562">
        <v>5.143768324674657E-5</v>
      </c>
      <c r="J74" s="563">
        <v>5.143768324674657E-5</v>
      </c>
      <c r="K74" s="564">
        <v>5.143768324674657E-5</v>
      </c>
      <c r="L74" s="16"/>
      <c r="Z74" s="302"/>
    </row>
    <row r="75" spans="1:26" x14ac:dyDescent="0.2">
      <c r="A75" s="239" t="s">
        <v>84</v>
      </c>
      <c r="B75" s="565">
        <v>0.83471218830109528</v>
      </c>
      <c r="C75" s="566">
        <v>0.11192029829876486</v>
      </c>
      <c r="D75" s="566">
        <v>2.3712421347005359E-2</v>
      </c>
      <c r="E75" s="566">
        <v>8.9140060591936607E-3</v>
      </c>
      <c r="F75" s="566">
        <v>5.41831740852948E-3</v>
      </c>
      <c r="G75" s="566">
        <v>4.0783034257748773E-3</v>
      </c>
      <c r="H75" s="562">
        <v>3.67047308319739E-3</v>
      </c>
      <c r="I75" s="562">
        <v>2.5052435329759961E-3</v>
      </c>
      <c r="J75" s="563">
        <v>1.5147984152878117E-3</v>
      </c>
      <c r="K75" s="564">
        <v>3.5539501281752505E-3</v>
      </c>
      <c r="L75" s="16"/>
      <c r="Z75" s="302"/>
    </row>
    <row r="76" spans="1:26" x14ac:dyDescent="0.2">
      <c r="A76" s="239" t="s">
        <v>87</v>
      </c>
      <c r="B76" s="565">
        <v>0.85918554106611755</v>
      </c>
      <c r="C76" s="566">
        <v>0.10312285518188058</v>
      </c>
      <c r="D76" s="566">
        <v>2.1619766643788608E-2</v>
      </c>
      <c r="E76" s="566">
        <v>7.5497597803706245E-3</v>
      </c>
      <c r="F76" s="566">
        <v>4.0036604895904828E-3</v>
      </c>
      <c r="G76" s="566">
        <v>1.6014641958361931E-3</v>
      </c>
      <c r="H76" s="562">
        <v>8.0073209791809655E-4</v>
      </c>
      <c r="I76" s="562">
        <v>9.7231754747197432E-4</v>
      </c>
      <c r="J76" s="563">
        <v>5.1475634866163353E-4</v>
      </c>
      <c r="K76" s="564">
        <v>6.2914664836421867E-4</v>
      </c>
      <c r="L76" s="46"/>
      <c r="Z76" s="302"/>
    </row>
    <row r="77" spans="1:26" x14ac:dyDescent="0.2">
      <c r="A77" s="234" t="s">
        <v>89</v>
      </c>
      <c r="B77" s="565">
        <v>0.88984014847632198</v>
      </c>
      <c r="C77" s="566">
        <v>9.2199006166556907E-2</v>
      </c>
      <c r="D77" s="566">
        <v>1.5266718553553254E-2</v>
      </c>
      <c r="E77" s="566">
        <v>2.1553014428545769E-3</v>
      </c>
      <c r="F77" s="566">
        <v>5.3882536071364422E-4</v>
      </c>
      <c r="G77" s="566">
        <v>0</v>
      </c>
      <c r="H77" s="562">
        <v>0</v>
      </c>
      <c r="I77" s="562">
        <v>0</v>
      </c>
      <c r="J77" s="563">
        <v>0</v>
      </c>
      <c r="K77" s="564">
        <v>0</v>
      </c>
      <c r="L77" s="46"/>
      <c r="P77" s="302"/>
      <c r="Q77" s="302"/>
      <c r="R77" s="302"/>
      <c r="S77" s="302"/>
      <c r="T77" s="302"/>
      <c r="U77" s="302"/>
      <c r="V77" s="302"/>
      <c r="W77" s="302"/>
      <c r="X77" s="302"/>
      <c r="Y77" s="302"/>
      <c r="Z77" s="302"/>
    </row>
    <row r="78" spans="1:26" ht="12.75" customHeight="1" x14ac:dyDescent="0.2">
      <c r="A78" s="234" t="s">
        <v>108</v>
      </c>
      <c r="B78" s="565">
        <v>0.86895343580470163</v>
      </c>
      <c r="C78" s="566">
        <v>0.10488245931283906</v>
      </c>
      <c r="D78" s="566">
        <v>2.0061030741410489E-2</v>
      </c>
      <c r="E78" s="566">
        <v>4.7468354430379748E-3</v>
      </c>
      <c r="F78" s="566">
        <v>9.0415913200723324E-4</v>
      </c>
      <c r="G78" s="566">
        <v>1.6952983725135624E-4</v>
      </c>
      <c r="H78" s="562">
        <v>2.8254972875226041E-4</v>
      </c>
      <c r="I78" s="562">
        <v>0</v>
      </c>
      <c r="J78" s="563">
        <v>0</v>
      </c>
      <c r="K78" s="564">
        <v>0</v>
      </c>
      <c r="L78" s="46"/>
      <c r="P78" s="302"/>
      <c r="Q78" s="302"/>
      <c r="R78" s="302"/>
      <c r="S78" s="302"/>
      <c r="T78" s="302"/>
      <c r="U78" s="302"/>
      <c r="V78" s="302"/>
      <c r="W78" s="302"/>
      <c r="X78" s="302"/>
      <c r="Y78" s="302"/>
      <c r="Z78" s="302"/>
    </row>
    <row r="79" spans="1:26" ht="12.75" customHeight="1" x14ac:dyDescent="0.2">
      <c r="A79" s="234" t="s">
        <v>118</v>
      </c>
      <c r="B79" s="565">
        <v>0.87027992227298989</v>
      </c>
      <c r="C79" s="566">
        <v>0.10314584318050522</v>
      </c>
      <c r="D79" s="566">
        <v>2.1585000787773753E-2</v>
      </c>
      <c r="E79" s="566">
        <v>3.5187227561577646E-3</v>
      </c>
      <c r="F79" s="566">
        <v>1.2079197521138595E-3</v>
      </c>
      <c r="G79" s="566">
        <v>2.1007300036762774E-4</v>
      </c>
      <c r="H79" s="562">
        <v>5.2518250091906935E-5</v>
      </c>
      <c r="I79" s="562">
        <v>0</v>
      </c>
      <c r="J79" s="563">
        <v>0</v>
      </c>
      <c r="K79" s="564"/>
      <c r="L79" s="46"/>
      <c r="P79" s="302"/>
      <c r="Q79" s="302"/>
      <c r="R79" s="302"/>
      <c r="S79" s="302"/>
      <c r="T79" s="302"/>
      <c r="U79" s="302"/>
      <c r="V79" s="302"/>
      <c r="W79" s="302"/>
      <c r="X79" s="302"/>
      <c r="Y79" s="302"/>
      <c r="Z79" s="302"/>
    </row>
    <row r="80" spans="1:26" ht="12.75" customHeight="1" x14ac:dyDescent="0.2">
      <c r="A80" s="234" t="s">
        <v>133</v>
      </c>
      <c r="B80" s="565">
        <f t="shared" ref="B80:K80" si="29">+B53/$M53</f>
        <v>0.84852216748768472</v>
      </c>
      <c r="C80" s="566">
        <f t="shared" si="29"/>
        <v>0.11800268696820421</v>
      </c>
      <c r="D80" s="566">
        <f t="shared" si="29"/>
        <v>2.5638154948499775E-2</v>
      </c>
      <c r="E80" s="566">
        <f t="shared" si="29"/>
        <v>5.7657859381997313E-3</v>
      </c>
      <c r="F80" s="566">
        <f t="shared" si="29"/>
        <v>1.6233766233766235E-3</v>
      </c>
      <c r="G80" s="566">
        <f t="shared" si="29"/>
        <v>2.2391401701746529E-4</v>
      </c>
      <c r="H80" s="562">
        <f t="shared" si="29"/>
        <v>1.6793551276309896E-4</v>
      </c>
      <c r="I80" s="562">
        <f t="shared" si="29"/>
        <v>5.5978504254366322E-5</v>
      </c>
      <c r="J80" s="563">
        <f t="shared" si="29"/>
        <v>0</v>
      </c>
      <c r="K80" s="564">
        <f t="shared" si="29"/>
        <v>0</v>
      </c>
      <c r="L80" s="46"/>
      <c r="P80" s="302"/>
      <c r="Q80" s="302"/>
      <c r="R80" s="302"/>
      <c r="S80" s="302"/>
      <c r="T80" s="302"/>
      <c r="U80" s="302"/>
      <c r="V80" s="302"/>
      <c r="W80" s="302"/>
      <c r="X80" s="302"/>
      <c r="Y80" s="302"/>
      <c r="Z80" s="302"/>
    </row>
    <row r="81" spans="1:26" ht="12.75" customHeight="1" x14ac:dyDescent="0.2">
      <c r="A81" s="234" t="s">
        <v>132</v>
      </c>
      <c r="B81" s="565">
        <f t="shared" ref="B81:K81" si="30">+B54/$M54</f>
        <v>0.85310991195683039</v>
      </c>
      <c r="C81" s="566">
        <f t="shared" si="30"/>
        <v>0.11502414086907128</v>
      </c>
      <c r="D81" s="566">
        <f t="shared" si="30"/>
        <v>2.2664015904572565E-2</v>
      </c>
      <c r="E81" s="566">
        <f t="shared" si="30"/>
        <v>6.0778188014768532E-3</v>
      </c>
      <c r="F81" s="566">
        <f t="shared" si="30"/>
        <v>2.272081794944618E-3</v>
      </c>
      <c r="G81" s="566">
        <f t="shared" si="30"/>
        <v>5.1121840386253903E-4</v>
      </c>
      <c r="H81" s="562">
        <f t="shared" si="30"/>
        <v>2.8401022436807724E-4</v>
      </c>
      <c r="I81" s="562">
        <f t="shared" si="30"/>
        <v>5.6802044873615453E-5</v>
      </c>
      <c r="J81" s="563">
        <f t="shared" si="30"/>
        <v>0</v>
      </c>
      <c r="K81" s="564">
        <f t="shared" si="30"/>
        <v>0</v>
      </c>
      <c r="L81" s="46"/>
      <c r="P81" s="302"/>
      <c r="Q81" s="302"/>
      <c r="R81" s="302"/>
      <c r="S81" s="302"/>
      <c r="T81" s="302"/>
      <c r="U81" s="302"/>
      <c r="V81" s="302"/>
      <c r="W81" s="302"/>
      <c r="X81" s="302"/>
      <c r="Y81" s="302"/>
      <c r="Z81" s="302"/>
    </row>
    <row r="82" spans="1:26" ht="12.75" customHeight="1" x14ac:dyDescent="0.2">
      <c r="A82" s="234" t="s">
        <v>134</v>
      </c>
      <c r="B82" s="565">
        <f t="shared" ref="B82:K82" si="31">+B55/$M55</f>
        <v>0.84704325816843073</v>
      </c>
      <c r="C82" s="566">
        <f t="shared" si="31"/>
        <v>0.11637137597791072</v>
      </c>
      <c r="D82" s="566">
        <f t="shared" si="31"/>
        <v>2.6403589507593188E-2</v>
      </c>
      <c r="E82" s="566">
        <f t="shared" si="31"/>
        <v>6.3276576161988033E-3</v>
      </c>
      <c r="F82" s="566">
        <f t="shared" si="31"/>
        <v>2.0708697653014268E-3</v>
      </c>
      <c r="G82" s="566">
        <f t="shared" si="31"/>
        <v>3.4514496088357109E-4</v>
      </c>
      <c r="H82" s="562">
        <f t="shared" si="31"/>
        <v>2.3009664058904741E-4</v>
      </c>
      <c r="I82" s="562">
        <f t="shared" si="31"/>
        <v>5.7524160147261853E-5</v>
      </c>
      <c r="J82" s="563">
        <f t="shared" si="31"/>
        <v>0</v>
      </c>
      <c r="K82" s="564">
        <f t="shared" si="31"/>
        <v>0</v>
      </c>
      <c r="L82" s="46"/>
      <c r="P82" s="302"/>
      <c r="Q82" s="302"/>
      <c r="R82" s="302"/>
      <c r="S82" s="302"/>
      <c r="T82" s="302"/>
      <c r="U82" s="302"/>
      <c r="V82" s="302"/>
      <c r="W82" s="302"/>
      <c r="X82" s="302"/>
      <c r="Y82" s="302"/>
      <c r="Z82" s="302"/>
    </row>
    <row r="83" spans="1:26" ht="12.75" customHeight="1" x14ac:dyDescent="0.2">
      <c r="A83" s="234" t="s">
        <v>137</v>
      </c>
      <c r="B83" s="565">
        <f t="shared" ref="B83:K83" si="32">+B56/$M56</f>
        <v>0.84629283489096574</v>
      </c>
      <c r="C83" s="566">
        <f t="shared" si="32"/>
        <v>0.11669781931464175</v>
      </c>
      <c r="D83" s="566">
        <f t="shared" si="32"/>
        <v>2.7725856697819316E-2</v>
      </c>
      <c r="E83" s="566">
        <f t="shared" si="32"/>
        <v>6.7289719626168224E-3</v>
      </c>
      <c r="F83" s="566">
        <f t="shared" si="32"/>
        <v>1.8068535825545172E-3</v>
      </c>
      <c r="G83" s="566">
        <f t="shared" si="32"/>
        <v>5.6074766355140187E-4</v>
      </c>
      <c r="H83" s="562">
        <f t="shared" si="32"/>
        <v>1.2461059190031152E-4</v>
      </c>
      <c r="I83" s="562">
        <f t="shared" si="32"/>
        <v>0</v>
      </c>
      <c r="J83" s="563">
        <f t="shared" si="32"/>
        <v>6.230529595015576E-5</v>
      </c>
      <c r="K83" s="564">
        <f t="shared" si="32"/>
        <v>0</v>
      </c>
      <c r="L83" s="46"/>
      <c r="P83" s="302"/>
      <c r="Q83" s="302"/>
      <c r="R83" s="302"/>
      <c r="S83" s="302"/>
      <c r="T83" s="302"/>
      <c r="U83" s="302"/>
      <c r="V83" s="302"/>
      <c r="W83" s="302"/>
      <c r="X83" s="302"/>
      <c r="Y83" s="302"/>
      <c r="Z83" s="302"/>
    </row>
    <row r="84" spans="1:26" ht="12.75" customHeight="1" x14ac:dyDescent="0.2">
      <c r="A84" s="234" t="s">
        <v>139</v>
      </c>
      <c r="B84" s="565">
        <f t="shared" ref="B84:K84" si="33">+B57/$M57</f>
        <v>0.84406473570882823</v>
      </c>
      <c r="C84" s="566">
        <f t="shared" si="33"/>
        <v>0.1184969090782802</v>
      </c>
      <c r="D84" s="566">
        <f t="shared" si="33"/>
        <v>2.7505730360491767E-2</v>
      </c>
      <c r="E84" s="566">
        <f t="shared" si="33"/>
        <v>7.0848093352781829E-3</v>
      </c>
      <c r="F84" s="566">
        <f t="shared" si="33"/>
        <v>1.944849621448913E-3</v>
      </c>
      <c r="G84" s="566">
        <f t="shared" si="33"/>
        <v>6.2513023546572201E-4</v>
      </c>
      <c r="H84" s="562">
        <f t="shared" si="33"/>
        <v>2.0837674515524068E-4</v>
      </c>
      <c r="I84" s="562">
        <f t="shared" si="33"/>
        <v>0</v>
      </c>
      <c r="J84" s="563">
        <f t="shared" si="33"/>
        <v>0</v>
      </c>
      <c r="K84" s="564">
        <f t="shared" si="33"/>
        <v>6.9458915051746897E-5</v>
      </c>
      <c r="L84" s="46"/>
      <c r="P84" s="302"/>
      <c r="Q84" s="302"/>
      <c r="R84" s="302"/>
      <c r="S84" s="302"/>
      <c r="T84" s="302"/>
      <c r="U84" s="302"/>
      <c r="V84" s="302"/>
      <c r="W84" s="302"/>
      <c r="X84" s="302"/>
      <c r="Y84" s="302"/>
      <c r="Z84" s="302"/>
    </row>
    <row r="85" spans="1:26" ht="12.75" customHeight="1" x14ac:dyDescent="0.2">
      <c r="A85" s="234" t="s">
        <v>142</v>
      </c>
      <c r="B85" s="565">
        <f t="shared" ref="B85:K85" si="34">+B58/$M58</f>
        <v>0.85518544767304516</v>
      </c>
      <c r="C85" s="566">
        <f t="shared" si="34"/>
        <v>0.11449720450429168</v>
      </c>
      <c r="D85" s="566">
        <f t="shared" si="34"/>
        <v>2.3545161036302071E-2</v>
      </c>
      <c r="E85" s="566">
        <f t="shared" si="34"/>
        <v>5.3547523427041497E-3</v>
      </c>
      <c r="F85" s="566">
        <f t="shared" si="34"/>
        <v>9.4495629577132057E-4</v>
      </c>
      <c r="G85" s="566">
        <f t="shared" si="34"/>
        <v>2.3623907394283014E-4</v>
      </c>
      <c r="H85" s="562">
        <f t="shared" si="34"/>
        <v>2.3623907394283014E-4</v>
      </c>
      <c r="I85" s="562">
        <f t="shared" si="34"/>
        <v>0</v>
      </c>
      <c r="J85" s="563">
        <f t="shared" si="34"/>
        <v>0</v>
      </c>
      <c r="K85" s="564">
        <f t="shared" si="34"/>
        <v>0</v>
      </c>
      <c r="L85" s="46"/>
      <c r="P85" s="302"/>
      <c r="Q85" s="302"/>
      <c r="R85" s="302"/>
      <c r="S85" s="302"/>
      <c r="T85" s="302"/>
      <c r="U85" s="302"/>
      <c r="V85" s="302"/>
      <c r="W85" s="302"/>
      <c r="X85" s="302"/>
      <c r="Y85" s="302"/>
      <c r="Z85" s="302"/>
    </row>
    <row r="86" spans="1:26" ht="12.75" customHeight="1" x14ac:dyDescent="0.2">
      <c r="A86" s="234" t="str">
        <f>A59</f>
        <v>2017/18</v>
      </c>
      <c r="B86" s="565">
        <f t="shared" ref="B86:K86" si="35">+B59/$M59</f>
        <v>0.86754176610978517</v>
      </c>
      <c r="C86" s="566">
        <f t="shared" si="35"/>
        <v>0.10415956358677123</v>
      </c>
      <c r="D86" s="566">
        <f t="shared" si="35"/>
        <v>2.2246846232526422E-2</v>
      </c>
      <c r="E86" s="566">
        <f t="shared" si="35"/>
        <v>4.0061370610296621E-3</v>
      </c>
      <c r="F86" s="566">
        <f t="shared" si="35"/>
        <v>9.3760654619843165E-4</v>
      </c>
      <c r="G86" s="566">
        <f t="shared" si="35"/>
        <v>9.3760654619843165E-4</v>
      </c>
      <c r="H86" s="562">
        <f t="shared" si="35"/>
        <v>8.5236958745311963E-5</v>
      </c>
      <c r="I86" s="562">
        <f t="shared" si="35"/>
        <v>0</v>
      </c>
      <c r="J86" s="563">
        <f t="shared" si="35"/>
        <v>0</v>
      </c>
      <c r="K86" s="564">
        <f t="shared" si="35"/>
        <v>8.5236958745311963E-5</v>
      </c>
      <c r="L86" s="46"/>
      <c r="P86" s="302"/>
      <c r="Q86" s="302"/>
      <c r="R86" s="302"/>
      <c r="S86" s="302"/>
      <c r="T86" s="302"/>
      <c r="U86" s="302"/>
      <c r="V86" s="302"/>
      <c r="W86" s="302"/>
      <c r="X86" s="302"/>
      <c r="Y86" s="302"/>
      <c r="Z86" s="302"/>
    </row>
    <row r="87" spans="1:26" ht="12.75" customHeight="1" x14ac:dyDescent="0.2">
      <c r="A87" s="234" t="str">
        <f>A60</f>
        <v>2018/19</v>
      </c>
      <c r="B87" s="565">
        <f t="shared" ref="B87:K87" si="36">+B60/$M60</f>
        <v>0.86779938215518804</v>
      </c>
      <c r="C87" s="566">
        <f t="shared" si="36"/>
        <v>0.10603307286934399</v>
      </c>
      <c r="D87" s="566">
        <f t="shared" si="36"/>
        <v>1.9262220606941667E-2</v>
      </c>
      <c r="E87" s="566">
        <f t="shared" si="36"/>
        <v>5.4515718698891517E-3</v>
      </c>
      <c r="F87" s="566">
        <f t="shared" si="36"/>
        <v>9.994548428130111E-4</v>
      </c>
      <c r="G87" s="566">
        <f t="shared" si="36"/>
        <v>2.7257859349445756E-4</v>
      </c>
      <c r="H87" s="562">
        <f t="shared" si="36"/>
        <v>9.0859531164819192E-5</v>
      </c>
      <c r="I87" s="562">
        <f t="shared" si="36"/>
        <v>0</v>
      </c>
      <c r="J87" s="563">
        <f t="shared" si="36"/>
        <v>9.0859531164819192E-5</v>
      </c>
      <c r="K87" s="564">
        <f t="shared" si="36"/>
        <v>0</v>
      </c>
      <c r="L87" s="46"/>
      <c r="P87" s="302"/>
      <c r="Q87" s="302"/>
      <c r="R87" s="302"/>
      <c r="S87" s="302"/>
      <c r="T87" s="302"/>
      <c r="U87" s="302"/>
      <c r="V87" s="302"/>
      <c r="W87" s="302"/>
      <c r="X87" s="302"/>
      <c r="Y87" s="302"/>
      <c r="Z87" s="302"/>
    </row>
    <row r="88" spans="1:26" ht="12.75" customHeight="1" x14ac:dyDescent="0.2">
      <c r="A88" s="234" t="str">
        <f>A61</f>
        <v>2019/20</v>
      </c>
      <c r="B88" s="565">
        <f t="shared" ref="B88:K88" si="37">+B61/$M61</f>
        <v>0.85296812019054602</v>
      </c>
      <c r="C88" s="566">
        <f t="shared" si="37"/>
        <v>0.11432759252473433</v>
      </c>
      <c r="D88" s="566">
        <f t="shared" si="37"/>
        <v>2.4184683034078416E-2</v>
      </c>
      <c r="E88" s="566">
        <f t="shared" si="37"/>
        <v>5.313301575668743E-3</v>
      </c>
      <c r="F88" s="566">
        <f t="shared" si="37"/>
        <v>1.9237816049835104E-3</v>
      </c>
      <c r="G88" s="566">
        <f t="shared" si="37"/>
        <v>7.3286918285086111E-4</v>
      </c>
      <c r="H88" s="562">
        <f t="shared" si="37"/>
        <v>1.8321729571271528E-4</v>
      </c>
      <c r="I88" s="562">
        <f t="shared" si="37"/>
        <v>1.8321729571271528E-4</v>
      </c>
      <c r="J88" s="563">
        <f t="shared" si="37"/>
        <v>9.1608647856357639E-5</v>
      </c>
      <c r="K88" s="564">
        <f t="shared" si="37"/>
        <v>9.1608647856357639E-5</v>
      </c>
      <c r="L88" s="46"/>
      <c r="P88" s="302"/>
      <c r="Q88" s="302"/>
      <c r="R88" s="302"/>
      <c r="S88" s="302"/>
      <c r="T88" s="302"/>
      <c r="U88" s="302"/>
      <c r="V88" s="302"/>
      <c r="W88" s="302"/>
      <c r="X88" s="302"/>
      <c r="Y88" s="302"/>
      <c r="Z88" s="302"/>
    </row>
    <row r="89" spans="1:26" ht="12.75" customHeight="1" x14ac:dyDescent="0.2">
      <c r="A89" s="234" t="str">
        <f>A62</f>
        <v>2020/21</v>
      </c>
      <c r="B89" s="565">
        <f t="shared" ref="B89:K89" si="38">+B62/$M62</f>
        <v>0.84853730309849407</v>
      </c>
      <c r="C89" s="566">
        <f t="shared" si="38"/>
        <v>0.11658300155790202</v>
      </c>
      <c r="D89" s="566">
        <f t="shared" si="38"/>
        <v>2.5099532629392417E-2</v>
      </c>
      <c r="E89" s="566">
        <f t="shared" si="38"/>
        <v>7.1836593387571406E-3</v>
      </c>
      <c r="F89" s="566">
        <f t="shared" si="38"/>
        <v>1.5579020252726328E-3</v>
      </c>
      <c r="G89" s="566">
        <f t="shared" si="38"/>
        <v>4.3275056257573136E-4</v>
      </c>
      <c r="H89" s="562">
        <f t="shared" si="38"/>
        <v>4.3275056257573136E-4</v>
      </c>
      <c r="I89" s="562">
        <f t="shared" si="38"/>
        <v>1.7310022503029253E-4</v>
      </c>
      <c r="J89" s="563">
        <f t="shared" si="38"/>
        <v>0</v>
      </c>
      <c r="K89" s="564">
        <f t="shared" si="38"/>
        <v>0</v>
      </c>
      <c r="L89" s="46"/>
      <c r="P89" s="302"/>
      <c r="Q89" s="302"/>
      <c r="R89" s="302"/>
      <c r="S89" s="302"/>
      <c r="T89" s="302"/>
      <c r="U89" s="302"/>
      <c r="V89" s="302"/>
      <c r="W89" s="302"/>
      <c r="X89" s="302"/>
      <c r="Y89" s="302"/>
      <c r="Z89" s="302"/>
    </row>
    <row r="90" spans="1:26" ht="16.350000000000001" customHeight="1" thickBot="1" x14ac:dyDescent="0.25">
      <c r="A90" s="590" t="str">
        <f>A63</f>
        <v>2021/22</v>
      </c>
      <c r="B90" s="567">
        <f t="shared" ref="B90:K90" si="39">+B63/$M63</f>
        <v>0.81401283172936711</v>
      </c>
      <c r="C90" s="568">
        <f t="shared" si="39"/>
        <v>0.13954505686789151</v>
      </c>
      <c r="D90" s="568">
        <f t="shared" si="39"/>
        <v>3.0621172353455819E-2</v>
      </c>
      <c r="E90" s="568">
        <f t="shared" si="39"/>
        <v>1.0571595217264508E-2</v>
      </c>
      <c r="F90" s="568">
        <f t="shared" si="39"/>
        <v>3.0621172353455816E-3</v>
      </c>
      <c r="G90" s="568">
        <f t="shared" si="39"/>
        <v>1.1665208515602217E-3</v>
      </c>
      <c r="H90" s="569">
        <f t="shared" si="39"/>
        <v>4.3744531933508313E-4</v>
      </c>
      <c r="I90" s="569">
        <f t="shared" si="39"/>
        <v>1.4581510644502772E-4</v>
      </c>
      <c r="J90" s="570">
        <f t="shared" si="39"/>
        <v>2.1872265966754156E-4</v>
      </c>
      <c r="K90" s="571">
        <f t="shared" si="39"/>
        <v>2.1872265966754156E-4</v>
      </c>
      <c r="L90" s="46"/>
      <c r="P90" s="302"/>
      <c r="Q90" s="302"/>
      <c r="R90" s="302"/>
      <c r="S90" s="302"/>
      <c r="T90" s="302"/>
      <c r="U90" s="302"/>
      <c r="V90" s="302"/>
      <c r="W90" s="302"/>
      <c r="X90" s="302"/>
      <c r="Y90" s="302"/>
      <c r="Z90" s="302"/>
    </row>
    <row r="91" spans="1:26" ht="13.5" thickTop="1" x14ac:dyDescent="0.2">
      <c r="A91" s="16" t="s">
        <v>92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46"/>
      <c r="P91" s="302"/>
      <c r="Q91" s="302"/>
      <c r="R91" s="302"/>
      <c r="S91" s="302"/>
      <c r="T91" s="302"/>
      <c r="U91" s="302"/>
      <c r="V91" s="302"/>
      <c r="W91" s="302"/>
      <c r="X91" s="302"/>
      <c r="Y91" s="302"/>
      <c r="Z91" s="302"/>
    </row>
    <row r="92" spans="1:26" x14ac:dyDescent="0.2">
      <c r="A92" s="46"/>
      <c r="L92" s="316"/>
      <c r="M92" s="302"/>
      <c r="N92" s="302"/>
      <c r="O92" s="302"/>
      <c r="P92" s="302"/>
      <c r="Q92" s="302"/>
      <c r="R92" s="302"/>
      <c r="S92" s="302"/>
      <c r="T92" s="302"/>
      <c r="U92" s="302"/>
      <c r="V92" s="302"/>
      <c r="W92" s="302"/>
      <c r="X92" s="302"/>
      <c r="Y92" s="302"/>
      <c r="Z92" s="302"/>
    </row>
    <row r="93" spans="1:26" x14ac:dyDescent="0.2">
      <c r="A93" s="4"/>
      <c r="B93" s="489"/>
      <c r="C93" s="489"/>
      <c r="D93" s="489"/>
      <c r="E93" s="489"/>
      <c r="F93" s="489"/>
      <c r="G93" s="489"/>
      <c r="H93" s="489"/>
      <c r="I93" s="489"/>
      <c r="J93" s="489"/>
      <c r="L93" s="316"/>
      <c r="M93" s="302"/>
      <c r="N93" s="302"/>
      <c r="O93" s="302"/>
      <c r="P93" s="302"/>
      <c r="Q93" s="302"/>
      <c r="R93" s="302"/>
      <c r="S93" s="302"/>
      <c r="T93" s="302"/>
      <c r="U93" s="302"/>
      <c r="V93" s="302"/>
      <c r="W93" s="302"/>
      <c r="X93" s="302"/>
      <c r="Y93" s="302"/>
      <c r="Z93" s="302"/>
    </row>
    <row r="94" spans="1:26" x14ac:dyDescent="0.2">
      <c r="A94" s="17"/>
      <c r="L94" s="316"/>
      <c r="M94" s="302"/>
      <c r="N94" s="302"/>
      <c r="O94" s="302"/>
      <c r="P94" s="302"/>
      <c r="Q94" s="302"/>
      <c r="R94" s="302"/>
      <c r="S94" s="302"/>
      <c r="T94" s="302"/>
      <c r="U94" s="302"/>
      <c r="V94" s="302"/>
      <c r="W94" s="302"/>
      <c r="X94" s="302"/>
      <c r="Y94" s="302"/>
      <c r="Z94" s="302"/>
    </row>
    <row r="95" spans="1:26" x14ac:dyDescent="0.2">
      <c r="A95" s="17"/>
      <c r="B95" s="414"/>
      <c r="C95" s="414"/>
      <c r="D95" s="414"/>
      <c r="E95" s="414"/>
      <c r="F95" s="414"/>
      <c r="G95" s="414"/>
      <c r="L95" s="316"/>
      <c r="M95" s="302"/>
      <c r="N95" s="302"/>
      <c r="O95" s="302"/>
      <c r="P95" s="302"/>
      <c r="Q95" s="302"/>
      <c r="R95" s="302"/>
      <c r="S95" s="302"/>
      <c r="T95" s="302"/>
      <c r="U95" s="302"/>
    </row>
    <row r="96" spans="1:26" x14ac:dyDescent="0.2">
      <c r="A96" s="17"/>
      <c r="B96" s="415"/>
      <c r="C96" s="415"/>
      <c r="D96" s="415"/>
      <c r="E96" s="415"/>
      <c r="F96" s="415"/>
      <c r="G96" s="415"/>
      <c r="I96" s="410"/>
      <c r="J96" s="410"/>
      <c r="K96" s="410"/>
      <c r="L96" s="316"/>
      <c r="M96" s="302"/>
      <c r="N96" s="302"/>
      <c r="O96" s="302"/>
      <c r="P96" s="302"/>
      <c r="Q96" s="302"/>
      <c r="R96" s="302"/>
      <c r="S96" s="302"/>
      <c r="T96" s="302"/>
      <c r="U96" s="302"/>
    </row>
    <row r="97" spans="1:21" x14ac:dyDescent="0.2">
      <c r="A97" s="17"/>
      <c r="B97" s="415"/>
      <c r="C97" s="415"/>
      <c r="E97" s="415"/>
      <c r="F97" s="415"/>
      <c r="G97" s="415"/>
      <c r="I97" s="410"/>
      <c r="J97" s="410"/>
      <c r="K97" s="410"/>
      <c r="L97" s="316"/>
      <c r="M97" s="302"/>
      <c r="N97" s="302"/>
      <c r="O97" s="302"/>
      <c r="P97" s="302"/>
      <c r="Q97" s="302"/>
      <c r="R97" s="302"/>
      <c r="S97" s="302"/>
      <c r="T97" s="302"/>
      <c r="U97" s="302"/>
    </row>
    <row r="98" spans="1:21" x14ac:dyDescent="0.2">
      <c r="A98" s="17"/>
      <c r="B98" s="415"/>
      <c r="C98" s="415"/>
      <c r="E98" s="415"/>
      <c r="F98" s="415"/>
      <c r="G98" s="415"/>
      <c r="I98" s="410"/>
      <c r="J98" s="410"/>
      <c r="K98" s="410"/>
      <c r="L98" s="316"/>
      <c r="M98" s="302"/>
      <c r="N98" s="302"/>
      <c r="O98" s="302"/>
      <c r="P98" s="302"/>
      <c r="Q98" s="302"/>
      <c r="R98" s="302"/>
      <c r="S98" s="302"/>
      <c r="T98" s="302"/>
      <c r="U98" s="302"/>
    </row>
    <row r="99" spans="1:21" x14ac:dyDescent="0.2">
      <c r="A99" s="17"/>
      <c r="B99" s="415"/>
      <c r="C99" s="415"/>
      <c r="E99" s="415"/>
      <c r="F99" s="415"/>
      <c r="G99" s="415"/>
      <c r="K99" s="410"/>
      <c r="L99" s="316"/>
      <c r="M99" s="302"/>
      <c r="N99" s="302"/>
      <c r="O99" s="302"/>
      <c r="P99" s="302"/>
      <c r="Q99" s="302"/>
      <c r="R99" s="302"/>
      <c r="S99" s="302"/>
      <c r="T99" s="302"/>
      <c r="U99" s="302"/>
    </row>
    <row r="100" spans="1:21" x14ac:dyDescent="0.2">
      <c r="A100" s="17"/>
      <c r="B100" s="415"/>
      <c r="C100" s="415"/>
      <c r="E100" s="415"/>
      <c r="F100" s="415"/>
      <c r="G100" s="415"/>
      <c r="K100" s="410"/>
      <c r="L100" s="316"/>
      <c r="M100" s="302"/>
      <c r="N100" s="302"/>
      <c r="O100" s="302"/>
      <c r="P100" s="302"/>
      <c r="Q100" s="302"/>
      <c r="R100" s="302"/>
      <c r="S100" s="302"/>
      <c r="T100" s="302"/>
      <c r="U100" s="302"/>
    </row>
    <row r="101" spans="1:21" x14ac:dyDescent="0.2">
      <c r="B101" s="415"/>
      <c r="C101" s="415"/>
      <c r="E101" s="415"/>
      <c r="F101" s="415"/>
      <c r="G101" s="415"/>
      <c r="K101" s="410"/>
      <c r="L101" s="316"/>
      <c r="M101" s="302"/>
      <c r="N101" s="302"/>
      <c r="O101" s="302"/>
    </row>
    <row r="102" spans="1:21" x14ac:dyDescent="0.2">
      <c r="A102" s="17"/>
      <c r="B102" s="415"/>
      <c r="C102" s="415"/>
      <c r="E102" s="415"/>
      <c r="F102" s="415"/>
      <c r="G102" s="415"/>
      <c r="K102" s="410"/>
      <c r="L102" s="316"/>
      <c r="M102" s="302"/>
      <c r="N102" s="302"/>
      <c r="O102" s="302"/>
    </row>
    <row r="103" spans="1:21" x14ac:dyDescent="0.2">
      <c r="A103" s="17"/>
      <c r="B103" s="415"/>
      <c r="C103" s="415"/>
      <c r="E103" s="415"/>
      <c r="F103" s="415"/>
      <c r="G103" s="415"/>
      <c r="K103" s="410"/>
      <c r="L103" s="316"/>
      <c r="M103" s="302"/>
      <c r="N103" s="302"/>
      <c r="O103" s="302"/>
    </row>
    <row r="104" spans="1:21" x14ac:dyDescent="0.2">
      <c r="A104" s="17"/>
      <c r="B104" s="415"/>
      <c r="C104" s="415"/>
      <c r="E104" s="415"/>
      <c r="F104" s="415"/>
      <c r="G104" s="415"/>
      <c r="K104" s="410"/>
      <c r="L104" s="316"/>
      <c r="M104" s="302"/>
      <c r="N104" s="302"/>
      <c r="O104" s="302"/>
    </row>
    <row r="105" spans="1:21" x14ac:dyDescent="0.2">
      <c r="A105" s="17"/>
      <c r="B105" s="415"/>
      <c r="C105" s="415"/>
      <c r="E105" s="415"/>
      <c r="F105" s="415"/>
      <c r="G105" s="415"/>
      <c r="K105" s="410"/>
    </row>
    <row r="106" spans="1:21" x14ac:dyDescent="0.2">
      <c r="A106" s="17"/>
      <c r="B106" s="415"/>
      <c r="C106" s="415"/>
      <c r="E106" s="415"/>
      <c r="F106" s="415"/>
      <c r="G106" s="415"/>
      <c r="K106" s="410"/>
    </row>
    <row r="107" spans="1:21" x14ac:dyDescent="0.2">
      <c r="A107" s="17"/>
      <c r="B107" s="415"/>
      <c r="C107" s="415"/>
      <c r="E107" s="415"/>
      <c r="F107" s="415"/>
      <c r="G107" s="415"/>
      <c r="K107" s="410"/>
    </row>
    <row r="108" spans="1:21" x14ac:dyDescent="0.2">
      <c r="A108" s="17"/>
      <c r="B108" s="415"/>
      <c r="C108" s="415"/>
      <c r="E108" s="415"/>
      <c r="F108" s="415"/>
      <c r="G108" s="415"/>
      <c r="K108" s="410"/>
    </row>
    <row r="109" spans="1:21" x14ac:dyDescent="0.2">
      <c r="A109" s="17"/>
      <c r="B109" s="416"/>
      <c r="C109" s="416"/>
      <c r="E109" s="416"/>
      <c r="F109" s="416"/>
      <c r="G109" s="416"/>
      <c r="H109" s="17"/>
    </row>
    <row r="110" spans="1:21" x14ac:dyDescent="0.2">
      <c r="A110" s="17"/>
      <c r="B110" s="416"/>
      <c r="C110" s="416"/>
      <c r="E110" s="416"/>
      <c r="F110" s="416"/>
      <c r="G110" s="416"/>
      <c r="H110" s="17"/>
    </row>
    <row r="111" spans="1:21" x14ac:dyDescent="0.2">
      <c r="A111" s="17"/>
      <c r="B111" s="416"/>
      <c r="C111" s="416"/>
      <c r="E111" s="416"/>
      <c r="F111" s="416"/>
      <c r="G111" s="416"/>
      <c r="H111" s="17"/>
      <c r="I111" s="1"/>
      <c r="J111" s="1"/>
      <c r="K111" s="1"/>
      <c r="L111" s="1"/>
    </row>
    <row r="112" spans="1:21" x14ac:dyDescent="0.2">
      <c r="B112" s="414"/>
      <c r="C112" s="414"/>
      <c r="E112" s="414"/>
      <c r="F112" s="414"/>
      <c r="G112" s="414"/>
      <c r="H112" s="17"/>
      <c r="I112" s="1"/>
      <c r="J112" s="1"/>
      <c r="K112" s="1"/>
      <c r="L112" s="1"/>
    </row>
    <row r="113" spans="1:12" x14ac:dyDescent="0.2">
      <c r="B113" s="414"/>
      <c r="C113" s="414"/>
      <c r="E113" s="414"/>
      <c r="F113" s="414"/>
      <c r="G113" s="414"/>
      <c r="I113" s="1"/>
      <c r="J113" s="1"/>
      <c r="K113" s="1"/>
      <c r="L113" s="1"/>
    </row>
    <row r="114" spans="1:12" x14ac:dyDescent="0.2">
      <c r="B114" s="414"/>
      <c r="C114" s="414"/>
      <c r="E114" s="414"/>
      <c r="F114" s="414"/>
      <c r="G114" s="414"/>
      <c r="I114" s="1"/>
      <c r="J114" s="1"/>
      <c r="K114" s="1"/>
      <c r="L114" s="1"/>
    </row>
    <row r="115" spans="1:12" x14ac:dyDescent="0.2">
      <c r="B115" s="414"/>
      <c r="C115" s="414"/>
      <c r="E115" s="414"/>
      <c r="F115" s="414"/>
      <c r="G115" s="414"/>
      <c r="I115" s="1"/>
      <c r="J115" s="1"/>
      <c r="K115" s="1"/>
      <c r="L115" s="1"/>
    </row>
    <row r="116" spans="1:12" x14ac:dyDescent="0.2">
      <c r="B116" s="414"/>
      <c r="C116" s="414"/>
      <c r="E116" s="414"/>
      <c r="F116" s="414"/>
      <c r="G116" s="414"/>
      <c r="I116" s="1"/>
      <c r="J116" s="1"/>
      <c r="K116" s="1"/>
      <c r="L116" s="1"/>
    </row>
    <row r="117" spans="1:12" x14ac:dyDescent="0.2">
      <c r="B117" s="414"/>
      <c r="C117" s="414"/>
      <c r="E117" s="414"/>
      <c r="F117" s="414"/>
      <c r="G117" s="414"/>
      <c r="I117" s="1"/>
      <c r="J117" s="1"/>
      <c r="K117" s="1"/>
      <c r="L117" s="1"/>
    </row>
    <row r="118" spans="1:12" x14ac:dyDescent="0.2">
      <c r="B118" s="414"/>
      <c r="C118" s="414"/>
      <c r="E118" s="414"/>
      <c r="F118" s="414"/>
      <c r="G118" s="414"/>
      <c r="I118" s="1"/>
      <c r="J118" s="1"/>
      <c r="K118" s="1"/>
      <c r="L118" s="1"/>
    </row>
    <row r="119" spans="1:12" x14ac:dyDescent="0.2">
      <c r="B119" s="414"/>
      <c r="C119" s="414"/>
      <c r="E119" s="414"/>
      <c r="F119" s="414"/>
      <c r="G119" s="414"/>
      <c r="I119" s="1"/>
      <c r="J119" s="1"/>
      <c r="K119" s="1"/>
      <c r="L119" s="1"/>
    </row>
    <row r="120" spans="1:12" x14ac:dyDescent="0.2">
      <c r="B120" s="414"/>
      <c r="C120" s="414"/>
      <c r="E120" s="414"/>
      <c r="F120" s="414"/>
      <c r="G120" s="414"/>
      <c r="I120" s="1"/>
      <c r="J120" s="1"/>
      <c r="K120" s="1"/>
      <c r="L120" s="1"/>
    </row>
    <row r="121" spans="1:12" x14ac:dyDescent="0.2">
      <c r="B121" s="414"/>
      <c r="C121" s="414"/>
      <c r="E121" s="414"/>
      <c r="F121" s="414"/>
      <c r="G121" s="414"/>
      <c r="I121" s="1"/>
      <c r="J121" s="1"/>
      <c r="K121" s="1"/>
      <c r="L121" s="1"/>
    </row>
    <row r="122" spans="1:12" x14ac:dyDescent="0.2">
      <c r="B122" s="414"/>
      <c r="C122" s="414"/>
      <c r="E122" s="414"/>
      <c r="F122" s="414"/>
      <c r="G122" s="414"/>
      <c r="I122" s="1"/>
      <c r="J122" s="1"/>
      <c r="K122" s="1"/>
      <c r="L122" s="1"/>
    </row>
    <row r="123" spans="1:12" x14ac:dyDescent="0.2">
      <c r="B123" s="414"/>
      <c r="C123" s="414"/>
      <c r="E123" s="414"/>
      <c r="F123" s="414"/>
      <c r="G123" s="414"/>
      <c r="I123" s="1"/>
      <c r="J123" s="1"/>
      <c r="K123" s="1"/>
      <c r="L123" s="1"/>
    </row>
    <row r="124" spans="1:12" x14ac:dyDescent="0.2">
      <c r="B124" s="414"/>
      <c r="C124" s="414"/>
      <c r="E124" s="414"/>
      <c r="F124" s="414"/>
      <c r="G124" s="414"/>
      <c r="I124" s="1"/>
      <c r="J124" s="1"/>
      <c r="K124" s="1"/>
      <c r="L124" s="1"/>
    </row>
    <row r="125" spans="1:12" x14ac:dyDescent="0.2">
      <c r="B125" s="414"/>
      <c r="C125" s="414"/>
      <c r="E125" s="414"/>
      <c r="F125" s="414"/>
      <c r="G125" s="414"/>
      <c r="I125" s="1"/>
      <c r="J125" s="1"/>
      <c r="K125" s="1"/>
      <c r="L125" s="1"/>
    </row>
    <row r="126" spans="1:12" x14ac:dyDescent="0.2">
      <c r="B126" s="414"/>
      <c r="C126" s="414"/>
      <c r="E126" s="414"/>
      <c r="F126" s="414"/>
      <c r="G126" s="414"/>
      <c r="I126" s="1"/>
      <c r="J126" s="1"/>
      <c r="K126" s="1"/>
      <c r="L126" s="1"/>
    </row>
    <row r="127" spans="1:12" x14ac:dyDescent="0.2">
      <c r="A127" s="1"/>
      <c r="B127" s="414"/>
      <c r="C127" s="414"/>
      <c r="E127" s="414"/>
      <c r="F127" s="414"/>
      <c r="G127" s="414"/>
    </row>
    <row r="128" spans="1:12" x14ac:dyDescent="0.2">
      <c r="A128" s="1"/>
      <c r="B128" s="414"/>
      <c r="C128" s="414"/>
      <c r="E128" s="414"/>
      <c r="F128" s="414"/>
      <c r="G128" s="414"/>
    </row>
    <row r="129" spans="1:18" x14ac:dyDescent="0.2">
      <c r="A129" s="1"/>
      <c r="B129" s="414"/>
      <c r="C129" s="414"/>
      <c r="E129" s="414"/>
      <c r="F129" s="414"/>
      <c r="G129" s="414"/>
    </row>
    <row r="130" spans="1:18" x14ac:dyDescent="0.2">
      <c r="A130" s="1"/>
      <c r="B130" s="414"/>
      <c r="C130" s="414"/>
      <c r="D130" s="513"/>
      <c r="E130" s="414"/>
      <c r="F130" s="414"/>
      <c r="G130" s="414"/>
    </row>
    <row r="131" spans="1:18" x14ac:dyDescent="0.2">
      <c r="A131" s="1"/>
      <c r="B131" s="414"/>
      <c r="C131" s="414"/>
      <c r="D131" s="513"/>
      <c r="E131" s="414"/>
      <c r="F131" s="414"/>
      <c r="G131" s="414"/>
    </row>
    <row r="132" spans="1:18" x14ac:dyDescent="0.2">
      <c r="A132" s="1"/>
      <c r="B132" s="414"/>
      <c r="C132" s="414"/>
      <c r="D132" s="513"/>
      <c r="E132" s="414"/>
      <c r="F132" s="414"/>
      <c r="G132" s="414"/>
      <c r="H132" s="513"/>
      <c r="R132" s="513"/>
    </row>
    <row r="133" spans="1:18" x14ac:dyDescent="0.2">
      <c r="A133" s="1"/>
      <c r="B133" s="414"/>
      <c r="C133" s="414"/>
      <c r="D133" s="414"/>
      <c r="E133" s="414"/>
      <c r="F133" s="414"/>
      <c r="G133" s="414"/>
      <c r="H133" s="513"/>
      <c r="R133" s="513"/>
    </row>
    <row r="134" spans="1:18" x14ac:dyDescent="0.2">
      <c r="A134" s="1"/>
      <c r="B134" s="414"/>
      <c r="C134" s="414"/>
      <c r="D134" s="414"/>
      <c r="E134" s="414"/>
      <c r="F134" s="414"/>
      <c r="G134" s="414"/>
      <c r="H134" s="513"/>
      <c r="P134" s="414"/>
      <c r="Q134" s="414"/>
      <c r="R134" s="513"/>
    </row>
    <row r="135" spans="1:18" x14ac:dyDescent="0.2">
      <c r="A135" s="1"/>
      <c r="B135" s="414"/>
      <c r="C135" s="414"/>
      <c r="D135" s="414"/>
      <c r="E135" s="414"/>
      <c r="F135" s="414"/>
      <c r="G135" s="414"/>
      <c r="H135" s="513"/>
      <c r="P135" s="414"/>
      <c r="Q135" s="414"/>
      <c r="R135" s="513"/>
    </row>
    <row r="136" spans="1:18" x14ac:dyDescent="0.2">
      <c r="A136" s="1"/>
      <c r="B136" s="414"/>
      <c r="C136" s="414"/>
      <c r="D136" s="414"/>
      <c r="E136" s="414"/>
      <c r="F136" s="414"/>
      <c r="G136" s="414"/>
    </row>
    <row r="137" spans="1:18" x14ac:dyDescent="0.2">
      <c r="A137" s="1"/>
      <c r="B137" s="414"/>
      <c r="C137" s="414"/>
      <c r="D137" s="414"/>
      <c r="E137" s="414"/>
      <c r="F137" s="414"/>
      <c r="G137" s="414"/>
    </row>
    <row r="138" spans="1:18" x14ac:dyDescent="0.2">
      <c r="A138" s="1"/>
      <c r="B138" s="414"/>
      <c r="C138" s="414"/>
      <c r="D138" s="414"/>
      <c r="E138" s="414"/>
      <c r="F138" s="414"/>
      <c r="G138" s="414"/>
    </row>
    <row r="139" spans="1:18" x14ac:dyDescent="0.2">
      <c r="A139" s="1"/>
      <c r="B139" s="414"/>
      <c r="C139" s="414"/>
      <c r="D139" s="414"/>
      <c r="E139" s="414"/>
      <c r="F139" s="414"/>
      <c r="G139" s="414"/>
    </row>
    <row r="140" spans="1:18" x14ac:dyDescent="0.2">
      <c r="A140" s="1"/>
      <c r="B140" s="414"/>
      <c r="C140" s="414"/>
      <c r="D140" s="414"/>
      <c r="E140" s="414"/>
      <c r="F140" s="414"/>
      <c r="G140" s="414"/>
    </row>
    <row r="141" spans="1:18" x14ac:dyDescent="0.2">
      <c r="A141" s="1"/>
      <c r="B141" s="414"/>
      <c r="C141" s="414"/>
      <c r="D141" s="414"/>
      <c r="E141" s="414"/>
      <c r="F141" s="414"/>
      <c r="G141" s="414"/>
    </row>
    <row r="142" spans="1:18" x14ac:dyDescent="0.2">
      <c r="A142" s="1"/>
      <c r="B142" s="414"/>
      <c r="C142" s="414"/>
      <c r="D142" s="414"/>
      <c r="E142" s="414"/>
      <c r="F142" s="414"/>
      <c r="G142" s="414"/>
    </row>
    <row r="143" spans="1:18" x14ac:dyDescent="0.2">
      <c r="A143" s="1"/>
      <c r="B143" s="414"/>
      <c r="C143" s="414"/>
      <c r="D143" s="414"/>
      <c r="E143" s="414"/>
      <c r="F143" s="414"/>
      <c r="G143" s="414"/>
      <c r="H143" s="1"/>
      <c r="I143" s="1"/>
      <c r="J143" s="1"/>
      <c r="K143" s="1"/>
      <c r="L143" s="1"/>
    </row>
    <row r="144" spans="1:18" x14ac:dyDescent="0.2">
      <c r="A144" s="1"/>
      <c r="B144" s="414"/>
      <c r="C144" s="414"/>
      <c r="D144" s="414"/>
      <c r="E144" s="414"/>
      <c r="F144" s="414"/>
      <c r="G144" s="414"/>
      <c r="H144" s="1"/>
      <c r="I144" s="1"/>
      <c r="J144" s="1"/>
      <c r="K144" s="1"/>
      <c r="L144" s="1"/>
    </row>
    <row r="145" spans="1:12" x14ac:dyDescent="0.2">
      <c r="A145" s="1"/>
      <c r="B145" s="414"/>
      <c r="C145" s="414"/>
      <c r="D145" s="414"/>
      <c r="E145" s="414"/>
      <c r="F145" s="414"/>
      <c r="G145" s="414"/>
      <c r="H145" s="1"/>
      <c r="I145" s="1"/>
      <c r="J145" s="1"/>
      <c r="K145" s="1"/>
      <c r="L145" s="1"/>
    </row>
    <row r="146" spans="1:12" x14ac:dyDescent="0.2">
      <c r="A146" s="1"/>
      <c r="B146" s="414"/>
      <c r="C146" s="414"/>
      <c r="D146" s="414"/>
      <c r="E146" s="414"/>
      <c r="F146" s="414"/>
      <c r="G146" s="414"/>
      <c r="H146" s="1"/>
      <c r="I146" s="1"/>
      <c r="J146" s="1"/>
      <c r="K146" s="1"/>
      <c r="L146" s="1"/>
    </row>
    <row r="147" spans="1:12" x14ac:dyDescent="0.2">
      <c r="A147" s="1"/>
      <c r="B147" s="414"/>
      <c r="C147" s="414"/>
      <c r="D147" s="414"/>
      <c r="E147" s="414"/>
      <c r="F147" s="414"/>
      <c r="G147" s="414"/>
      <c r="H147" s="1"/>
      <c r="I147" s="1"/>
      <c r="J147" s="1"/>
      <c r="K147" s="1"/>
      <c r="L147" s="1"/>
    </row>
    <row r="148" spans="1:12" x14ac:dyDescent="0.2">
      <c r="A148" s="1"/>
      <c r="B148" s="414"/>
      <c r="C148" s="414"/>
      <c r="D148" s="414"/>
      <c r="E148" s="414"/>
      <c r="F148" s="414"/>
      <c r="G148" s="414"/>
      <c r="H148" s="1"/>
      <c r="I148" s="1"/>
      <c r="J148" s="1"/>
      <c r="K148" s="1"/>
      <c r="L148" s="1"/>
    </row>
    <row r="149" spans="1:12" x14ac:dyDescent="0.2">
      <c r="A149" s="1"/>
      <c r="B149" s="414"/>
      <c r="C149" s="414"/>
      <c r="D149" s="414"/>
      <c r="E149" s="414"/>
      <c r="F149" s="414"/>
      <c r="G149" s="414"/>
      <c r="H149" s="1"/>
      <c r="I149" s="1"/>
      <c r="J149" s="1"/>
      <c r="K149" s="1"/>
      <c r="L149" s="1"/>
    </row>
    <row r="150" spans="1:12" x14ac:dyDescent="0.2">
      <c r="A150" s="1"/>
      <c r="B150" s="414"/>
      <c r="C150" s="414"/>
      <c r="D150" s="414"/>
      <c r="E150" s="414"/>
      <c r="F150" s="414"/>
      <c r="G150" s="414"/>
      <c r="H150" s="1"/>
      <c r="I150" s="1"/>
      <c r="J150" s="1"/>
      <c r="K150" s="1"/>
      <c r="L150" s="1"/>
    </row>
    <row r="151" spans="1:12" x14ac:dyDescent="0.2">
      <c r="A151" s="1"/>
      <c r="B151" s="414"/>
      <c r="C151" s="414"/>
      <c r="D151" s="414"/>
      <c r="E151" s="414"/>
      <c r="F151" s="414"/>
      <c r="G151" s="414"/>
      <c r="H151" s="1"/>
      <c r="I151" s="1"/>
      <c r="J151" s="1"/>
      <c r="K151" s="1"/>
      <c r="L151" s="1"/>
    </row>
    <row r="152" spans="1:12" x14ac:dyDescent="0.2">
      <c r="A152" s="1"/>
      <c r="B152" s="414"/>
      <c r="C152" s="414"/>
      <c r="D152" s="414"/>
      <c r="E152" s="414"/>
      <c r="F152" s="414"/>
      <c r="G152" s="414"/>
      <c r="H152" s="1"/>
      <c r="I152" s="1"/>
      <c r="J152" s="1"/>
      <c r="K152" s="1"/>
      <c r="L152" s="1"/>
    </row>
    <row r="153" spans="1:12" x14ac:dyDescent="0.2">
      <c r="A153" s="1"/>
      <c r="B153" s="414"/>
      <c r="C153" s="414"/>
      <c r="D153" s="414"/>
      <c r="E153" s="414"/>
      <c r="F153" s="414"/>
      <c r="G153" s="414"/>
      <c r="H153" s="1"/>
      <c r="I153" s="1"/>
      <c r="J153" s="1"/>
      <c r="K153" s="1"/>
      <c r="L153" s="1"/>
    </row>
    <row r="154" spans="1:12" x14ac:dyDescent="0.2">
      <c r="A154" s="1"/>
      <c r="B154" s="414"/>
      <c r="C154" s="414"/>
      <c r="D154" s="414"/>
      <c r="E154" s="414"/>
      <c r="F154" s="414"/>
      <c r="G154" s="414"/>
      <c r="H154" s="1"/>
      <c r="I154" s="1"/>
      <c r="J154" s="1"/>
      <c r="K154" s="1"/>
      <c r="L154" s="1"/>
    </row>
    <row r="155" spans="1:12" x14ac:dyDescent="0.2">
      <c r="A155" s="1"/>
      <c r="B155" s="414"/>
      <c r="C155" s="414"/>
      <c r="D155" s="414"/>
      <c r="E155" s="414"/>
      <c r="F155" s="414"/>
      <c r="G155" s="414"/>
      <c r="H155" s="1"/>
      <c r="I155" s="1"/>
      <c r="J155" s="1"/>
      <c r="K155" s="1"/>
      <c r="L155" s="1"/>
    </row>
    <row r="156" spans="1:12" x14ac:dyDescent="0.2">
      <c r="A156" s="1"/>
      <c r="B156" s="414"/>
      <c r="C156" s="414"/>
      <c r="D156" s="414"/>
      <c r="E156" s="414"/>
      <c r="F156" s="414"/>
      <c r="G156" s="414"/>
      <c r="H156" s="1"/>
      <c r="I156" s="1"/>
      <c r="J156" s="1"/>
      <c r="K156" s="1"/>
      <c r="L156" s="1"/>
    </row>
    <row r="157" spans="1:12" x14ac:dyDescent="0.2">
      <c r="A157" s="1"/>
      <c r="B157" s="414"/>
      <c r="C157" s="414"/>
      <c r="D157" s="414"/>
      <c r="E157" s="414"/>
      <c r="F157" s="414"/>
      <c r="G157" s="414"/>
      <c r="H157" s="1"/>
      <c r="I157" s="1"/>
      <c r="J157" s="1"/>
      <c r="K157" s="1"/>
      <c r="L157" s="1"/>
    </row>
    <row r="158" spans="1:12" x14ac:dyDescent="0.2">
      <c r="A158" s="1"/>
      <c r="B158" s="414"/>
      <c r="C158" s="414"/>
      <c r="D158" s="414"/>
      <c r="E158" s="414"/>
      <c r="F158" s="414"/>
      <c r="G158" s="414"/>
      <c r="H158" s="1"/>
      <c r="I158" s="1"/>
      <c r="J158" s="1"/>
      <c r="K158" s="1"/>
      <c r="L158" s="1"/>
    </row>
    <row r="159" spans="1:12" x14ac:dyDescent="0.2">
      <c r="A159" s="1"/>
      <c r="B159" s="414"/>
      <c r="C159" s="414"/>
      <c r="D159" s="414"/>
      <c r="E159" s="414"/>
      <c r="F159" s="414"/>
      <c r="G159" s="414"/>
      <c r="H159" s="1"/>
      <c r="I159" s="1"/>
      <c r="J159" s="1"/>
      <c r="K159" s="1"/>
      <c r="L159" s="1"/>
    </row>
    <row r="160" spans="1:12" x14ac:dyDescent="0.2">
      <c r="A160" s="1"/>
      <c r="B160" s="414"/>
      <c r="C160" s="414"/>
      <c r="D160" s="414"/>
      <c r="E160" s="414"/>
      <c r="F160" s="414"/>
      <c r="G160" s="414"/>
      <c r="H160" s="1"/>
      <c r="I160" s="1"/>
      <c r="J160" s="1"/>
      <c r="K160" s="1"/>
      <c r="L160" s="1"/>
    </row>
    <row r="161" spans="1:12" x14ac:dyDescent="0.2">
      <c r="A161" s="1"/>
      <c r="B161" s="414"/>
      <c r="C161" s="414"/>
      <c r="D161" s="414"/>
      <c r="E161" s="414"/>
      <c r="F161" s="414"/>
      <c r="G161" s="414"/>
      <c r="H161" s="1"/>
      <c r="I161" s="1"/>
      <c r="J161" s="1"/>
      <c r="K161" s="1"/>
      <c r="L161" s="1"/>
    </row>
    <row r="162" spans="1:12" x14ac:dyDescent="0.2">
      <c r="A162" s="1"/>
      <c r="B162" s="414"/>
      <c r="C162" s="414"/>
      <c r="D162" s="414"/>
      <c r="E162" s="414"/>
      <c r="F162" s="414"/>
      <c r="G162" s="414"/>
      <c r="H162" s="1"/>
      <c r="I162" s="1"/>
      <c r="J162" s="1"/>
      <c r="K162" s="1"/>
      <c r="L162" s="1"/>
    </row>
    <row r="163" spans="1:12" x14ac:dyDescent="0.2">
      <c r="A163" s="1"/>
      <c r="B163" s="414"/>
      <c r="C163" s="414"/>
      <c r="D163" s="414"/>
      <c r="E163" s="414"/>
      <c r="F163" s="414"/>
      <c r="G163" s="414"/>
      <c r="H163" s="1"/>
      <c r="I163" s="1"/>
      <c r="J163" s="1"/>
      <c r="K163" s="1"/>
      <c r="L163" s="1"/>
    </row>
    <row r="164" spans="1:12" x14ac:dyDescent="0.2">
      <c r="A164" s="1"/>
      <c r="B164" s="414"/>
      <c r="C164" s="414"/>
      <c r="D164" s="414"/>
      <c r="E164" s="414"/>
      <c r="F164" s="414"/>
      <c r="G164" s="414"/>
      <c r="H164" s="1"/>
      <c r="I164" s="1"/>
      <c r="J164" s="1"/>
      <c r="K164" s="1"/>
      <c r="L164" s="1"/>
    </row>
    <row r="165" spans="1:12" x14ac:dyDescent="0.2">
      <c r="A165" s="1"/>
      <c r="B165" s="414"/>
      <c r="C165" s="414"/>
      <c r="D165" s="414"/>
      <c r="E165" s="414"/>
      <c r="F165" s="414"/>
      <c r="G165" s="414"/>
      <c r="H165" s="1"/>
      <c r="I165" s="1"/>
      <c r="J165" s="1"/>
      <c r="K165" s="1"/>
      <c r="L165" s="1"/>
    </row>
    <row r="166" spans="1:12" x14ac:dyDescent="0.2">
      <c r="A166" s="1"/>
      <c r="B166" s="414"/>
      <c r="C166" s="414"/>
      <c r="D166" s="414"/>
      <c r="E166" s="414"/>
      <c r="F166" s="414"/>
      <c r="G166" s="414"/>
      <c r="H166" s="1"/>
      <c r="I166" s="1"/>
      <c r="J166" s="1"/>
      <c r="K166" s="1"/>
      <c r="L166" s="1"/>
    </row>
    <row r="167" spans="1:12" x14ac:dyDescent="0.2">
      <c r="A167" s="1"/>
      <c r="B167" s="414"/>
      <c r="C167" s="414"/>
      <c r="D167" s="414"/>
      <c r="E167" s="414"/>
      <c r="F167" s="414"/>
      <c r="G167" s="414"/>
      <c r="H167" s="1"/>
      <c r="I167" s="1"/>
      <c r="J167" s="1"/>
      <c r="K167" s="1"/>
      <c r="L167" s="1"/>
    </row>
    <row r="168" spans="1:12" x14ac:dyDescent="0.2">
      <c r="A168" s="1"/>
      <c r="B168" s="414"/>
      <c r="C168" s="414"/>
      <c r="D168" s="414"/>
      <c r="E168" s="414"/>
      <c r="F168" s="414"/>
      <c r="G168" s="414"/>
      <c r="H168" s="1"/>
      <c r="I168" s="1"/>
      <c r="J168" s="1"/>
      <c r="K168" s="1"/>
      <c r="L168" s="1"/>
    </row>
    <row r="169" spans="1:12" x14ac:dyDescent="0.2">
      <c r="A169" s="1"/>
      <c r="B169" s="414"/>
      <c r="C169" s="414"/>
      <c r="D169" s="414"/>
      <c r="E169" s="414"/>
      <c r="F169" s="414"/>
      <c r="G169" s="414"/>
      <c r="H169" s="1"/>
      <c r="I169" s="1"/>
      <c r="J169" s="1"/>
      <c r="K169" s="1"/>
      <c r="L169" s="1"/>
    </row>
    <row r="170" spans="1:12" x14ac:dyDescent="0.2">
      <c r="A170" s="1"/>
      <c r="B170" s="414"/>
      <c r="C170" s="414"/>
      <c r="D170" s="414"/>
      <c r="E170" s="414"/>
      <c r="F170" s="414"/>
      <c r="G170" s="414"/>
      <c r="H170" s="1"/>
      <c r="I170" s="1"/>
      <c r="J170" s="1"/>
      <c r="K170" s="1"/>
      <c r="L170" s="1"/>
    </row>
    <row r="171" spans="1:12" x14ac:dyDescent="0.2">
      <c r="A171" s="1"/>
      <c r="B171" s="414"/>
      <c r="C171" s="414"/>
      <c r="D171" s="414"/>
      <c r="E171" s="414"/>
      <c r="F171" s="414"/>
      <c r="G171" s="414"/>
      <c r="H171" s="1"/>
      <c r="I171" s="1"/>
      <c r="J171" s="1"/>
      <c r="K171" s="1"/>
      <c r="L171" s="1"/>
    </row>
    <row r="172" spans="1:12" x14ac:dyDescent="0.2">
      <c r="A172" s="1"/>
      <c r="B172" s="414"/>
      <c r="C172" s="414"/>
      <c r="D172" s="414"/>
      <c r="E172" s="414"/>
      <c r="F172" s="414"/>
      <c r="G172" s="414"/>
      <c r="H172" s="1"/>
      <c r="I172" s="1"/>
      <c r="J172" s="1"/>
      <c r="K172" s="1"/>
      <c r="L172" s="1"/>
    </row>
    <row r="173" spans="1:12" x14ac:dyDescent="0.2">
      <c r="A173" s="1"/>
      <c r="B173" s="414"/>
      <c r="C173" s="414"/>
      <c r="D173" s="414"/>
      <c r="E173" s="414"/>
      <c r="F173" s="414"/>
      <c r="G173" s="414"/>
      <c r="H173" s="1"/>
      <c r="I173" s="1"/>
      <c r="J173" s="1"/>
      <c r="K173" s="1"/>
      <c r="L173" s="1"/>
    </row>
  </sheetData>
  <mergeCells count="1">
    <mergeCell ref="M39:M40"/>
  </mergeCells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3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S129"/>
  <sheetViews>
    <sheetView zoomScaleNormal="100" workbookViewId="0">
      <pane xSplit="1" ySplit="4" topLeftCell="B77" activePane="bottomRight" state="frozen"/>
      <selection sqref="A1:B4"/>
      <selection pane="topRight" sqref="A1:B4"/>
      <selection pane="bottomLeft" sqref="A1:B4"/>
      <selection pane="bottomRight" activeCell="E95" sqref="E95"/>
    </sheetView>
  </sheetViews>
  <sheetFormatPr defaultColWidth="9.140625" defaultRowHeight="12.75" x14ac:dyDescent="0.2"/>
  <cols>
    <col min="1" max="1" width="20.5703125" style="1" customWidth="1"/>
    <col min="2" max="2" width="8.42578125" style="10" bestFit="1" customWidth="1"/>
    <col min="3" max="3" width="10.42578125" style="10" customWidth="1"/>
    <col min="4" max="4" width="7.85546875" style="10" bestFit="1" customWidth="1"/>
    <col min="5" max="5" width="20.85546875" style="18" bestFit="1" customWidth="1"/>
    <col min="6" max="6" width="20.5703125" style="19" customWidth="1"/>
    <col min="7" max="7" width="16" style="10" bestFit="1" customWidth="1"/>
    <col min="8" max="8" width="7.42578125" style="10" bestFit="1" customWidth="1"/>
    <col min="9" max="9" width="9" style="20" customWidth="1"/>
    <col min="10" max="10" width="13" style="20" customWidth="1"/>
    <col min="11" max="11" width="9" style="1" customWidth="1"/>
    <col min="12" max="16384" width="9.140625" style="1"/>
  </cols>
  <sheetData>
    <row r="1" spans="1:19" x14ac:dyDescent="0.2">
      <c r="A1" s="25" t="s">
        <v>159</v>
      </c>
    </row>
    <row r="2" spans="1:19" ht="5.0999999999999996" customHeight="1" thickBot="1" x14ac:dyDescent="0.25">
      <c r="A2" s="16"/>
    </row>
    <row r="3" spans="1:19" s="21" customFormat="1" ht="45" customHeight="1" thickTop="1" thickBot="1" x14ac:dyDescent="0.25">
      <c r="A3" s="30" t="s">
        <v>93</v>
      </c>
      <c r="B3" s="291" t="s">
        <v>110</v>
      </c>
      <c r="C3" s="292" t="s">
        <v>111</v>
      </c>
      <c r="D3" s="292" t="s">
        <v>112</v>
      </c>
      <c r="E3" s="292" t="s">
        <v>116</v>
      </c>
      <c r="F3" s="292" t="s">
        <v>117</v>
      </c>
      <c r="G3" s="292" t="s">
        <v>57</v>
      </c>
      <c r="H3" s="292" t="s">
        <v>113</v>
      </c>
      <c r="I3" s="292" t="s">
        <v>114</v>
      </c>
      <c r="J3" s="505" t="s">
        <v>70</v>
      </c>
      <c r="K3" s="293" t="s">
        <v>115</v>
      </c>
      <c r="L3" s="318"/>
      <c r="M3" s="318"/>
    </row>
    <row r="4" spans="1:19" ht="14.25" thickTop="1" thickBot="1" x14ac:dyDescent="0.25">
      <c r="A4" s="32" t="s">
        <v>11</v>
      </c>
      <c r="B4" s="33"/>
      <c r="C4" s="33"/>
      <c r="D4" s="34"/>
      <c r="E4" s="33"/>
      <c r="F4" s="33"/>
      <c r="G4" s="33"/>
      <c r="H4" s="33"/>
      <c r="I4" s="33"/>
      <c r="J4" s="33"/>
      <c r="K4" s="35"/>
    </row>
    <row r="5" spans="1:19" x14ac:dyDescent="0.2">
      <c r="A5" s="202" t="s">
        <v>94</v>
      </c>
      <c r="B5" s="121">
        <v>33828</v>
      </c>
      <c r="C5" s="122">
        <v>22793</v>
      </c>
      <c r="D5" s="287">
        <v>1.4841398675031807</v>
      </c>
      <c r="E5" s="122">
        <v>2776</v>
      </c>
      <c r="F5" s="124">
        <v>8.2062196996570885E-2</v>
      </c>
      <c r="G5" s="124" t="s">
        <v>73</v>
      </c>
      <c r="H5" s="122">
        <v>14008</v>
      </c>
      <c r="I5" s="122">
        <v>12148</v>
      </c>
      <c r="J5" s="124">
        <v>0.61457465011187651</v>
      </c>
      <c r="K5" s="125" t="s">
        <v>15</v>
      </c>
    </row>
    <row r="6" spans="1:19" x14ac:dyDescent="0.2">
      <c r="A6" s="204" t="s">
        <v>95</v>
      </c>
      <c r="B6" s="126">
        <v>2074</v>
      </c>
      <c r="C6" s="127">
        <v>1960</v>
      </c>
      <c r="D6" s="288">
        <v>1.0581632653061224</v>
      </c>
      <c r="E6" s="127">
        <v>1753</v>
      </c>
      <c r="F6" s="66">
        <v>0.84522661523625842</v>
      </c>
      <c r="G6" s="66" t="s">
        <v>73</v>
      </c>
      <c r="H6" s="127">
        <v>1424</v>
      </c>
      <c r="I6" s="127">
        <v>1321</v>
      </c>
      <c r="J6" s="66">
        <v>0.72653061224489801</v>
      </c>
      <c r="K6" s="67" t="s">
        <v>15</v>
      </c>
      <c r="L6" s="10"/>
    </row>
    <row r="7" spans="1:19" ht="13.5" thickBot="1" x14ac:dyDescent="0.25">
      <c r="A7" s="205" t="s">
        <v>18</v>
      </c>
      <c r="B7" s="128">
        <v>35902</v>
      </c>
      <c r="C7" s="129">
        <v>24551</v>
      </c>
      <c r="D7" s="289">
        <v>1.4623436927212741</v>
      </c>
      <c r="E7" s="129">
        <v>29549</v>
      </c>
      <c r="F7" s="130">
        <v>0.82304606985683249</v>
      </c>
      <c r="G7" s="130" t="s">
        <v>73</v>
      </c>
      <c r="H7" s="129">
        <v>15398</v>
      </c>
      <c r="I7" s="129">
        <v>13456</v>
      </c>
      <c r="J7" s="130">
        <v>0.62718422874831981</v>
      </c>
      <c r="K7" s="131" t="s">
        <v>15</v>
      </c>
      <c r="M7" s="23"/>
    </row>
    <row r="8" spans="1:19" ht="13.5" thickBot="1" x14ac:dyDescent="0.25">
      <c r="A8" s="32" t="s">
        <v>4</v>
      </c>
      <c r="B8" s="33"/>
      <c r="C8" s="33"/>
      <c r="D8" s="34"/>
      <c r="E8" s="33"/>
      <c r="F8" s="33"/>
      <c r="G8" s="33"/>
      <c r="H8" s="33"/>
      <c r="I8" s="321"/>
      <c r="J8" s="33"/>
      <c r="K8" s="322"/>
    </row>
    <row r="9" spans="1:19" x14ac:dyDescent="0.2">
      <c r="A9" s="202" t="s">
        <v>94</v>
      </c>
      <c r="B9" s="121">
        <v>17894</v>
      </c>
      <c r="C9" s="122">
        <v>12565</v>
      </c>
      <c r="D9" s="287">
        <v>1.4241146040588937</v>
      </c>
      <c r="E9" s="122">
        <v>14148</v>
      </c>
      <c r="F9" s="124">
        <v>0.79065608583882863</v>
      </c>
      <c r="G9" s="286">
        <v>11126</v>
      </c>
      <c r="H9" s="286">
        <v>8275</v>
      </c>
      <c r="I9" s="122">
        <v>6949</v>
      </c>
      <c r="J9" s="124">
        <v>0.65857540787902902</v>
      </c>
      <c r="K9" s="262">
        <f>H9/G9</f>
        <v>0.74375337048355206</v>
      </c>
    </row>
    <row r="10" spans="1:19" x14ac:dyDescent="0.2">
      <c r="A10" s="204" t="s">
        <v>95</v>
      </c>
      <c r="B10" s="126">
        <v>3326</v>
      </c>
      <c r="C10" s="127">
        <v>3068</v>
      </c>
      <c r="D10" s="288">
        <v>1.0840938722294655</v>
      </c>
      <c r="E10" s="127">
        <v>2705</v>
      </c>
      <c r="F10" s="66">
        <v>0.8132892363199038</v>
      </c>
      <c r="G10" s="127">
        <v>2574</v>
      </c>
      <c r="H10" s="127">
        <v>2207</v>
      </c>
      <c r="I10" s="127">
        <v>1856</v>
      </c>
      <c r="J10" s="66">
        <v>0.71936114732724898</v>
      </c>
      <c r="K10" s="67">
        <f>H10/G10</f>
        <v>0.85742035742035738</v>
      </c>
    </row>
    <row r="11" spans="1:19" ht="13.5" thickBot="1" x14ac:dyDescent="0.25">
      <c r="A11" s="205" t="s">
        <v>18</v>
      </c>
      <c r="B11" s="128">
        <v>21220</v>
      </c>
      <c r="C11" s="129">
        <v>15406</v>
      </c>
      <c r="D11" s="289">
        <v>1.3773854342463976</v>
      </c>
      <c r="E11" s="129">
        <v>16853</v>
      </c>
      <c r="F11" s="130">
        <v>0.79420358152686144</v>
      </c>
      <c r="G11" s="129">
        <v>13598</v>
      </c>
      <c r="H11" s="129">
        <v>10446</v>
      </c>
      <c r="I11" s="129">
        <v>8797</v>
      </c>
      <c r="J11" s="130">
        <v>0.6780475139556017</v>
      </c>
      <c r="K11" s="131">
        <f>H11/G11</f>
        <v>0.76820120605971465</v>
      </c>
    </row>
    <row r="12" spans="1:19" ht="13.5" thickBot="1" x14ac:dyDescent="0.25">
      <c r="A12" s="32" t="s">
        <v>5</v>
      </c>
      <c r="B12" s="33"/>
      <c r="C12" s="33"/>
      <c r="D12" s="34"/>
      <c r="E12" s="33"/>
      <c r="F12" s="33"/>
      <c r="G12" s="33"/>
      <c r="H12" s="33"/>
      <c r="I12" s="321"/>
      <c r="J12" s="33"/>
      <c r="K12" s="322"/>
    </row>
    <row r="13" spans="1:19" x14ac:dyDescent="0.2">
      <c r="A13" s="202" t="s">
        <v>94</v>
      </c>
      <c r="B13" s="121">
        <v>25576</v>
      </c>
      <c r="C13" s="122">
        <v>17963</v>
      </c>
      <c r="D13" s="287">
        <v>1.4238156209987196</v>
      </c>
      <c r="E13" s="122">
        <v>19630</v>
      </c>
      <c r="F13" s="124">
        <v>0.76751642164529243</v>
      </c>
      <c r="G13" s="122">
        <v>15609</v>
      </c>
      <c r="H13" s="122">
        <v>12162</v>
      </c>
      <c r="I13" s="122">
        <v>10239</v>
      </c>
      <c r="J13" s="124">
        <v>0.67705839781773647</v>
      </c>
      <c r="K13" s="125">
        <f>H13/G13</f>
        <v>0.77916586584662695</v>
      </c>
    </row>
    <row r="14" spans="1:19" x14ac:dyDescent="0.2">
      <c r="A14" s="204" t="s">
        <v>95</v>
      </c>
      <c r="B14" s="126">
        <v>2635</v>
      </c>
      <c r="C14" s="127">
        <v>2519</v>
      </c>
      <c r="D14" s="288">
        <v>1.0460500198491465</v>
      </c>
      <c r="E14" s="127">
        <v>2077</v>
      </c>
      <c r="F14" s="66">
        <v>0.78823529411764703</v>
      </c>
      <c r="G14" s="127">
        <v>2039</v>
      </c>
      <c r="H14" s="127">
        <v>1708</v>
      </c>
      <c r="I14" s="127">
        <v>1577</v>
      </c>
      <c r="J14" s="66">
        <v>0.67804684398570858</v>
      </c>
      <c r="K14" s="67">
        <f>H14/G14</f>
        <v>0.83766552231486024</v>
      </c>
    </row>
    <row r="15" spans="1:19" ht="13.5" thickBot="1" x14ac:dyDescent="0.25">
      <c r="A15" s="205" t="s">
        <v>18</v>
      </c>
      <c r="B15" s="128">
        <v>28211</v>
      </c>
      <c r="C15" s="129">
        <v>20319</v>
      </c>
      <c r="D15" s="289">
        <v>1.3884049411880506</v>
      </c>
      <c r="E15" s="129">
        <v>21707</v>
      </c>
      <c r="F15" s="130">
        <v>0.76945163234199421</v>
      </c>
      <c r="G15" s="129">
        <v>17579</v>
      </c>
      <c r="H15" s="327">
        <v>13870</v>
      </c>
      <c r="I15" s="327">
        <v>11816</v>
      </c>
      <c r="J15" s="130">
        <v>0.6826123332841183</v>
      </c>
      <c r="K15" s="131">
        <f>H15/G15</f>
        <v>0.7890096137436714</v>
      </c>
      <c r="L15" s="313"/>
      <c r="M15" s="268"/>
      <c r="N15" s="268"/>
      <c r="O15" s="268"/>
      <c r="P15" s="268"/>
      <c r="Q15" s="268"/>
      <c r="R15" s="268"/>
      <c r="S15" s="268"/>
    </row>
    <row r="16" spans="1:19" ht="13.5" thickBot="1" x14ac:dyDescent="0.25">
      <c r="A16" s="32" t="s">
        <v>41</v>
      </c>
      <c r="B16" s="33"/>
      <c r="C16" s="33"/>
      <c r="D16" s="34"/>
      <c r="E16" s="33"/>
      <c r="F16" s="33"/>
      <c r="G16" s="33"/>
      <c r="H16" s="33"/>
      <c r="I16" s="321"/>
      <c r="J16" s="33"/>
      <c r="K16" s="322"/>
      <c r="M16" s="302"/>
      <c r="N16" s="302"/>
      <c r="O16" s="302"/>
      <c r="P16" s="302"/>
      <c r="Q16" s="302"/>
      <c r="R16" s="268"/>
      <c r="S16" s="268"/>
    </row>
    <row r="17" spans="1:19" x14ac:dyDescent="0.2">
      <c r="A17" s="202" t="s">
        <v>94</v>
      </c>
      <c r="B17" s="121">
        <v>26161</v>
      </c>
      <c r="C17" s="122">
        <v>19402</v>
      </c>
      <c r="D17" s="287">
        <v>1.3483661478198123</v>
      </c>
      <c r="E17" s="122">
        <v>16990</v>
      </c>
      <c r="F17" s="124">
        <v>0.64944000611597419</v>
      </c>
      <c r="G17" s="122">
        <v>16990</v>
      </c>
      <c r="H17" s="122">
        <v>12769</v>
      </c>
      <c r="I17" s="122">
        <v>10736</v>
      </c>
      <c r="J17" s="124">
        <v>0.65812802803834658</v>
      </c>
      <c r="K17" s="125">
        <f>H17/G17</f>
        <v>0.75155974102413181</v>
      </c>
      <c r="M17" s="302"/>
      <c r="N17" s="302"/>
      <c r="O17" s="302"/>
      <c r="P17" s="302"/>
      <c r="Q17" s="302"/>
      <c r="R17" s="268"/>
      <c r="S17" s="268"/>
    </row>
    <row r="18" spans="1:19" x14ac:dyDescent="0.2">
      <c r="A18" s="204" t="s">
        <v>95</v>
      </c>
      <c r="B18" s="126">
        <v>3289</v>
      </c>
      <c r="C18" s="127">
        <v>3097</v>
      </c>
      <c r="D18" s="288">
        <v>1.0619954794962867</v>
      </c>
      <c r="E18" s="127">
        <v>2674</v>
      </c>
      <c r="F18" s="66">
        <v>0.8130130738826391</v>
      </c>
      <c r="G18" s="127">
        <v>2674</v>
      </c>
      <c r="H18" s="127">
        <v>2116</v>
      </c>
      <c r="I18" s="127">
        <v>1881</v>
      </c>
      <c r="J18" s="66">
        <v>0.68324184694865997</v>
      </c>
      <c r="K18" s="67">
        <f>H18/G18</f>
        <v>0.79132385938668659</v>
      </c>
      <c r="M18" s="302"/>
      <c r="N18" s="302"/>
      <c r="O18" s="302"/>
      <c r="P18" s="302"/>
      <c r="Q18" s="302"/>
      <c r="R18" s="268"/>
      <c r="S18" s="268"/>
    </row>
    <row r="19" spans="1:19" ht="13.5" thickBot="1" x14ac:dyDescent="0.25">
      <c r="A19" s="205" t="s">
        <v>18</v>
      </c>
      <c r="B19" s="128">
        <v>29450</v>
      </c>
      <c r="C19" s="129">
        <v>22220</v>
      </c>
      <c r="D19" s="289">
        <v>1.3253825382538253</v>
      </c>
      <c r="E19" s="129">
        <v>19520</v>
      </c>
      <c r="F19" s="130">
        <v>0.66281833616298813</v>
      </c>
      <c r="G19" s="129">
        <v>19520</v>
      </c>
      <c r="H19" s="327">
        <v>14885</v>
      </c>
      <c r="I19" s="327">
        <v>12617</v>
      </c>
      <c r="J19" s="130">
        <v>0.6698919891989199</v>
      </c>
      <c r="K19" s="131">
        <f>H19/G19</f>
        <v>0.76255122950819676</v>
      </c>
      <c r="M19" s="302"/>
      <c r="N19" s="302"/>
      <c r="O19" s="302"/>
      <c r="P19" s="302"/>
      <c r="Q19" s="302"/>
      <c r="R19" s="268"/>
      <c r="S19" s="268"/>
    </row>
    <row r="20" spans="1:19" ht="13.5" thickBot="1" x14ac:dyDescent="0.25">
      <c r="A20" s="32" t="s">
        <v>53</v>
      </c>
      <c r="B20" s="33"/>
      <c r="C20" s="33"/>
      <c r="D20" s="34"/>
      <c r="E20" s="33"/>
      <c r="F20" s="33"/>
      <c r="G20" s="33"/>
      <c r="H20" s="33"/>
      <c r="I20" s="321"/>
      <c r="J20" s="33"/>
      <c r="K20" s="322"/>
      <c r="M20" s="302"/>
      <c r="N20" s="302"/>
      <c r="O20" s="302"/>
      <c r="P20" s="302"/>
      <c r="Q20" s="302"/>
      <c r="R20" s="268"/>
      <c r="S20" s="268"/>
    </row>
    <row r="21" spans="1:19" x14ac:dyDescent="0.2">
      <c r="A21" s="202" t="s">
        <v>94</v>
      </c>
      <c r="B21" s="121">
        <v>29230</v>
      </c>
      <c r="C21" s="122">
        <v>21302</v>
      </c>
      <c r="D21" s="287">
        <v>1.3721716270772697</v>
      </c>
      <c r="E21" s="122">
        <v>23279</v>
      </c>
      <c r="F21" s="124">
        <v>0.79640780020526858</v>
      </c>
      <c r="G21" s="122">
        <v>18686</v>
      </c>
      <c r="H21" s="122">
        <v>13315</v>
      </c>
      <c r="I21" s="122">
        <v>11384</v>
      </c>
      <c r="J21" s="124">
        <v>0.62505867993615627</v>
      </c>
      <c r="K21" s="125">
        <f>H21/G21</f>
        <v>0.71256555710157332</v>
      </c>
      <c r="M21" s="302"/>
      <c r="N21" s="302"/>
      <c r="O21" s="302"/>
      <c r="P21" s="302"/>
      <c r="Q21" s="302"/>
      <c r="R21" s="268"/>
      <c r="S21" s="268"/>
    </row>
    <row r="22" spans="1:19" x14ac:dyDescent="0.2">
      <c r="A22" s="204" t="s">
        <v>95</v>
      </c>
      <c r="B22" s="126">
        <v>3443</v>
      </c>
      <c r="C22" s="127">
        <v>3251</v>
      </c>
      <c r="D22" s="288">
        <v>1.0590587511534912</v>
      </c>
      <c r="E22" s="127">
        <v>2904</v>
      </c>
      <c r="F22" s="66">
        <v>0.8434504792332268</v>
      </c>
      <c r="G22" s="127">
        <v>2842</v>
      </c>
      <c r="H22" s="127">
        <v>2222</v>
      </c>
      <c r="I22" s="127">
        <v>2060</v>
      </c>
      <c r="J22" s="66">
        <v>0.68348200553675797</v>
      </c>
      <c r="K22" s="67">
        <f>H22/G22</f>
        <v>0.78184377199155519</v>
      </c>
      <c r="M22" s="302"/>
      <c r="N22" s="302"/>
      <c r="O22" s="302"/>
      <c r="P22" s="302"/>
      <c r="Q22" s="302"/>
      <c r="R22" s="268"/>
      <c r="S22" s="268"/>
    </row>
    <row r="23" spans="1:19" ht="13.5" thickBot="1" x14ac:dyDescent="0.25">
      <c r="A23" s="205" t="s">
        <v>18</v>
      </c>
      <c r="B23" s="128">
        <v>32673</v>
      </c>
      <c r="C23" s="129">
        <v>24339</v>
      </c>
      <c r="D23" s="289">
        <v>1.3424134105756194</v>
      </c>
      <c r="E23" s="129">
        <v>26183</v>
      </c>
      <c r="F23" s="130">
        <v>0.80136504147155141</v>
      </c>
      <c r="G23" s="129">
        <v>21394</v>
      </c>
      <c r="H23" s="129">
        <v>15507</v>
      </c>
      <c r="I23" s="129">
        <v>13434</v>
      </c>
      <c r="J23" s="130">
        <v>0.63712560088746462</v>
      </c>
      <c r="K23" s="131">
        <f>H23/G23</f>
        <v>0.72482939141815461</v>
      </c>
      <c r="M23" s="302"/>
      <c r="N23" s="302"/>
      <c r="O23" s="302"/>
      <c r="P23" s="302"/>
      <c r="Q23" s="302"/>
      <c r="R23" s="268"/>
      <c r="S23" s="268"/>
    </row>
    <row r="24" spans="1:19" ht="13.5" thickBot="1" x14ac:dyDescent="0.25">
      <c r="A24" s="32" t="s">
        <v>54</v>
      </c>
      <c r="B24" s="33"/>
      <c r="C24" s="33"/>
      <c r="D24" s="34"/>
      <c r="E24" s="33"/>
      <c r="F24" s="33"/>
      <c r="G24" s="33"/>
      <c r="H24" s="33"/>
      <c r="I24" s="321"/>
      <c r="J24" s="33"/>
      <c r="K24" s="322"/>
      <c r="L24" s="13"/>
      <c r="M24" s="302"/>
      <c r="N24" s="302"/>
      <c r="O24" s="302"/>
      <c r="P24" s="302"/>
      <c r="Q24" s="302"/>
      <c r="R24" s="268"/>
      <c r="S24" s="268"/>
    </row>
    <row r="25" spans="1:19" x14ac:dyDescent="0.2">
      <c r="A25" s="202" t="s">
        <v>94</v>
      </c>
      <c r="B25" s="121">
        <v>24240</v>
      </c>
      <c r="C25" s="122">
        <v>18103</v>
      </c>
      <c r="D25" s="287">
        <v>1.3390045848754351</v>
      </c>
      <c r="E25" s="122">
        <v>19244</v>
      </c>
      <c r="F25" s="124">
        <v>0.79389438943894386</v>
      </c>
      <c r="G25" s="122">
        <v>15609</v>
      </c>
      <c r="H25" s="122">
        <v>11732</v>
      </c>
      <c r="I25" s="122">
        <v>9937</v>
      </c>
      <c r="J25" s="124">
        <v>0.64806938076561893</v>
      </c>
      <c r="K25" s="262">
        <v>0.75161765648023571</v>
      </c>
      <c r="L25" s="13"/>
      <c r="M25" s="317"/>
      <c r="N25" s="268"/>
      <c r="O25" s="268"/>
      <c r="P25" s="268"/>
      <c r="Q25" s="268"/>
      <c r="R25" s="268"/>
      <c r="S25" s="268"/>
    </row>
    <row r="26" spans="1:19" x14ac:dyDescent="0.2">
      <c r="A26" s="204" t="s">
        <v>95</v>
      </c>
      <c r="B26" s="126">
        <v>2767</v>
      </c>
      <c r="C26" s="127">
        <v>2627</v>
      </c>
      <c r="D26" s="288">
        <v>1.0532927293490675</v>
      </c>
      <c r="E26" s="127">
        <v>2090</v>
      </c>
      <c r="F26" s="66">
        <v>0.75533068305023487</v>
      </c>
      <c r="G26" s="127">
        <v>2037</v>
      </c>
      <c r="H26" s="127">
        <v>1654</v>
      </c>
      <c r="I26" s="127">
        <v>1371</v>
      </c>
      <c r="J26" s="66">
        <v>0.62961553102398171</v>
      </c>
      <c r="K26" s="114">
        <v>0.81197839960726559</v>
      </c>
      <c r="L26" s="13"/>
      <c r="M26" s="317"/>
      <c r="N26" s="268"/>
      <c r="O26" s="268"/>
      <c r="P26" s="268"/>
      <c r="Q26" s="268"/>
      <c r="R26" s="268"/>
      <c r="S26" s="268"/>
    </row>
    <row r="27" spans="1:19" ht="13.5" thickBot="1" x14ac:dyDescent="0.25">
      <c r="A27" s="205" t="s">
        <v>18</v>
      </c>
      <c r="B27" s="128">
        <v>27007</v>
      </c>
      <c r="C27" s="129">
        <v>20595</v>
      </c>
      <c r="D27" s="289">
        <v>1.31133770332605</v>
      </c>
      <c r="E27" s="129">
        <v>21334</v>
      </c>
      <c r="F27" s="130">
        <v>0.78994334802088351</v>
      </c>
      <c r="G27" s="129">
        <v>17577</v>
      </c>
      <c r="H27" s="129">
        <v>13361</v>
      </c>
      <c r="I27" s="129">
        <v>11300</v>
      </c>
      <c r="J27" s="130">
        <v>0.64874969652828351</v>
      </c>
      <c r="K27" s="285">
        <v>0.76014109347442682</v>
      </c>
      <c r="L27" s="13"/>
      <c r="M27" s="317"/>
      <c r="N27" s="268"/>
      <c r="O27" s="268"/>
      <c r="P27" s="268"/>
      <c r="Q27" s="268"/>
      <c r="R27" s="268"/>
      <c r="S27" s="268"/>
    </row>
    <row r="28" spans="1:19" ht="13.5" thickBot="1" x14ac:dyDescent="0.25">
      <c r="A28" s="32" t="s">
        <v>76</v>
      </c>
      <c r="B28" s="33"/>
      <c r="C28" s="33"/>
      <c r="D28" s="34"/>
      <c r="E28" s="33"/>
      <c r="F28" s="33"/>
      <c r="G28" s="33"/>
      <c r="H28" s="33"/>
      <c r="I28" s="321"/>
      <c r="J28" s="33"/>
      <c r="K28" s="322"/>
      <c r="L28" s="268"/>
      <c r="M28" s="268"/>
      <c r="N28" s="268"/>
      <c r="O28" s="268"/>
      <c r="P28" s="268"/>
      <c r="Q28" s="268"/>
      <c r="R28" s="268"/>
    </row>
    <row r="29" spans="1:19" x14ac:dyDescent="0.2">
      <c r="A29" s="202" t="s">
        <v>94</v>
      </c>
      <c r="B29" s="121">
        <v>22090</v>
      </c>
      <c r="C29" s="122">
        <v>16841</v>
      </c>
      <c r="D29" s="287">
        <v>1.3116798289887774</v>
      </c>
      <c r="E29" s="122">
        <v>16790</v>
      </c>
      <c r="F29" s="124">
        <v>0.76007243096423727</v>
      </c>
      <c r="G29" s="122">
        <v>14090</v>
      </c>
      <c r="H29" s="122">
        <v>11398</v>
      </c>
      <c r="I29" s="286">
        <v>9499</v>
      </c>
      <c r="J29" s="124">
        <v>0.67680066504364345</v>
      </c>
      <c r="K29" s="262">
        <v>0.80894251242015613</v>
      </c>
      <c r="L29" s="302"/>
      <c r="M29" s="302"/>
      <c r="N29" s="302"/>
      <c r="O29" s="302"/>
      <c r="P29" s="302"/>
      <c r="Q29" s="302"/>
      <c r="R29" s="268"/>
    </row>
    <row r="30" spans="1:19" x14ac:dyDescent="0.2">
      <c r="A30" s="204" t="s">
        <v>95</v>
      </c>
      <c r="B30" s="126">
        <v>2883</v>
      </c>
      <c r="C30" s="127">
        <v>2753</v>
      </c>
      <c r="D30" s="288">
        <v>1.0472212132219396</v>
      </c>
      <c r="E30" s="127">
        <v>2341</v>
      </c>
      <c r="F30" s="66">
        <v>0.81200138744363515</v>
      </c>
      <c r="G30" s="127">
        <v>2288</v>
      </c>
      <c r="H30" s="127">
        <v>1829</v>
      </c>
      <c r="I30" s="151">
        <v>1658</v>
      </c>
      <c r="J30" s="66">
        <v>0.66436614602252086</v>
      </c>
      <c r="K30" s="114">
        <v>0.79938811188811187</v>
      </c>
      <c r="L30" s="302"/>
      <c r="M30" s="302"/>
      <c r="N30" s="302"/>
      <c r="O30" s="302"/>
      <c r="P30" s="302"/>
      <c r="Q30" s="302"/>
      <c r="R30" s="268"/>
    </row>
    <row r="31" spans="1:19" ht="13.5" thickBot="1" x14ac:dyDescent="0.25">
      <c r="A31" s="205" t="s">
        <v>18</v>
      </c>
      <c r="B31" s="128">
        <v>24973</v>
      </c>
      <c r="C31" s="129">
        <v>19441</v>
      </c>
      <c r="D31" s="289">
        <v>1.284553263721002</v>
      </c>
      <c r="E31" s="129">
        <v>19131</v>
      </c>
      <c r="F31" s="130">
        <v>0.76606735274096027</v>
      </c>
      <c r="G31" s="129">
        <v>16309</v>
      </c>
      <c r="H31" s="327">
        <v>13203</v>
      </c>
      <c r="I31" s="327">
        <v>11149</v>
      </c>
      <c r="J31" s="130">
        <v>0.67913173190679488</v>
      </c>
      <c r="K31" s="131">
        <v>0.80955300754184811</v>
      </c>
      <c r="L31" s="313"/>
      <c r="M31" s="302"/>
      <c r="N31" s="302"/>
      <c r="O31" s="302"/>
      <c r="P31" s="302"/>
      <c r="Q31" s="302"/>
    </row>
    <row r="32" spans="1:19" ht="13.5" thickBot="1" x14ac:dyDescent="0.25">
      <c r="A32" s="32" t="s">
        <v>84</v>
      </c>
      <c r="B32" s="33"/>
      <c r="C32" s="33"/>
      <c r="D32" s="34"/>
      <c r="E32" s="33"/>
      <c r="F32" s="33"/>
      <c r="G32" s="33"/>
      <c r="H32" s="33"/>
      <c r="I32" s="321"/>
      <c r="J32" s="33"/>
      <c r="K32" s="322"/>
      <c r="L32" s="302"/>
      <c r="M32" s="302"/>
      <c r="N32" s="302"/>
      <c r="O32" s="302"/>
      <c r="P32" s="302"/>
      <c r="Q32" s="302"/>
    </row>
    <row r="33" spans="1:18" x14ac:dyDescent="0.2">
      <c r="A33" s="202" t="s">
        <v>94</v>
      </c>
      <c r="B33" s="121">
        <v>19455</v>
      </c>
      <c r="C33" s="122">
        <v>14282</v>
      </c>
      <c r="D33" s="287">
        <v>1.3622041730850021</v>
      </c>
      <c r="E33" s="122">
        <v>14941</v>
      </c>
      <c r="F33" s="124">
        <v>0.76797738370598823</v>
      </c>
      <c r="G33" s="122">
        <v>12576</v>
      </c>
      <c r="H33" s="286">
        <v>10723</v>
      </c>
      <c r="I33" s="286">
        <v>9081</v>
      </c>
      <c r="J33" s="124">
        <v>0.75080520935443218</v>
      </c>
      <c r="K33" s="262">
        <v>0.8526558524173028</v>
      </c>
      <c r="L33" s="302"/>
      <c r="M33" s="302"/>
      <c r="N33" s="302"/>
      <c r="O33" s="302"/>
      <c r="P33" s="302"/>
      <c r="Q33" s="302"/>
      <c r="R33" s="268"/>
    </row>
    <row r="34" spans="1:18" x14ac:dyDescent="0.2">
      <c r="A34" s="204" t="s">
        <v>95</v>
      </c>
      <c r="B34" s="126">
        <v>3166</v>
      </c>
      <c r="C34" s="127">
        <v>3050</v>
      </c>
      <c r="D34" s="288">
        <v>1.0380327868852459</v>
      </c>
      <c r="E34" s="127">
        <v>2536</v>
      </c>
      <c r="F34" s="66">
        <v>0.80101073910296905</v>
      </c>
      <c r="G34" s="127">
        <v>2491</v>
      </c>
      <c r="H34" s="151">
        <v>1958</v>
      </c>
      <c r="I34" s="151">
        <v>1786</v>
      </c>
      <c r="J34" s="66">
        <v>0.64196721311475413</v>
      </c>
      <c r="K34" s="114">
        <v>0.78602970694500196</v>
      </c>
      <c r="M34" s="268"/>
      <c r="N34" s="268"/>
      <c r="O34" s="268"/>
      <c r="P34" s="268"/>
      <c r="Q34" s="268"/>
      <c r="R34" s="268"/>
    </row>
    <row r="35" spans="1:18" ht="13.5" thickBot="1" x14ac:dyDescent="0.25">
      <c r="A35" s="205" t="s">
        <v>18</v>
      </c>
      <c r="B35" s="128">
        <v>22621</v>
      </c>
      <c r="C35" s="129">
        <v>17164</v>
      </c>
      <c r="D35" s="289">
        <v>1.3179328827779073</v>
      </c>
      <c r="E35" s="129">
        <v>17477</v>
      </c>
      <c r="F35" s="130">
        <v>0.77260068078334287</v>
      </c>
      <c r="G35" s="129">
        <v>14989</v>
      </c>
      <c r="H35" s="327">
        <v>12645</v>
      </c>
      <c r="I35" s="327">
        <v>10858</v>
      </c>
      <c r="J35" s="130">
        <v>0.73671638312747612</v>
      </c>
      <c r="K35" s="131">
        <v>0.84361865367936484</v>
      </c>
    </row>
    <row r="36" spans="1:18" ht="13.5" thickBot="1" x14ac:dyDescent="0.25">
      <c r="A36" s="32" t="s">
        <v>87</v>
      </c>
      <c r="B36" s="33"/>
      <c r="C36" s="33"/>
      <c r="D36" s="34"/>
      <c r="E36" s="33"/>
      <c r="F36" s="33"/>
      <c r="G36" s="33"/>
      <c r="H36" s="33"/>
      <c r="I36" s="321"/>
      <c r="J36" s="33"/>
      <c r="K36" s="322"/>
    </row>
    <row r="37" spans="1:18" x14ac:dyDescent="0.2">
      <c r="A37" s="202" t="s">
        <v>94</v>
      </c>
      <c r="B37" s="121">
        <v>16819</v>
      </c>
      <c r="C37" s="122">
        <v>13365</v>
      </c>
      <c r="D37" s="287">
        <v>1.2584362139917695</v>
      </c>
      <c r="E37" s="122">
        <v>13915</v>
      </c>
      <c r="F37" s="124">
        <v>0.82733812949640284</v>
      </c>
      <c r="G37" s="122">
        <v>12030</v>
      </c>
      <c r="H37" s="286">
        <v>10543</v>
      </c>
      <c r="I37" s="286">
        <v>8591</v>
      </c>
      <c r="J37" s="124">
        <v>0.78885147774036668</v>
      </c>
      <c r="K37" s="262">
        <v>0.87639235245220282</v>
      </c>
    </row>
    <row r="38" spans="1:18" x14ac:dyDescent="0.2">
      <c r="A38" s="204" t="s">
        <v>95</v>
      </c>
      <c r="B38" s="126">
        <v>4419</v>
      </c>
      <c r="C38" s="127">
        <v>4244</v>
      </c>
      <c r="D38" s="288">
        <v>1.0412346842601319</v>
      </c>
      <c r="E38" s="127">
        <v>3733</v>
      </c>
      <c r="F38" s="66">
        <v>0.84476125820321335</v>
      </c>
      <c r="G38" s="127">
        <v>3642</v>
      </c>
      <c r="H38" s="151">
        <v>3124</v>
      </c>
      <c r="I38" s="151">
        <v>2759</v>
      </c>
      <c r="J38" s="66">
        <v>0.73609802073515551</v>
      </c>
      <c r="K38" s="114">
        <v>0.85777045579352007</v>
      </c>
    </row>
    <row r="39" spans="1:18" ht="13.5" thickBot="1" x14ac:dyDescent="0.25">
      <c r="A39" s="205" t="s">
        <v>18</v>
      </c>
      <c r="B39" s="128">
        <v>21238</v>
      </c>
      <c r="C39" s="129">
        <v>17484</v>
      </c>
      <c r="D39" s="289">
        <v>1.2147105925417525</v>
      </c>
      <c r="E39" s="129">
        <v>17648</v>
      </c>
      <c r="F39" s="130">
        <v>0.83096336754873346</v>
      </c>
      <c r="G39" s="129">
        <v>15600</v>
      </c>
      <c r="H39" s="327">
        <v>13629</v>
      </c>
      <c r="I39" s="327">
        <v>11342</v>
      </c>
      <c r="J39" s="130">
        <v>0.779512697323267</v>
      </c>
      <c r="K39" s="131">
        <v>0.87365384615384611</v>
      </c>
    </row>
    <row r="40" spans="1:18" ht="13.5" thickBot="1" x14ac:dyDescent="0.25">
      <c r="A40" s="32" t="s">
        <v>89</v>
      </c>
      <c r="B40" s="33"/>
      <c r="C40" s="33"/>
      <c r="D40" s="34"/>
      <c r="E40" s="33"/>
      <c r="F40" s="33"/>
      <c r="G40" s="33"/>
      <c r="H40" s="33"/>
      <c r="I40" s="321"/>
      <c r="J40" s="33"/>
      <c r="K40" s="322"/>
    </row>
    <row r="41" spans="1:18" x14ac:dyDescent="0.2">
      <c r="A41" s="202" t="s">
        <v>94</v>
      </c>
      <c r="B41" s="121">
        <v>14927</v>
      </c>
      <c r="C41" s="122">
        <v>12999</v>
      </c>
      <c r="D41" s="287">
        <f>B41/C41</f>
        <v>1.1483191014693439</v>
      </c>
      <c r="E41" s="122">
        <v>12655</v>
      </c>
      <c r="F41" s="124">
        <f>E41/B41</f>
        <v>0.8477925906076238</v>
      </c>
      <c r="G41" s="122">
        <v>11248</v>
      </c>
      <c r="H41" s="286">
        <v>9902</v>
      </c>
      <c r="I41" s="286">
        <v>8212</v>
      </c>
      <c r="J41" s="124">
        <f>H41/C41</f>
        <v>0.76175090391568578</v>
      </c>
      <c r="K41" s="262">
        <f>H41/G41</f>
        <v>0.8803342816500711</v>
      </c>
    </row>
    <row r="42" spans="1:18" x14ac:dyDescent="0.2">
      <c r="A42" s="204" t="s">
        <v>95</v>
      </c>
      <c r="B42" s="126">
        <v>3970</v>
      </c>
      <c r="C42" s="127">
        <v>3808</v>
      </c>
      <c r="D42" s="288">
        <f>B42/C42</f>
        <v>1.0425420168067228</v>
      </c>
      <c r="E42" s="127">
        <v>3500</v>
      </c>
      <c r="F42" s="66">
        <f>E42/B42</f>
        <v>0.88161209068010071</v>
      </c>
      <c r="G42" s="127">
        <v>3408</v>
      </c>
      <c r="H42" s="151">
        <v>2727</v>
      </c>
      <c r="I42" s="151">
        <v>2455</v>
      </c>
      <c r="J42" s="66">
        <f>H42/C42</f>
        <v>0.71612394957983194</v>
      </c>
      <c r="K42" s="114">
        <f>H42/G42</f>
        <v>0.80017605633802813</v>
      </c>
    </row>
    <row r="43" spans="1:18" ht="13.5" thickBot="1" x14ac:dyDescent="0.25">
      <c r="A43" s="457" t="s">
        <v>18</v>
      </c>
      <c r="B43" s="458">
        <v>18897</v>
      </c>
      <c r="C43" s="459">
        <v>16703</v>
      </c>
      <c r="D43" s="460">
        <f>B43/C43</f>
        <v>1.1313536490450817</v>
      </c>
      <c r="E43" s="459">
        <v>16155</v>
      </c>
      <c r="F43" s="461">
        <f>E43/B43</f>
        <v>0.85489760279409432</v>
      </c>
      <c r="G43" s="462">
        <v>14593</v>
      </c>
      <c r="H43" s="462">
        <v>12593</v>
      </c>
      <c r="I43" s="459">
        <v>10658</v>
      </c>
      <c r="J43" s="461">
        <f>H43/C43</f>
        <v>0.75393641860743577</v>
      </c>
      <c r="K43" s="463">
        <f>H43/G43</f>
        <v>0.86294798876173506</v>
      </c>
    </row>
    <row r="44" spans="1:18" ht="13.5" thickBot="1" x14ac:dyDescent="0.25">
      <c r="A44" s="32" t="s">
        <v>108</v>
      </c>
      <c r="B44" s="33"/>
      <c r="C44" s="33"/>
      <c r="D44" s="34"/>
      <c r="E44" s="33"/>
      <c r="F44" s="33"/>
      <c r="G44" s="33"/>
      <c r="H44" s="33"/>
      <c r="I44" s="321"/>
      <c r="J44" s="33"/>
      <c r="K44" s="322"/>
    </row>
    <row r="45" spans="1:18" x14ac:dyDescent="0.2">
      <c r="A45" s="202" t="s">
        <v>94</v>
      </c>
      <c r="B45" s="121">
        <v>15984</v>
      </c>
      <c r="C45" s="122">
        <v>13379</v>
      </c>
      <c r="D45" s="287">
        <f>B45/C45</f>
        <v>1.1947081246729949</v>
      </c>
      <c r="E45" s="122">
        <v>13958</v>
      </c>
      <c r="F45" s="124">
        <f>E45/B45</f>
        <v>0.8732482482482482</v>
      </c>
      <c r="G45" s="122">
        <v>12069</v>
      </c>
      <c r="H45" s="286">
        <v>10660</v>
      </c>
      <c r="I45" s="286">
        <v>8786</v>
      </c>
      <c r="J45" s="482">
        <f>H45/C45</f>
        <v>0.79677105912250545</v>
      </c>
      <c r="K45" s="262">
        <f>H45/G45</f>
        <v>0.88325461927251636</v>
      </c>
    </row>
    <row r="46" spans="1:18" x14ac:dyDescent="0.2">
      <c r="A46" s="204" t="s">
        <v>95</v>
      </c>
      <c r="B46" s="126">
        <v>4639</v>
      </c>
      <c r="C46" s="127">
        <v>4449</v>
      </c>
      <c r="D46" s="288">
        <f>B46/C46</f>
        <v>1.0427062261182287</v>
      </c>
      <c r="E46" s="127">
        <v>4109</v>
      </c>
      <c r="F46" s="66">
        <f>E46/B46</f>
        <v>0.88575123949126966</v>
      </c>
      <c r="G46" s="127">
        <v>3996</v>
      </c>
      <c r="H46" s="151">
        <v>3124</v>
      </c>
      <c r="I46" s="151">
        <v>2792</v>
      </c>
      <c r="J46" s="483">
        <f>H46/C46</f>
        <v>0.70218026522814114</v>
      </c>
      <c r="K46" s="114">
        <f>H46/G46</f>
        <v>0.78178178178178181</v>
      </c>
    </row>
    <row r="47" spans="1:18" ht="13.5" thickBot="1" x14ac:dyDescent="0.25">
      <c r="A47" s="212" t="s">
        <v>18</v>
      </c>
      <c r="B47" s="132">
        <v>20623</v>
      </c>
      <c r="C47" s="133">
        <v>17696</v>
      </c>
      <c r="D47" s="290">
        <f>B47/C47</f>
        <v>1.1654046112115732</v>
      </c>
      <c r="E47" s="133">
        <v>18067</v>
      </c>
      <c r="F47" s="134">
        <f>E47/B47</f>
        <v>0.87606070891722831</v>
      </c>
      <c r="G47" s="353">
        <v>15972</v>
      </c>
      <c r="H47" s="353">
        <v>13741</v>
      </c>
      <c r="I47" s="133">
        <v>11563</v>
      </c>
      <c r="J47" s="484">
        <f>H47/C47</f>
        <v>0.776503164556962</v>
      </c>
      <c r="K47" s="263">
        <f>H47/G47</f>
        <v>0.86031805659904836</v>
      </c>
    </row>
    <row r="48" spans="1:18" ht="14.25" thickTop="1" thickBot="1" x14ac:dyDescent="0.25">
      <c r="A48" s="32" t="s">
        <v>118</v>
      </c>
      <c r="B48" s="33"/>
      <c r="C48" s="33"/>
      <c r="D48" s="34"/>
      <c r="E48" s="33"/>
      <c r="F48" s="33"/>
      <c r="G48" s="33"/>
      <c r="H48" s="33"/>
      <c r="I48" s="321"/>
      <c r="J48" s="33"/>
      <c r="K48" s="322"/>
    </row>
    <row r="49" spans="1:11" x14ac:dyDescent="0.2">
      <c r="A49" s="202" t="s">
        <v>94</v>
      </c>
      <c r="B49" s="121">
        <v>16894</v>
      </c>
      <c r="C49" s="122">
        <v>14212</v>
      </c>
      <c r="D49" s="287">
        <f>B49/C49</f>
        <v>1.1887137630171687</v>
      </c>
      <c r="E49" s="122">
        <v>14957</v>
      </c>
      <c r="F49" s="124">
        <f>E49/B49</f>
        <v>0.88534390908014682</v>
      </c>
      <c r="G49" s="122">
        <v>13018</v>
      </c>
      <c r="H49" s="286">
        <v>11036</v>
      </c>
      <c r="I49" s="286">
        <v>9436</v>
      </c>
      <c r="J49" s="482">
        <f>H49/C49</f>
        <v>0.77652687869406134</v>
      </c>
      <c r="K49" s="262">
        <f>H49/G49</f>
        <v>0.8477492702412045</v>
      </c>
    </row>
    <row r="50" spans="1:11" x14ac:dyDescent="0.2">
      <c r="A50" s="204" t="s">
        <v>95</v>
      </c>
      <c r="B50" s="126">
        <v>5252</v>
      </c>
      <c r="C50" s="127">
        <v>5000</v>
      </c>
      <c r="D50" s="288">
        <f>B50/C50</f>
        <v>1.0504</v>
      </c>
      <c r="E50" s="127">
        <v>4677</v>
      </c>
      <c r="F50" s="66">
        <f>E50/B50</f>
        <v>0.89051789794364056</v>
      </c>
      <c r="G50" s="127">
        <v>4520</v>
      </c>
      <c r="H50" s="151">
        <v>3469</v>
      </c>
      <c r="I50" s="151">
        <v>3101</v>
      </c>
      <c r="J50" s="483">
        <f>H50/C50</f>
        <v>0.69379999999999997</v>
      </c>
      <c r="K50" s="114">
        <f>H50/G50</f>
        <v>0.76747787610619467</v>
      </c>
    </row>
    <row r="51" spans="1:11" ht="13.5" thickBot="1" x14ac:dyDescent="0.25">
      <c r="A51" s="212" t="s">
        <v>18</v>
      </c>
      <c r="B51" s="132">
        <v>22146</v>
      </c>
      <c r="C51" s="133">
        <v>19041</v>
      </c>
      <c r="D51" s="290">
        <f>B51/C51</f>
        <v>1.163069166535371</v>
      </c>
      <c r="E51" s="133">
        <v>19634</v>
      </c>
      <c r="F51" s="134">
        <f>E51/B51</f>
        <v>0.88657093831843226</v>
      </c>
      <c r="G51" s="353">
        <v>17418</v>
      </c>
      <c r="H51" s="353">
        <v>14447</v>
      </c>
      <c r="I51" s="133">
        <v>12515</v>
      </c>
      <c r="J51" s="484">
        <f>H51/C51</f>
        <v>0.75873115907777955</v>
      </c>
      <c r="K51" s="263">
        <f>H51/G51</f>
        <v>0.82942932598461361</v>
      </c>
    </row>
    <row r="52" spans="1:11" ht="14.25" thickTop="1" thickBot="1" x14ac:dyDescent="0.25">
      <c r="A52" s="32" t="s">
        <v>121</v>
      </c>
      <c r="B52" s="33"/>
      <c r="C52" s="33"/>
      <c r="D52" s="34"/>
      <c r="E52" s="33"/>
      <c r="F52" s="33"/>
      <c r="G52" s="33"/>
      <c r="H52" s="33"/>
      <c r="I52" s="321"/>
      <c r="J52" s="33"/>
      <c r="K52" s="322"/>
    </row>
    <row r="53" spans="1:11" x14ac:dyDescent="0.2">
      <c r="A53" s="202" t="s">
        <v>94</v>
      </c>
      <c r="B53" s="121">
        <v>16082</v>
      </c>
      <c r="C53" s="122">
        <v>13177</v>
      </c>
      <c r="D53" s="287">
        <f>B53/C53</f>
        <v>1.2204598922364727</v>
      </c>
      <c r="E53" s="122">
        <v>14327</v>
      </c>
      <c r="F53" s="124">
        <f>E53/B53</f>
        <v>0.89087178211665219</v>
      </c>
      <c r="G53" s="122">
        <v>12136</v>
      </c>
      <c r="H53" s="286">
        <v>10432</v>
      </c>
      <c r="I53" s="286">
        <v>8712</v>
      </c>
      <c r="J53" s="482">
        <f>H53/C53</f>
        <v>0.79168247704333305</v>
      </c>
      <c r="K53" s="262">
        <f>H53/G53</f>
        <v>0.85959129861568884</v>
      </c>
    </row>
    <row r="54" spans="1:11" x14ac:dyDescent="0.2">
      <c r="A54" s="204" t="s">
        <v>95</v>
      </c>
      <c r="B54" s="126">
        <v>5276</v>
      </c>
      <c r="C54" s="127">
        <v>4953</v>
      </c>
      <c r="D54" s="288">
        <f>B54/C54</f>
        <v>1.0652130022208763</v>
      </c>
      <c r="E54" s="127">
        <v>4746</v>
      </c>
      <c r="F54" s="66">
        <f>E54/B54</f>
        <v>0.89954510993176651</v>
      </c>
      <c r="G54" s="127">
        <v>4509</v>
      </c>
      <c r="H54" s="151">
        <v>3443</v>
      </c>
      <c r="I54" s="151">
        <v>3105</v>
      </c>
      <c r="J54" s="483">
        <f>H54/C54</f>
        <v>0.6951342620633959</v>
      </c>
      <c r="K54" s="114">
        <f>H54/G54</f>
        <v>0.76358394322466183</v>
      </c>
    </row>
    <row r="55" spans="1:11" ht="13.5" thickBot="1" x14ac:dyDescent="0.25">
      <c r="A55" s="212" t="s">
        <v>18</v>
      </c>
      <c r="B55" s="132">
        <v>21358</v>
      </c>
      <c r="C55" s="133">
        <v>17864</v>
      </c>
      <c r="D55" s="290">
        <f>B55/C55</f>
        <v>1.1955888938647559</v>
      </c>
      <c r="E55" s="133">
        <f>+E53+E54</f>
        <v>19073</v>
      </c>
      <c r="F55" s="134">
        <f>E55/B55</f>
        <v>0.89301432718419327</v>
      </c>
      <c r="G55" s="353">
        <v>16458</v>
      </c>
      <c r="H55" s="353">
        <v>13820</v>
      </c>
      <c r="I55" s="133">
        <v>11804</v>
      </c>
      <c r="J55" s="484">
        <f>H55/C55</f>
        <v>0.77362292879534256</v>
      </c>
      <c r="K55" s="263">
        <f>H55/G55</f>
        <v>0.83971320938145577</v>
      </c>
    </row>
    <row r="56" spans="1:11" ht="14.25" thickTop="1" thickBot="1" x14ac:dyDescent="0.25">
      <c r="A56" s="32" t="s">
        <v>132</v>
      </c>
      <c r="B56" s="33"/>
      <c r="C56" s="33"/>
      <c r="D56" s="34"/>
      <c r="E56" s="33"/>
      <c r="F56" s="33"/>
      <c r="G56" s="33"/>
      <c r="H56" s="33"/>
      <c r="I56" s="321"/>
      <c r="J56" s="33"/>
      <c r="K56" s="322"/>
    </row>
    <row r="57" spans="1:11" x14ac:dyDescent="0.2">
      <c r="A57" s="202" t="s">
        <v>94</v>
      </c>
      <c r="B57" s="121">
        <v>15772</v>
      </c>
      <c r="C57" s="122">
        <v>12948</v>
      </c>
      <c r="D57" s="287">
        <f>B57/C57</f>
        <v>1.2181031819586037</v>
      </c>
      <c r="E57" s="286">
        <v>13932</v>
      </c>
      <c r="F57" s="124">
        <f>E57/B57</f>
        <v>0.88333756023332488</v>
      </c>
      <c r="G57" s="122">
        <v>11864</v>
      </c>
      <c r="H57" s="286">
        <v>10382</v>
      </c>
      <c r="I57" s="286">
        <v>8909</v>
      </c>
      <c r="J57" s="482">
        <f>H57/C57</f>
        <v>0.80182267531665119</v>
      </c>
      <c r="K57" s="262">
        <f>H57/G57</f>
        <v>0.87508428860418075</v>
      </c>
    </row>
    <row r="58" spans="1:11" x14ac:dyDescent="0.2">
      <c r="A58" s="204" t="s">
        <v>95</v>
      </c>
      <c r="B58" s="126">
        <v>5219</v>
      </c>
      <c r="C58" s="127">
        <v>4864</v>
      </c>
      <c r="D58" s="288">
        <f>B58/C58</f>
        <v>1.072985197368421</v>
      </c>
      <c r="E58" s="151">
        <v>4715</v>
      </c>
      <c r="F58" s="66">
        <f>E58/B58</f>
        <v>0.90342977581912243</v>
      </c>
      <c r="G58" s="127">
        <v>4467</v>
      </c>
      <c r="H58" s="151">
        <v>3465</v>
      </c>
      <c r="I58" s="151">
        <v>3147</v>
      </c>
      <c r="J58" s="483">
        <f>H58/C58</f>
        <v>0.71237664473684215</v>
      </c>
      <c r="K58" s="114">
        <f>H58/G58</f>
        <v>0.77568838146406982</v>
      </c>
    </row>
    <row r="59" spans="1:11" ht="13.5" thickBot="1" x14ac:dyDescent="0.25">
      <c r="A59" s="212" t="s">
        <v>18</v>
      </c>
      <c r="B59" s="132">
        <v>20991</v>
      </c>
      <c r="C59" s="133">
        <v>17605</v>
      </c>
      <c r="D59" s="290">
        <f>B59/C59</f>
        <v>1.1923317239420619</v>
      </c>
      <c r="E59" s="133">
        <v>18647</v>
      </c>
      <c r="F59" s="134">
        <f>E59/B59</f>
        <v>0.88833309513601066</v>
      </c>
      <c r="G59" s="353">
        <v>16196</v>
      </c>
      <c r="H59" s="353">
        <v>13798</v>
      </c>
      <c r="I59" s="133">
        <v>12043</v>
      </c>
      <c r="J59" s="484">
        <f>H59/C59</f>
        <v>0.78375461516614597</v>
      </c>
      <c r="K59" s="263">
        <f>H59/G59</f>
        <v>0.85193875030871824</v>
      </c>
    </row>
    <row r="60" spans="1:11" ht="14.25" thickTop="1" thickBot="1" x14ac:dyDescent="0.25">
      <c r="A60" s="32" t="s">
        <v>134</v>
      </c>
      <c r="B60" s="33"/>
      <c r="C60" s="33"/>
      <c r="D60" s="34"/>
      <c r="E60" s="33"/>
      <c r="F60" s="33"/>
      <c r="G60" s="33"/>
      <c r="H60" s="33"/>
      <c r="I60" s="321"/>
      <c r="J60" s="33"/>
      <c r="K60" s="322"/>
    </row>
    <row r="61" spans="1:11" x14ac:dyDescent="0.2">
      <c r="A61" s="202" t="s">
        <v>94</v>
      </c>
      <c r="B61" s="121">
        <v>15529</v>
      </c>
      <c r="C61" s="122">
        <v>12647</v>
      </c>
      <c r="D61" s="287">
        <f>B61/C61</f>
        <v>1.2278801296750217</v>
      </c>
      <c r="E61" s="122">
        <v>14049</v>
      </c>
      <c r="F61" s="124">
        <f>E61/B61</f>
        <v>0.90469444265567645</v>
      </c>
      <c r="G61" s="122">
        <v>11827</v>
      </c>
      <c r="H61" s="286">
        <v>10261</v>
      </c>
      <c r="I61" s="286">
        <v>8715</v>
      </c>
      <c r="J61" s="482">
        <f>H61/C61</f>
        <v>0.81133865738910416</v>
      </c>
      <c r="K61" s="262">
        <f>H61/G61</f>
        <v>0.86759110509850346</v>
      </c>
    </row>
    <row r="62" spans="1:11" x14ac:dyDescent="0.2">
      <c r="A62" s="204" t="s">
        <v>95</v>
      </c>
      <c r="B62" s="126">
        <v>5351</v>
      </c>
      <c r="C62" s="127">
        <v>4974</v>
      </c>
      <c r="D62" s="288">
        <f>B62/C62</f>
        <v>1.0757941294732609</v>
      </c>
      <c r="E62" s="127">
        <v>4898</v>
      </c>
      <c r="F62" s="66">
        <f>E62/B62</f>
        <v>0.91534292655578398</v>
      </c>
      <c r="G62" s="127">
        <v>4613</v>
      </c>
      <c r="H62" s="151">
        <v>3546</v>
      </c>
      <c r="I62" s="151">
        <v>3176</v>
      </c>
      <c r="J62" s="483">
        <f>H62/C62</f>
        <v>0.71290711700844389</v>
      </c>
      <c r="K62" s="114">
        <f>H62/G62</f>
        <v>0.76869716019943635</v>
      </c>
    </row>
    <row r="63" spans="1:11" ht="13.5" thickBot="1" x14ac:dyDescent="0.25">
      <c r="A63" s="212" t="s">
        <v>18</v>
      </c>
      <c r="B63" s="132">
        <f>'voš_vše '!P3*1000</f>
        <v>20880</v>
      </c>
      <c r="C63" s="133">
        <f>'voš_vše '!P4*1000</f>
        <v>17384</v>
      </c>
      <c r="D63" s="290">
        <f>B63/C63</f>
        <v>1.2011044638748274</v>
      </c>
      <c r="E63" s="133">
        <v>18947</v>
      </c>
      <c r="F63" s="134">
        <f>E63/B63</f>
        <v>0.90742337164750952</v>
      </c>
      <c r="G63" s="353">
        <v>16264</v>
      </c>
      <c r="H63" s="353">
        <f>'voš_vše '!P5*1000</f>
        <v>13740</v>
      </c>
      <c r="I63" s="133">
        <f>'voš_vše '!P6*1000</f>
        <v>11877</v>
      </c>
      <c r="J63" s="484">
        <f>H63/C63</f>
        <v>0.79038196042337783</v>
      </c>
      <c r="K63" s="263">
        <f>H63/G63</f>
        <v>0.84481062469257251</v>
      </c>
    </row>
    <row r="64" spans="1:11" ht="14.25" thickTop="1" thickBot="1" x14ac:dyDescent="0.25">
      <c r="A64" s="32" t="s">
        <v>137</v>
      </c>
      <c r="B64" s="33"/>
      <c r="C64" s="33"/>
      <c r="D64" s="34"/>
      <c r="E64" s="33"/>
      <c r="F64" s="33"/>
      <c r="G64" s="33"/>
      <c r="H64" s="33"/>
      <c r="I64" s="321"/>
      <c r="J64" s="33"/>
      <c r="K64" s="322"/>
    </row>
    <row r="65" spans="1:11" x14ac:dyDescent="0.2">
      <c r="A65" s="202" t="s">
        <v>94</v>
      </c>
      <c r="B65" s="121">
        <v>14151</v>
      </c>
      <c r="C65" s="122">
        <v>11516</v>
      </c>
      <c r="D65" s="287">
        <f>B65/C65</f>
        <v>1.2288120875303925</v>
      </c>
      <c r="E65" s="122">
        <v>12468</v>
      </c>
      <c r="F65" s="124">
        <f>E65/B65</f>
        <v>0.88106847572609714</v>
      </c>
      <c r="G65" s="122">
        <v>10564</v>
      </c>
      <c r="H65" s="286">
        <v>9417</v>
      </c>
      <c r="I65" s="286">
        <v>8144</v>
      </c>
      <c r="J65" s="482">
        <f>H65/C65</f>
        <v>0.81773185133726989</v>
      </c>
      <c r="K65" s="262">
        <f>H65/G65</f>
        <v>0.89142370314274899</v>
      </c>
    </row>
    <row r="66" spans="1:11" x14ac:dyDescent="0.2">
      <c r="A66" s="204" t="s">
        <v>95</v>
      </c>
      <c r="B66" s="126">
        <v>5167</v>
      </c>
      <c r="C66" s="127">
        <v>4785</v>
      </c>
      <c r="D66" s="288">
        <f>B66/C66</f>
        <v>1.0798328108672937</v>
      </c>
      <c r="E66" s="127">
        <v>4648</v>
      </c>
      <c r="F66" s="66">
        <f>E66/B66</f>
        <v>0.89955486742790791</v>
      </c>
      <c r="G66" s="127">
        <v>4360</v>
      </c>
      <c r="H66" s="151">
        <v>3135</v>
      </c>
      <c r="I66" s="151">
        <v>2825</v>
      </c>
      <c r="J66" s="483">
        <f>H66/C66</f>
        <v>0.65517241379310343</v>
      </c>
      <c r="K66" s="114">
        <f>H66/G66</f>
        <v>0.71903669724770647</v>
      </c>
    </row>
    <row r="67" spans="1:11" ht="13.5" thickBot="1" x14ac:dyDescent="0.25">
      <c r="A67" s="212" t="s">
        <v>18</v>
      </c>
      <c r="B67" s="132">
        <f>'voš_vše '!Q3*1000</f>
        <v>19318</v>
      </c>
      <c r="C67" s="133">
        <f>'voš_vše '!Q4*1000</f>
        <v>16050</v>
      </c>
      <c r="D67" s="290">
        <f>B67/C67</f>
        <v>1.203613707165109</v>
      </c>
      <c r="E67" s="133">
        <v>17116</v>
      </c>
      <c r="F67" s="134">
        <f>E67/B67</f>
        <v>0.88601304482865717</v>
      </c>
      <c r="G67" s="353">
        <v>14740</v>
      </c>
      <c r="H67" s="353">
        <v>12482</v>
      </c>
      <c r="I67" s="133">
        <v>10951</v>
      </c>
      <c r="J67" s="484">
        <f>H67/C67</f>
        <v>0.7776947040498442</v>
      </c>
      <c r="K67" s="263">
        <f>H67/G67</f>
        <v>0.84681139755766621</v>
      </c>
    </row>
    <row r="68" spans="1:11" ht="14.25" thickTop="1" thickBot="1" x14ac:dyDescent="0.25">
      <c r="A68" s="32" t="s">
        <v>139</v>
      </c>
      <c r="B68" s="33"/>
      <c r="C68" s="33"/>
      <c r="D68" s="34"/>
      <c r="E68" s="33"/>
      <c r="F68" s="33"/>
      <c r="G68" s="33"/>
      <c r="H68" s="33"/>
      <c r="I68" s="321"/>
      <c r="J68" s="33"/>
      <c r="K68" s="322"/>
    </row>
    <row r="69" spans="1:11" x14ac:dyDescent="0.2">
      <c r="A69" s="202" t="s">
        <v>94</v>
      </c>
      <c r="B69" s="121">
        <v>12492</v>
      </c>
      <c r="C69" s="122">
        <v>10145</v>
      </c>
      <c r="D69" s="287">
        <f>B69/C69</f>
        <v>1.2313454903893544</v>
      </c>
      <c r="E69" s="122">
        <v>11012</v>
      </c>
      <c r="F69" s="124">
        <f>E69/B69</f>
        <v>0.88152417547230222</v>
      </c>
      <c r="G69" s="122">
        <v>9284</v>
      </c>
      <c r="H69" s="286">
        <v>8398</v>
      </c>
      <c r="I69" s="286">
        <v>7134</v>
      </c>
      <c r="J69" s="482">
        <f>H69/C69</f>
        <v>0.82779694430754069</v>
      </c>
      <c r="K69" s="262">
        <f>H69/G69</f>
        <v>0.90456699698405862</v>
      </c>
    </row>
    <row r="70" spans="1:11" x14ac:dyDescent="0.2">
      <c r="A70" s="204" t="s">
        <v>95</v>
      </c>
      <c r="B70" s="126">
        <f>B71-B69</f>
        <v>4893</v>
      </c>
      <c r="C70" s="127">
        <v>4523</v>
      </c>
      <c r="D70" s="288">
        <f>B70/C70</f>
        <v>1.0818041123148352</v>
      </c>
      <c r="E70" s="127">
        <f>E71-E69</f>
        <v>4266</v>
      </c>
      <c r="F70" s="66">
        <f>E70/B70</f>
        <v>0.8718577559779277</v>
      </c>
      <c r="G70" s="127">
        <v>4024</v>
      </c>
      <c r="H70" s="151">
        <v>3250</v>
      </c>
      <c r="I70" s="151">
        <v>2914</v>
      </c>
      <c r="J70" s="483">
        <f>H70/C70</f>
        <v>0.71854963519787751</v>
      </c>
      <c r="K70" s="114">
        <f>H70/G70</f>
        <v>0.80765407554671964</v>
      </c>
    </row>
    <row r="71" spans="1:11" ht="13.5" thickBot="1" x14ac:dyDescent="0.25">
      <c r="A71" s="212" t="s">
        <v>18</v>
      </c>
      <c r="B71" s="132">
        <f>'voš_vše '!R3*1000</f>
        <v>17385</v>
      </c>
      <c r="C71" s="133">
        <f>'voš_vše '!R4*1000</f>
        <v>14397</v>
      </c>
      <c r="D71" s="290">
        <f>B71/C71</f>
        <v>1.2075432381746196</v>
      </c>
      <c r="E71" s="133">
        <v>15278</v>
      </c>
      <c r="F71" s="134">
        <f>E71/B71</f>
        <v>0.87880356629278111</v>
      </c>
      <c r="G71" s="353">
        <v>13149</v>
      </c>
      <c r="H71" s="353">
        <v>11580</v>
      </c>
      <c r="I71" s="133">
        <v>10032</v>
      </c>
      <c r="J71" s="484">
        <f>H71/C71</f>
        <v>0.80433423629922896</v>
      </c>
      <c r="K71" s="263">
        <f>H71/G71</f>
        <v>0.88067533652749264</v>
      </c>
    </row>
    <row r="72" spans="1:11" ht="14.25" thickTop="1" thickBot="1" x14ac:dyDescent="0.25">
      <c r="A72" s="32" t="s">
        <v>142</v>
      </c>
      <c r="B72" s="33"/>
      <c r="C72" s="33"/>
      <c r="D72" s="34"/>
      <c r="E72" s="33"/>
      <c r="F72" s="33"/>
      <c r="G72" s="33"/>
      <c r="H72" s="33"/>
      <c r="I72" s="321"/>
      <c r="J72" s="33"/>
      <c r="K72" s="322"/>
    </row>
    <row r="73" spans="1:11" x14ac:dyDescent="0.2">
      <c r="A73" s="202" t="s">
        <v>94</v>
      </c>
      <c r="B73" s="121">
        <v>10674</v>
      </c>
      <c r="C73" s="122">
        <v>8881</v>
      </c>
      <c r="D73" s="287">
        <f>B73/C73</f>
        <v>1.2018916788649927</v>
      </c>
      <c r="E73" s="122">
        <v>9472</v>
      </c>
      <c r="F73" s="124">
        <f>E73/B73</f>
        <v>0.88738991943039158</v>
      </c>
      <c r="G73" s="122">
        <v>8121</v>
      </c>
      <c r="H73" s="286">
        <v>7398</v>
      </c>
      <c r="I73" s="286">
        <v>6342</v>
      </c>
      <c r="J73" s="482">
        <f>H73/C73</f>
        <v>0.83301430019141987</v>
      </c>
      <c r="K73" s="262">
        <f>H73/G73</f>
        <v>0.91097155522718876</v>
      </c>
    </row>
    <row r="74" spans="1:11" x14ac:dyDescent="0.2">
      <c r="A74" s="204" t="s">
        <v>95</v>
      </c>
      <c r="B74" s="126">
        <f>B75-B73</f>
        <v>4362</v>
      </c>
      <c r="C74" s="127">
        <v>4033</v>
      </c>
      <c r="D74" s="288">
        <f>B74/C74</f>
        <v>1.0815769898338705</v>
      </c>
      <c r="E74" s="127">
        <f>E75-E73</f>
        <v>3784</v>
      </c>
      <c r="F74" s="66">
        <f>E74/B74</f>
        <v>0.86749197615772577</v>
      </c>
      <c r="G74" s="127">
        <v>3564</v>
      </c>
      <c r="H74" s="151">
        <v>3035</v>
      </c>
      <c r="I74" s="151">
        <v>2708</v>
      </c>
      <c r="J74" s="483">
        <f>H74/C74</f>
        <v>0.75254153235804611</v>
      </c>
      <c r="K74" s="114">
        <f>H74/G74</f>
        <v>0.85157126823793494</v>
      </c>
    </row>
    <row r="75" spans="1:11" ht="13.5" thickBot="1" x14ac:dyDescent="0.25">
      <c r="A75" s="212" t="s">
        <v>18</v>
      </c>
      <c r="B75" s="132">
        <f>'voš_vše '!S3*1000</f>
        <v>15036</v>
      </c>
      <c r="C75" s="133">
        <f>'voš_vše '!S4*1000</f>
        <v>12699</v>
      </c>
      <c r="D75" s="290">
        <f>B75/C75</f>
        <v>1.1840302386014647</v>
      </c>
      <c r="E75" s="133">
        <v>13256</v>
      </c>
      <c r="F75" s="134">
        <f>E75/B75</f>
        <v>0.88161745144985371</v>
      </c>
      <c r="G75" s="353">
        <v>11550</v>
      </c>
      <c r="H75" s="353">
        <v>10362</v>
      </c>
      <c r="I75" s="133">
        <v>9025</v>
      </c>
      <c r="J75" s="484">
        <f>H75/C75</f>
        <v>0.81596976139853528</v>
      </c>
      <c r="K75" s="263">
        <f>H75/G75</f>
        <v>0.89714285714285713</v>
      </c>
    </row>
    <row r="76" spans="1:11" ht="14.25" thickTop="1" thickBot="1" x14ac:dyDescent="0.25">
      <c r="A76" s="32" t="s">
        <v>145</v>
      </c>
      <c r="B76" s="33"/>
      <c r="C76" s="33"/>
      <c r="D76" s="34"/>
      <c r="E76" s="33"/>
      <c r="F76" s="33"/>
      <c r="G76" s="33"/>
      <c r="H76" s="33"/>
      <c r="I76" s="321"/>
      <c r="J76" s="33"/>
      <c r="K76" s="322"/>
    </row>
    <row r="77" spans="1:11" x14ac:dyDescent="0.2">
      <c r="A77" s="202" t="s">
        <v>94</v>
      </c>
      <c r="B77" s="121">
        <v>9151</v>
      </c>
      <c r="C77" s="122">
        <v>7657</v>
      </c>
      <c r="D77" s="287">
        <f>B77/C77</f>
        <v>1.1951155805145619</v>
      </c>
      <c r="E77" s="122">
        <v>7910</v>
      </c>
      <c r="F77" s="124">
        <f>E77/B77</f>
        <v>0.86438640585728332</v>
      </c>
      <c r="G77" s="122">
        <v>6909</v>
      </c>
      <c r="H77" s="286">
        <v>6362</v>
      </c>
      <c r="I77" s="286">
        <v>5449</v>
      </c>
      <c r="J77" s="482">
        <f>H77/C77</f>
        <v>0.83087371033041657</v>
      </c>
      <c r="K77" s="262">
        <f>H77/G77</f>
        <v>0.92082790563033723</v>
      </c>
    </row>
    <row r="78" spans="1:11" x14ac:dyDescent="0.2">
      <c r="A78" s="204" t="s">
        <v>95</v>
      </c>
      <c r="B78" s="126">
        <f>B79-B77</f>
        <v>4592</v>
      </c>
      <c r="C78" s="127">
        <v>4271</v>
      </c>
      <c r="D78" s="288">
        <f>B78/C78</f>
        <v>1.0751580426129712</v>
      </c>
      <c r="E78" s="127">
        <f>E79-E77</f>
        <v>4049</v>
      </c>
      <c r="F78" s="66">
        <f>E78/B78</f>
        <v>0.88175087108013939</v>
      </c>
      <c r="G78" s="127">
        <v>3854</v>
      </c>
      <c r="H78" s="151">
        <v>3230</v>
      </c>
      <c r="I78" s="151">
        <v>2879</v>
      </c>
      <c r="J78" s="483">
        <f>H78/C78</f>
        <v>0.75626317021774758</v>
      </c>
      <c r="K78" s="114">
        <f>H78/G78</f>
        <v>0.83809029579657501</v>
      </c>
    </row>
    <row r="79" spans="1:11" ht="13.5" thickBot="1" x14ac:dyDescent="0.25">
      <c r="A79" s="212" t="s">
        <v>18</v>
      </c>
      <c r="B79" s="132">
        <f>'voš_vše '!T3*1000</f>
        <v>13743</v>
      </c>
      <c r="C79" s="133">
        <f>'voš_vše '!T4*1000</f>
        <v>11732</v>
      </c>
      <c r="D79" s="290">
        <f>B79/C79</f>
        <v>1.1714115240368224</v>
      </c>
      <c r="E79" s="133">
        <v>11959</v>
      </c>
      <c r="F79" s="134">
        <f>E79/B79</f>
        <v>0.87018845957942226</v>
      </c>
      <c r="G79" s="353">
        <v>10614</v>
      </c>
      <c r="H79" s="353">
        <f>'voš_vše '!T5*1000</f>
        <v>9825</v>
      </c>
      <c r="I79" s="133">
        <f>'voš_vše '!T6*1000</f>
        <v>8304</v>
      </c>
      <c r="J79" s="484">
        <f>H79/C79</f>
        <v>0.83745311967269009</v>
      </c>
      <c r="K79" s="263">
        <f>H79/G79</f>
        <v>0.92566421707179203</v>
      </c>
    </row>
    <row r="80" spans="1:11" ht="14.25" thickTop="1" thickBot="1" x14ac:dyDescent="0.25">
      <c r="A80" s="32" t="s">
        <v>148</v>
      </c>
      <c r="B80" s="33"/>
      <c r="C80" s="33"/>
      <c r="D80" s="34"/>
      <c r="E80" s="33"/>
      <c r="F80" s="33"/>
      <c r="G80" s="33"/>
      <c r="H80" s="33"/>
      <c r="I80" s="321"/>
      <c r="J80" s="33"/>
      <c r="K80" s="322"/>
    </row>
    <row r="81" spans="1:12" x14ac:dyDescent="0.2">
      <c r="A81" s="202" t="s">
        <v>94</v>
      </c>
      <c r="B81" s="121">
        <v>8497</v>
      </c>
      <c r="C81" s="122">
        <v>7105</v>
      </c>
      <c r="D81" s="287">
        <f>B81/C81</f>
        <v>1.1959183673469387</v>
      </c>
      <c r="E81" s="122">
        <v>7606</v>
      </c>
      <c r="F81" s="124">
        <f>E81/B81</f>
        <v>0.89513946098623043</v>
      </c>
      <c r="G81" s="122">
        <v>6549</v>
      </c>
      <c r="H81" s="286">
        <v>5929</v>
      </c>
      <c r="I81" s="286">
        <v>5080</v>
      </c>
      <c r="J81" s="482">
        <f>H81/C81</f>
        <v>0.83448275862068966</v>
      </c>
      <c r="K81" s="262">
        <f>H81/G81</f>
        <v>0.9053290578714307</v>
      </c>
    </row>
    <row r="82" spans="1:12" x14ac:dyDescent="0.2">
      <c r="A82" s="204" t="s">
        <v>95</v>
      </c>
      <c r="B82" s="126">
        <f>B83-B81</f>
        <v>4353</v>
      </c>
      <c r="C82" s="127">
        <v>4271</v>
      </c>
      <c r="D82" s="288">
        <f>B82/C82</f>
        <v>1.019199250760946</v>
      </c>
      <c r="E82" s="127">
        <f>E83-E81</f>
        <v>3914</v>
      </c>
      <c r="F82" s="66">
        <f>E82/B82</f>
        <v>0.89915001148633122</v>
      </c>
      <c r="G82" s="127">
        <v>3728</v>
      </c>
      <c r="H82" s="151">
        <v>3167</v>
      </c>
      <c r="I82" s="151">
        <v>2793</v>
      </c>
      <c r="J82" s="483">
        <f>H82/C82</f>
        <v>0.74151252634043552</v>
      </c>
      <c r="K82" s="114">
        <f>H82/G82</f>
        <v>0.84951716738197425</v>
      </c>
    </row>
    <row r="83" spans="1:12" ht="13.5" thickBot="1" x14ac:dyDescent="0.25">
      <c r="A83" s="212" t="s">
        <v>18</v>
      </c>
      <c r="B83" s="132">
        <f>'voš_vše '!U3*1000</f>
        <v>12850</v>
      </c>
      <c r="C83" s="133">
        <f>'voš_vše '!U4*1000</f>
        <v>11006</v>
      </c>
      <c r="D83" s="290">
        <f>B83/C83</f>
        <v>1.1675449754679266</v>
      </c>
      <c r="E83" s="133">
        <v>11520</v>
      </c>
      <c r="F83" s="134">
        <f>E83/B83</f>
        <v>0.89649805447470821</v>
      </c>
      <c r="G83" s="353">
        <v>10154</v>
      </c>
      <c r="H83" s="353">
        <f>'voš_vše '!U5*1000</f>
        <v>9028</v>
      </c>
      <c r="I83" s="133">
        <f>'voš_vše '!U6*1000</f>
        <v>7844</v>
      </c>
      <c r="J83" s="484">
        <f>H83/C83</f>
        <v>0.82027984735598769</v>
      </c>
      <c r="K83" s="263">
        <f>H83/G83</f>
        <v>0.88910774079180621</v>
      </c>
    </row>
    <row r="84" spans="1:12" ht="14.25" thickTop="1" thickBot="1" x14ac:dyDescent="0.25">
      <c r="A84" s="32" t="s">
        <v>151</v>
      </c>
      <c r="B84" s="33"/>
      <c r="C84" s="33"/>
      <c r="D84" s="34"/>
      <c r="E84" s="33"/>
      <c r="F84" s="33"/>
      <c r="G84" s="33"/>
      <c r="H84" s="33"/>
      <c r="I84" s="321"/>
      <c r="J84" s="33"/>
      <c r="K84" s="322"/>
      <c r="L84" s="16"/>
    </row>
    <row r="85" spans="1:12" x14ac:dyDescent="0.2">
      <c r="A85" s="202" t="s">
        <v>94</v>
      </c>
      <c r="B85" s="121">
        <v>8644</v>
      </c>
      <c r="C85" s="122">
        <v>7045</v>
      </c>
      <c r="D85" s="287">
        <f>B85/C85</f>
        <v>1.2269694819020582</v>
      </c>
      <c r="E85" s="122">
        <v>7577</v>
      </c>
      <c r="F85" s="124">
        <f>E85/B85</f>
        <v>0.87656177695511339</v>
      </c>
      <c r="G85" s="122">
        <v>6409</v>
      </c>
      <c r="H85" s="286">
        <v>5924</v>
      </c>
      <c r="I85" s="286">
        <v>5081</v>
      </c>
      <c r="J85" s="482">
        <f>H85/C85</f>
        <v>0.8408800567778566</v>
      </c>
      <c r="K85" s="262">
        <f>H85/G85</f>
        <v>0.92432516773287565</v>
      </c>
      <c r="L85" s="16"/>
    </row>
    <row r="86" spans="1:12" x14ac:dyDescent="0.2">
      <c r="A86" s="204" t="s">
        <v>95</v>
      </c>
      <c r="B86" s="126">
        <f>B87-B85</f>
        <v>4405</v>
      </c>
      <c r="C86" s="127">
        <v>4097</v>
      </c>
      <c r="D86" s="288">
        <f>B86/C86</f>
        <v>1.0751769587503051</v>
      </c>
      <c r="E86" s="127">
        <f>E87-E85</f>
        <v>3943</v>
      </c>
      <c r="F86" s="66">
        <f>E86/B86</f>
        <v>0.89511918274687852</v>
      </c>
      <c r="G86" s="127">
        <v>3669</v>
      </c>
      <c r="H86" s="151">
        <v>3040</v>
      </c>
      <c r="I86" s="151">
        <v>2760</v>
      </c>
      <c r="J86" s="483">
        <f>H86/C86</f>
        <v>0.74200634610690752</v>
      </c>
      <c r="K86" s="114">
        <f>H86/G86</f>
        <v>0.82856364131916049</v>
      </c>
      <c r="L86" s="16"/>
    </row>
    <row r="87" spans="1:12" ht="13.5" thickBot="1" x14ac:dyDescent="0.25">
      <c r="A87" s="212" t="s">
        <v>18</v>
      </c>
      <c r="B87" s="132">
        <f>'voš_vše '!V3*1000</f>
        <v>13049</v>
      </c>
      <c r="C87" s="133">
        <f>'voš_vše '!V4*1000</f>
        <v>10916</v>
      </c>
      <c r="D87" s="290">
        <f>B87/C87</f>
        <v>1.1954012458776109</v>
      </c>
      <c r="E87" s="133">
        <v>11520</v>
      </c>
      <c r="F87" s="134">
        <f>E87/B87</f>
        <v>0.88282627021227678</v>
      </c>
      <c r="G87" s="353">
        <v>9930</v>
      </c>
      <c r="H87" s="353">
        <f>'voš_vše '!V5*1000</f>
        <v>8900</v>
      </c>
      <c r="I87" s="133">
        <f>'voš_vše '!V6*1000</f>
        <v>7833</v>
      </c>
      <c r="J87" s="484">
        <f>H87/C87</f>
        <v>0.81531696592158298</v>
      </c>
      <c r="K87" s="263">
        <f>H87/G87</f>
        <v>0.89627391742195373</v>
      </c>
    </row>
    <row r="88" spans="1:12" ht="14.25" thickTop="1" thickBot="1" x14ac:dyDescent="0.25">
      <c r="A88" s="32" t="s">
        <v>153</v>
      </c>
      <c r="B88" s="33"/>
      <c r="C88" s="33"/>
      <c r="D88" s="34"/>
      <c r="E88" s="33"/>
      <c r="F88" s="33"/>
      <c r="G88" s="33"/>
      <c r="H88" s="33"/>
      <c r="I88" s="321"/>
      <c r="J88" s="33"/>
      <c r="K88" s="322"/>
    </row>
    <row r="89" spans="1:12" x14ac:dyDescent="0.2">
      <c r="A89" s="202" t="s">
        <v>94</v>
      </c>
      <c r="B89" s="121">
        <v>9308</v>
      </c>
      <c r="C89" s="122">
        <v>7398</v>
      </c>
      <c r="D89" s="287">
        <f>B89/C89</f>
        <v>1.2581778859151123</v>
      </c>
      <c r="E89" s="122">
        <v>8111</v>
      </c>
      <c r="F89" s="124">
        <f>E89/B89</f>
        <v>0.87140094542329183</v>
      </c>
      <c r="G89" s="122">
        <v>6828</v>
      </c>
      <c r="H89" s="286">
        <v>6087</v>
      </c>
      <c r="I89" s="286">
        <v>5266</v>
      </c>
      <c r="J89" s="482">
        <f>H89/C89</f>
        <v>0.82278994322789945</v>
      </c>
      <c r="K89" s="262">
        <f>H89/G89</f>
        <v>0.89147627416520214</v>
      </c>
    </row>
    <row r="90" spans="1:12" x14ac:dyDescent="0.2">
      <c r="A90" s="204" t="s">
        <v>95</v>
      </c>
      <c r="B90" s="126">
        <v>4891</v>
      </c>
      <c r="C90" s="127">
        <v>4425</v>
      </c>
      <c r="D90" s="288">
        <f>B90/C90</f>
        <v>1.1053107344632769</v>
      </c>
      <c r="E90" s="127">
        <v>4318</v>
      </c>
      <c r="F90" s="66">
        <f>E90/B90</f>
        <v>0.88284604375383358</v>
      </c>
      <c r="G90" s="127">
        <v>4017</v>
      </c>
      <c r="H90" s="151">
        <v>3213</v>
      </c>
      <c r="I90" s="151">
        <v>2831</v>
      </c>
      <c r="J90" s="483">
        <f>H90/C90</f>
        <v>0.72610169491525423</v>
      </c>
      <c r="K90" s="114">
        <f>H90/G90</f>
        <v>0.79985063480209107</v>
      </c>
    </row>
    <row r="91" spans="1:12" ht="13.5" thickBot="1" x14ac:dyDescent="0.25">
      <c r="A91" s="212" t="s">
        <v>18</v>
      </c>
      <c r="B91" s="132">
        <f>'voš_vše '!W3*1000</f>
        <v>14199</v>
      </c>
      <c r="C91" s="133">
        <f>'voš_vše '!W4*1000</f>
        <v>11554</v>
      </c>
      <c r="D91" s="290">
        <f>B91/C91</f>
        <v>1.2289250476025619</v>
      </c>
      <c r="E91" s="133">
        <v>12429</v>
      </c>
      <c r="F91" s="134">
        <f>E91/B91</f>
        <v>0.87534333403760833</v>
      </c>
      <c r="G91" s="133">
        <v>10637</v>
      </c>
      <c r="H91" s="353">
        <f>'voš_vše '!W5*1000</f>
        <v>9212</v>
      </c>
      <c r="I91" s="133">
        <f>'voš_vše '!W6*1000</f>
        <v>8074.9999999999991</v>
      </c>
      <c r="J91" s="484">
        <f>H91/C91</f>
        <v>0.7972996364895274</v>
      </c>
      <c r="K91" s="263">
        <f>H91/G91</f>
        <v>0.86603365610604499</v>
      </c>
    </row>
    <row r="92" spans="1:12" ht="14.25" thickTop="1" thickBot="1" x14ac:dyDescent="0.25">
      <c r="A92" s="32" t="s">
        <v>156</v>
      </c>
      <c r="B92" s="33"/>
      <c r="C92" s="33"/>
      <c r="D92" s="34"/>
      <c r="E92" s="33"/>
      <c r="F92" s="33"/>
      <c r="G92" s="33"/>
      <c r="H92" s="33"/>
      <c r="I92" s="321"/>
      <c r="J92" s="33"/>
      <c r="K92" s="322"/>
    </row>
    <row r="93" spans="1:12" x14ac:dyDescent="0.2">
      <c r="A93" s="202" t="s">
        <v>94</v>
      </c>
      <c r="B93" s="121">
        <v>11141</v>
      </c>
      <c r="C93" s="122">
        <v>8463</v>
      </c>
      <c r="D93" s="287">
        <f>B93/C93</f>
        <v>1.3164362519201229</v>
      </c>
      <c r="E93" s="122">
        <v>10087</v>
      </c>
      <c r="F93" s="124">
        <f>E93/B93</f>
        <v>0.90539448882506057</v>
      </c>
      <c r="G93" s="122">
        <v>7743</v>
      </c>
      <c r="H93" s="286">
        <v>7095</v>
      </c>
      <c r="I93" s="286">
        <v>6107</v>
      </c>
      <c r="J93" s="482">
        <f>H93/C93</f>
        <v>0.83835519319390284</v>
      </c>
      <c r="K93" s="262">
        <f>H93/G93</f>
        <v>0.91631150716776444</v>
      </c>
    </row>
    <row r="94" spans="1:12" x14ac:dyDescent="0.2">
      <c r="A94" s="204" t="s">
        <v>95</v>
      </c>
      <c r="B94" s="126">
        <v>6366</v>
      </c>
      <c r="C94" s="127">
        <v>5622</v>
      </c>
      <c r="D94" s="288">
        <f>B94/C94</f>
        <v>1.1323372465314834</v>
      </c>
      <c r="E94" s="127">
        <v>5644</v>
      </c>
      <c r="F94" s="66">
        <f>E94/B94</f>
        <v>0.88658498272070374</v>
      </c>
      <c r="G94" s="127">
        <v>5031</v>
      </c>
      <c r="H94" s="151">
        <v>3833</v>
      </c>
      <c r="I94" s="151">
        <v>3287</v>
      </c>
      <c r="J94" s="483">
        <f>H94/C94</f>
        <v>0.68178584133760223</v>
      </c>
      <c r="K94" s="114">
        <f>H94/G94</f>
        <v>0.76187636652752933</v>
      </c>
    </row>
    <row r="95" spans="1:12" ht="13.5" thickBot="1" x14ac:dyDescent="0.25">
      <c r="A95" s="212" t="s">
        <v>18</v>
      </c>
      <c r="B95" s="132">
        <f>'voš_vše '!X3*1000</f>
        <v>17507</v>
      </c>
      <c r="C95" s="133">
        <f>'voš_vše '!X4*1000</f>
        <v>13716</v>
      </c>
      <c r="D95" s="290">
        <f>B95/C95</f>
        <v>1.2763925342665501</v>
      </c>
      <c r="E95" s="133">
        <v>15731</v>
      </c>
      <c r="F95" s="134">
        <f>E95/B95</f>
        <v>0.89855486376877824</v>
      </c>
      <c r="G95" s="133">
        <v>12466</v>
      </c>
      <c r="H95" s="353">
        <f>'voš_vše '!X5*1000</f>
        <v>10793</v>
      </c>
      <c r="I95" s="133">
        <f>'voš_vše '!X6*1000</f>
        <v>9369</v>
      </c>
      <c r="J95" s="484">
        <f>H95/C95</f>
        <v>0.78689122193059202</v>
      </c>
      <c r="K95" s="263">
        <f>H95/G95</f>
        <v>0.86579496229744901</v>
      </c>
    </row>
    <row r="96" spans="1:12" ht="13.5" thickTop="1" x14ac:dyDescent="0.2">
      <c r="A96" s="1" t="s">
        <v>101</v>
      </c>
    </row>
    <row r="97" spans="1:1" x14ac:dyDescent="0.2">
      <c r="A97" s="456"/>
    </row>
    <row r="98" spans="1:1" x14ac:dyDescent="0.2">
      <c r="A98" s="16"/>
    </row>
    <row r="129" spans="4:4" x14ac:dyDescent="0.2">
      <c r="D129" s="514"/>
    </row>
  </sheetData>
  <phoneticPr fontId="0" type="noConversion"/>
  <pageMargins left="0.78740157480314965" right="0.59055118110236227" top="0.78740157480314965" bottom="0.51" header="0.19685039370078741" footer="0.19685039370078741"/>
  <pageSetup paperSize="9" scale="72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4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Q161"/>
  <sheetViews>
    <sheetView zoomScaleNormal="100" workbookViewId="0">
      <pane xSplit="1" ySplit="4" topLeftCell="B97" activePane="bottomRight" state="frozen"/>
      <selection sqref="A1:B4"/>
      <selection pane="topRight" sqref="A1:B4"/>
      <selection pane="bottomLeft" sqref="A1:B4"/>
      <selection pane="bottomRight" activeCell="F118" sqref="F118"/>
    </sheetView>
  </sheetViews>
  <sheetFormatPr defaultColWidth="9.140625" defaultRowHeight="12.75" x14ac:dyDescent="0.2"/>
  <cols>
    <col min="1" max="1" width="18.140625" style="1" customWidth="1"/>
    <col min="2" max="2" width="9.42578125" style="1" customWidth="1"/>
    <col min="3" max="3" width="10.42578125" style="1" customWidth="1"/>
    <col min="4" max="4" width="9.42578125" style="1" customWidth="1"/>
    <col min="5" max="5" width="11.42578125" style="1" customWidth="1"/>
    <col min="6" max="7" width="9.42578125" style="1" customWidth="1"/>
    <col min="8" max="9" width="11.42578125" style="1" customWidth="1"/>
    <col min="10" max="16384" width="9.140625" style="1"/>
  </cols>
  <sheetData>
    <row r="1" spans="1:17" x14ac:dyDescent="0.2">
      <c r="A1" s="45" t="s">
        <v>160</v>
      </c>
      <c r="B1" s="411"/>
      <c r="C1" s="21"/>
      <c r="D1" s="21"/>
      <c r="E1" s="21"/>
      <c r="F1" s="21"/>
      <c r="G1" s="21"/>
      <c r="H1" s="21"/>
      <c r="I1" s="21"/>
    </row>
    <row r="2" spans="1:17" ht="5.0999999999999996" customHeight="1" thickBot="1" x14ac:dyDescent="0.25">
      <c r="A2" s="16"/>
      <c r="B2" s="411"/>
      <c r="C2" s="21"/>
      <c r="D2" s="21"/>
      <c r="E2" s="21"/>
      <c r="F2" s="21"/>
      <c r="G2" s="21"/>
      <c r="H2" s="21"/>
      <c r="I2" s="21"/>
    </row>
    <row r="3" spans="1:17" ht="78" thickTop="1" thickBot="1" x14ac:dyDescent="0.25">
      <c r="A3" s="36" t="s">
        <v>50</v>
      </c>
      <c r="B3" s="294" t="s">
        <v>16</v>
      </c>
      <c r="C3" s="295" t="s">
        <v>47</v>
      </c>
      <c r="D3" s="295" t="s">
        <v>17</v>
      </c>
      <c r="E3" s="295" t="s">
        <v>57</v>
      </c>
      <c r="F3" s="295" t="s">
        <v>23</v>
      </c>
      <c r="G3" s="295" t="s">
        <v>42</v>
      </c>
      <c r="H3" s="365" t="s">
        <v>70</v>
      </c>
      <c r="I3" s="296" t="s">
        <v>71</v>
      </c>
    </row>
    <row r="4" spans="1:17" ht="14.25" thickTop="1" thickBot="1" x14ac:dyDescent="0.25">
      <c r="A4" s="37" t="s">
        <v>98</v>
      </c>
      <c r="B4" s="31"/>
      <c r="C4" s="31"/>
      <c r="D4" s="31"/>
      <c r="E4" s="31"/>
      <c r="F4" s="31"/>
      <c r="G4" s="31"/>
      <c r="H4" s="31"/>
      <c r="I4" s="38"/>
    </row>
    <row r="5" spans="1:17" x14ac:dyDescent="0.2">
      <c r="A5" s="223" t="s">
        <v>51</v>
      </c>
      <c r="B5" s="135">
        <v>27339</v>
      </c>
      <c r="C5" s="136">
        <v>19539</v>
      </c>
      <c r="D5" s="297">
        <v>1.3992015968063871</v>
      </c>
      <c r="E5" s="297" t="s">
        <v>73</v>
      </c>
      <c r="F5" s="136">
        <v>10277</v>
      </c>
      <c r="G5" s="136">
        <v>8835</v>
      </c>
      <c r="H5" s="366">
        <v>0.52597369363836433</v>
      </c>
      <c r="I5" s="137" t="s">
        <v>15</v>
      </c>
    </row>
    <row r="6" spans="1:17" x14ac:dyDescent="0.2">
      <c r="A6" s="224" t="s">
        <v>52</v>
      </c>
      <c r="B6" s="138">
        <v>6585</v>
      </c>
      <c r="C6" s="139">
        <v>5804</v>
      </c>
      <c r="D6" s="298">
        <v>1.1345623707787733</v>
      </c>
      <c r="E6" s="298" t="s">
        <v>73</v>
      </c>
      <c r="F6" s="139">
        <v>4793</v>
      </c>
      <c r="G6" s="139">
        <v>4135</v>
      </c>
      <c r="H6" s="367">
        <v>0.82580978635423841</v>
      </c>
      <c r="I6" s="140" t="s">
        <v>15</v>
      </c>
    </row>
    <row r="7" spans="1:17" x14ac:dyDescent="0.2">
      <c r="A7" s="225" t="s">
        <v>43</v>
      </c>
      <c r="B7" s="141">
        <v>1978</v>
      </c>
      <c r="C7" s="142">
        <v>1807</v>
      </c>
      <c r="D7" s="299">
        <v>1.0946319867183176</v>
      </c>
      <c r="E7" s="299" t="s">
        <v>73</v>
      </c>
      <c r="F7" s="142">
        <v>710</v>
      </c>
      <c r="G7" s="142">
        <v>566</v>
      </c>
      <c r="H7" s="368">
        <v>0.39291643608190369</v>
      </c>
      <c r="I7" s="143" t="s">
        <v>15</v>
      </c>
    </row>
    <row r="8" spans="1:17" ht="13.5" thickBot="1" x14ac:dyDescent="0.25">
      <c r="A8" s="226" t="s">
        <v>44</v>
      </c>
      <c r="B8" s="144">
        <v>35092</v>
      </c>
      <c r="C8" s="145">
        <v>24551</v>
      </c>
      <c r="D8" s="300">
        <v>1.4293511465928068</v>
      </c>
      <c r="E8" s="300" t="s">
        <v>73</v>
      </c>
      <c r="F8" s="145">
        <v>15398</v>
      </c>
      <c r="G8" s="145">
        <v>13456</v>
      </c>
      <c r="H8" s="369">
        <v>0.62718422874831981</v>
      </c>
      <c r="I8" s="146" t="s">
        <v>15</v>
      </c>
    </row>
    <row r="9" spans="1:17" ht="13.5" thickBot="1" x14ac:dyDescent="0.25">
      <c r="A9" s="39" t="s">
        <v>4</v>
      </c>
      <c r="B9" s="31"/>
      <c r="C9" s="31"/>
      <c r="D9" s="31"/>
      <c r="E9" s="31"/>
      <c r="F9" s="31"/>
      <c r="G9" s="31"/>
      <c r="H9" s="31"/>
      <c r="I9" s="38"/>
    </row>
    <row r="10" spans="1:17" x14ac:dyDescent="0.2">
      <c r="A10" s="223" t="s">
        <v>51</v>
      </c>
      <c r="B10" s="135">
        <v>15280</v>
      </c>
      <c r="C10" s="136">
        <v>11632</v>
      </c>
      <c r="D10" s="297">
        <v>1.3136176066024758</v>
      </c>
      <c r="E10" s="370">
        <v>10012</v>
      </c>
      <c r="F10" s="136">
        <v>6832</v>
      </c>
      <c r="G10" s="136">
        <v>5665</v>
      </c>
      <c r="H10" s="366">
        <v>0.5873452544704264</v>
      </c>
      <c r="I10" s="137" t="s">
        <v>15</v>
      </c>
    </row>
    <row r="11" spans="1:17" x14ac:dyDescent="0.2">
      <c r="A11" s="224" t="s">
        <v>52</v>
      </c>
      <c r="B11" s="138">
        <v>4503</v>
      </c>
      <c r="C11" s="139">
        <v>3983</v>
      </c>
      <c r="D11" s="298">
        <v>1.1305548581471252</v>
      </c>
      <c r="E11" s="371">
        <v>3436</v>
      </c>
      <c r="F11" s="139">
        <v>3189</v>
      </c>
      <c r="G11" s="139">
        <v>2556</v>
      </c>
      <c r="H11" s="367">
        <v>0.80065277429073567</v>
      </c>
      <c r="I11" s="140" t="s">
        <v>15</v>
      </c>
    </row>
    <row r="12" spans="1:17" x14ac:dyDescent="0.2">
      <c r="A12" s="225" t="s">
        <v>43</v>
      </c>
      <c r="B12" s="141">
        <v>1437</v>
      </c>
      <c r="C12" s="142">
        <v>1361</v>
      </c>
      <c r="D12" s="299">
        <v>1.0558412931667891</v>
      </c>
      <c r="E12" s="372">
        <v>1141</v>
      </c>
      <c r="F12" s="142">
        <v>707</v>
      </c>
      <c r="G12" s="142">
        <v>598</v>
      </c>
      <c r="H12" s="368">
        <v>0.51947097722263047</v>
      </c>
      <c r="I12" s="143" t="s">
        <v>15</v>
      </c>
    </row>
    <row r="13" spans="1:17" ht="13.5" thickBot="1" x14ac:dyDescent="0.25">
      <c r="A13" s="226" t="s">
        <v>44</v>
      </c>
      <c r="B13" s="144">
        <v>21220</v>
      </c>
      <c r="C13" s="145">
        <v>15406</v>
      </c>
      <c r="D13" s="300">
        <v>1.3773854342463976</v>
      </c>
      <c r="E13" s="380">
        <v>13598</v>
      </c>
      <c r="F13" s="145">
        <v>10446</v>
      </c>
      <c r="G13" s="145">
        <v>8797</v>
      </c>
      <c r="H13" s="369">
        <v>0.6780475139556017</v>
      </c>
      <c r="I13" s="146" t="s">
        <v>15</v>
      </c>
      <c r="J13" s="374"/>
      <c r="K13" s="374"/>
      <c r="L13" s="374"/>
      <c r="M13" s="374"/>
      <c r="N13" s="374"/>
      <c r="O13" s="268"/>
      <c r="P13" s="268"/>
      <c r="Q13" s="268"/>
    </row>
    <row r="14" spans="1:17" ht="13.5" thickBot="1" x14ac:dyDescent="0.25">
      <c r="A14" s="39" t="s">
        <v>5</v>
      </c>
      <c r="B14" s="31"/>
      <c r="C14" s="31"/>
      <c r="D14" s="31"/>
      <c r="E14" s="381"/>
      <c r="F14" s="31"/>
      <c r="G14" s="31"/>
      <c r="H14" s="31"/>
      <c r="I14" s="38"/>
      <c r="J14" s="374"/>
      <c r="K14" s="374"/>
      <c r="L14" s="374"/>
      <c r="M14" s="374"/>
      <c r="N14" s="374"/>
      <c r="O14" s="268"/>
      <c r="P14" s="268"/>
      <c r="Q14" s="268"/>
    </row>
    <row r="15" spans="1:17" x14ac:dyDescent="0.2">
      <c r="A15" s="223" t="s">
        <v>51</v>
      </c>
      <c r="B15" s="135">
        <v>20931</v>
      </c>
      <c r="C15" s="136">
        <v>15814</v>
      </c>
      <c r="D15" s="297">
        <v>1.3235740483116225</v>
      </c>
      <c r="E15" s="370">
        <v>13160</v>
      </c>
      <c r="F15" s="136">
        <v>9616</v>
      </c>
      <c r="G15" s="136">
        <v>8044</v>
      </c>
      <c r="H15" s="366">
        <v>0.60806879979764761</v>
      </c>
      <c r="I15" s="137">
        <f>F15/E15</f>
        <v>0.73069908814589668</v>
      </c>
      <c r="J15" s="374"/>
      <c r="K15" s="374"/>
      <c r="L15" s="374"/>
      <c r="M15" s="374"/>
      <c r="N15" s="374"/>
      <c r="O15" s="268"/>
      <c r="P15" s="268"/>
      <c r="Q15" s="268"/>
    </row>
    <row r="16" spans="1:17" x14ac:dyDescent="0.2">
      <c r="A16" s="224" t="s">
        <v>52</v>
      </c>
      <c r="B16" s="138">
        <v>5606</v>
      </c>
      <c r="C16" s="139">
        <v>4878</v>
      </c>
      <c r="D16" s="298">
        <v>1.1492414924149241</v>
      </c>
      <c r="E16" s="371">
        <v>4188</v>
      </c>
      <c r="F16" s="139">
        <v>3727</v>
      </c>
      <c r="G16" s="139">
        <v>3139</v>
      </c>
      <c r="H16" s="367">
        <v>0.76404264042640424</v>
      </c>
      <c r="I16" s="140">
        <f>F16/E16</f>
        <v>0.88992359121298947</v>
      </c>
      <c r="J16" s="374"/>
      <c r="K16" s="374"/>
      <c r="L16" s="374"/>
      <c r="M16" s="374"/>
      <c r="N16" s="374"/>
      <c r="O16" s="268"/>
      <c r="P16" s="268"/>
      <c r="Q16" s="268"/>
    </row>
    <row r="17" spans="1:17" x14ac:dyDescent="0.2">
      <c r="A17" s="225" t="s">
        <v>43</v>
      </c>
      <c r="B17" s="141">
        <v>1674</v>
      </c>
      <c r="C17" s="142">
        <v>1605</v>
      </c>
      <c r="D17" s="299">
        <v>1.0429906542056075</v>
      </c>
      <c r="E17" s="372">
        <v>1332</v>
      </c>
      <c r="F17" s="142">
        <v>792</v>
      </c>
      <c r="G17" s="142">
        <v>663</v>
      </c>
      <c r="H17" s="368">
        <v>0.49345794392523362</v>
      </c>
      <c r="I17" s="143">
        <f>F17/E17</f>
        <v>0.59459459459459463</v>
      </c>
      <c r="J17" s="375"/>
      <c r="K17" s="375"/>
      <c r="L17" s="375"/>
      <c r="M17" s="375"/>
      <c r="N17" s="375"/>
      <c r="O17" s="270"/>
      <c r="P17" s="268"/>
      <c r="Q17" s="268"/>
    </row>
    <row r="18" spans="1:17" ht="13.5" thickBot="1" x14ac:dyDescent="0.25">
      <c r="A18" s="226" t="s">
        <v>44</v>
      </c>
      <c r="B18" s="144">
        <v>28211</v>
      </c>
      <c r="C18" s="145">
        <v>20319</v>
      </c>
      <c r="D18" s="300">
        <v>1.3884049411880506</v>
      </c>
      <c r="E18" s="380">
        <v>17579</v>
      </c>
      <c r="F18" s="145">
        <v>13835</v>
      </c>
      <c r="G18" s="145">
        <v>11803</v>
      </c>
      <c r="H18" s="369">
        <v>0.68088980756927009</v>
      </c>
      <c r="I18" s="146">
        <f>F18/E18</f>
        <v>0.78701860174071336</v>
      </c>
      <c r="J18" s="375"/>
      <c r="K18" s="375"/>
      <c r="L18" s="375"/>
      <c r="M18" s="375"/>
      <c r="N18" s="375"/>
      <c r="O18" s="270"/>
      <c r="P18" s="268"/>
      <c r="Q18" s="268"/>
    </row>
    <row r="19" spans="1:17" ht="13.5" thickBot="1" x14ac:dyDescent="0.25">
      <c r="A19" s="39" t="s">
        <v>41</v>
      </c>
      <c r="B19" s="31"/>
      <c r="C19" s="31"/>
      <c r="D19" s="31"/>
      <c r="E19" s="381"/>
      <c r="F19" s="31"/>
      <c r="G19" s="31"/>
      <c r="H19" s="31"/>
      <c r="I19" s="38"/>
      <c r="J19" s="270"/>
      <c r="K19" s="270"/>
      <c r="L19" s="270"/>
      <c r="M19" s="270"/>
      <c r="N19" s="270"/>
      <c r="O19" s="270"/>
      <c r="P19" s="268"/>
      <c r="Q19" s="268"/>
    </row>
    <row r="20" spans="1:17" x14ac:dyDescent="0.2">
      <c r="A20" s="223" t="s">
        <v>51</v>
      </c>
      <c r="B20" s="135">
        <v>22244</v>
      </c>
      <c r="C20" s="136">
        <v>17476</v>
      </c>
      <c r="D20" s="297">
        <v>1.2728313115129319</v>
      </c>
      <c r="E20" s="370">
        <v>14954</v>
      </c>
      <c r="F20" s="136">
        <v>10459</v>
      </c>
      <c r="G20" s="136">
        <v>8700</v>
      </c>
      <c r="H20" s="366">
        <v>0.59847791256580452</v>
      </c>
      <c r="I20" s="137">
        <f>F20/E20</f>
        <v>0.69941152868797651</v>
      </c>
      <c r="J20" s="270"/>
      <c r="K20" s="270"/>
      <c r="L20" s="270"/>
      <c r="M20" s="270"/>
      <c r="N20" s="270"/>
      <c r="O20" s="270"/>
      <c r="P20" s="268"/>
      <c r="Q20" s="268"/>
    </row>
    <row r="21" spans="1:17" x14ac:dyDescent="0.2">
      <c r="A21" s="224" t="s">
        <v>52</v>
      </c>
      <c r="B21" s="138">
        <v>5691</v>
      </c>
      <c r="C21" s="139">
        <v>5060</v>
      </c>
      <c r="D21" s="298">
        <v>1.124703557312253</v>
      </c>
      <c r="E21" s="371">
        <v>4385</v>
      </c>
      <c r="F21" s="139">
        <v>3944</v>
      </c>
      <c r="G21" s="139">
        <v>3380</v>
      </c>
      <c r="H21" s="367">
        <v>0.77944664031620559</v>
      </c>
      <c r="I21" s="140">
        <f>F21/E21</f>
        <v>0.89942987457240597</v>
      </c>
      <c r="J21" s="270"/>
      <c r="K21" s="270"/>
      <c r="L21" s="270"/>
      <c r="M21" s="270"/>
      <c r="N21" s="270"/>
      <c r="O21" s="270"/>
      <c r="P21" s="268"/>
      <c r="Q21" s="268"/>
    </row>
    <row r="22" spans="1:17" x14ac:dyDescent="0.2">
      <c r="A22" s="225" t="s">
        <v>43</v>
      </c>
      <c r="B22" s="141">
        <v>1515</v>
      </c>
      <c r="C22" s="142">
        <v>1455</v>
      </c>
      <c r="D22" s="299">
        <v>1.0412371134020619</v>
      </c>
      <c r="E22" s="372">
        <v>1214</v>
      </c>
      <c r="F22" s="142">
        <v>718</v>
      </c>
      <c r="G22" s="142">
        <v>570</v>
      </c>
      <c r="H22" s="368">
        <v>0.4934707903780069</v>
      </c>
      <c r="I22" s="143">
        <f>F22/E22</f>
        <v>0.59143327841845139</v>
      </c>
      <c r="J22" s="270"/>
      <c r="K22" s="270"/>
      <c r="L22" s="270"/>
      <c r="M22" s="270"/>
      <c r="N22" s="270"/>
      <c r="O22" s="270"/>
      <c r="P22" s="268"/>
      <c r="Q22" s="268"/>
    </row>
    <row r="23" spans="1:17" ht="13.5" thickBot="1" x14ac:dyDescent="0.25">
      <c r="A23" s="226" t="s">
        <v>44</v>
      </c>
      <c r="B23" s="144">
        <v>29450</v>
      </c>
      <c r="C23" s="145">
        <v>22220</v>
      </c>
      <c r="D23" s="300">
        <v>1.3253825382538253</v>
      </c>
      <c r="E23" s="380">
        <v>19520</v>
      </c>
      <c r="F23" s="145">
        <v>14823</v>
      </c>
      <c r="G23" s="145">
        <v>12602</v>
      </c>
      <c r="H23" s="369">
        <v>0.66710171017101705</v>
      </c>
      <c r="I23" s="146">
        <f>F23/E23</f>
        <v>0.75937500000000002</v>
      </c>
      <c r="J23" s="324"/>
      <c r="K23" s="324"/>
      <c r="L23" s="324"/>
      <c r="M23" s="324"/>
      <c r="N23" s="324"/>
      <c r="O23" s="324"/>
      <c r="P23" s="268"/>
      <c r="Q23" s="268"/>
    </row>
    <row r="24" spans="1:17" ht="13.5" thickBot="1" x14ac:dyDescent="0.25">
      <c r="A24" s="39" t="s">
        <v>53</v>
      </c>
      <c r="B24" s="31"/>
      <c r="C24" s="31"/>
      <c r="D24" s="31"/>
      <c r="E24" s="381"/>
      <c r="F24" s="31"/>
      <c r="G24" s="31"/>
      <c r="H24" s="31"/>
      <c r="I24" s="38"/>
      <c r="J24" s="270"/>
      <c r="K24" s="270"/>
      <c r="L24" s="270"/>
      <c r="M24" s="270"/>
      <c r="N24" s="270"/>
      <c r="O24" s="270"/>
      <c r="P24" s="268"/>
      <c r="Q24" s="268"/>
    </row>
    <row r="25" spans="1:17" x14ac:dyDescent="0.2">
      <c r="A25" s="223" t="s">
        <v>51</v>
      </c>
      <c r="B25" s="135">
        <v>25119</v>
      </c>
      <c r="C25" s="136">
        <v>19271</v>
      </c>
      <c r="D25" s="297">
        <v>1.3034611592548389</v>
      </c>
      <c r="E25" s="370">
        <v>16449</v>
      </c>
      <c r="F25" s="136">
        <v>10680</v>
      </c>
      <c r="G25" s="136">
        <v>8989</v>
      </c>
      <c r="H25" s="366">
        <v>0.55420061231902862</v>
      </c>
      <c r="I25" s="137">
        <f>F25/E25</f>
        <v>0.64927959146452674</v>
      </c>
      <c r="J25" s="270"/>
      <c r="K25" s="270"/>
      <c r="L25" s="270"/>
      <c r="M25" s="270"/>
      <c r="N25" s="270"/>
      <c r="O25" s="270"/>
      <c r="P25" s="268"/>
      <c r="Q25" s="268"/>
    </row>
    <row r="26" spans="1:17" x14ac:dyDescent="0.2">
      <c r="A26" s="224" t="s">
        <v>52</v>
      </c>
      <c r="B26" s="138">
        <v>5887</v>
      </c>
      <c r="C26" s="139">
        <v>5303</v>
      </c>
      <c r="D26" s="298">
        <v>1.1101263435791062</v>
      </c>
      <c r="E26" s="371">
        <v>4767</v>
      </c>
      <c r="F26" s="139">
        <v>4252</v>
      </c>
      <c r="G26" s="139">
        <v>3769</v>
      </c>
      <c r="H26" s="367">
        <v>0.80181029605883458</v>
      </c>
      <c r="I26" s="140">
        <f>F26/E26</f>
        <v>0.89196559681141174</v>
      </c>
      <c r="J26" s="270"/>
      <c r="K26" s="270"/>
      <c r="L26" s="270"/>
      <c r="M26" s="270"/>
      <c r="N26" s="270"/>
      <c r="O26" s="270"/>
      <c r="P26" s="268"/>
      <c r="Q26" s="268"/>
    </row>
    <row r="27" spans="1:17" x14ac:dyDescent="0.2">
      <c r="A27" s="225" t="s">
        <v>43</v>
      </c>
      <c r="B27" s="141">
        <v>1667</v>
      </c>
      <c r="C27" s="142">
        <v>1589</v>
      </c>
      <c r="D27" s="299">
        <v>1.0490874764002518</v>
      </c>
      <c r="E27" s="372">
        <v>1305</v>
      </c>
      <c r="F27" s="142">
        <v>812</v>
      </c>
      <c r="G27" s="142">
        <v>710</v>
      </c>
      <c r="H27" s="368">
        <v>0.51101321585903081</v>
      </c>
      <c r="I27" s="143">
        <f>F27/E27</f>
        <v>0.62222222222222223</v>
      </c>
      <c r="J27" s="270"/>
      <c r="K27" s="270"/>
      <c r="L27" s="270"/>
      <c r="M27" s="270"/>
      <c r="N27" s="270"/>
      <c r="O27" s="270"/>
      <c r="P27" s="268"/>
      <c r="Q27" s="268"/>
    </row>
    <row r="28" spans="1:17" ht="13.5" thickBot="1" x14ac:dyDescent="0.25">
      <c r="A28" s="226" t="s">
        <v>44</v>
      </c>
      <c r="B28" s="144">
        <v>32673</v>
      </c>
      <c r="C28" s="145">
        <v>24339</v>
      </c>
      <c r="D28" s="300">
        <v>1.34</v>
      </c>
      <c r="E28" s="380">
        <v>21394</v>
      </c>
      <c r="F28" s="145">
        <v>15507</v>
      </c>
      <c r="G28" s="145">
        <v>13434</v>
      </c>
      <c r="H28" s="369">
        <v>0.6371</v>
      </c>
      <c r="I28" s="146">
        <f>F28/E28</f>
        <v>0.72482939141815461</v>
      </c>
      <c r="J28" s="270"/>
      <c r="K28" s="270"/>
      <c r="L28" s="270"/>
      <c r="M28" s="270"/>
      <c r="N28" s="270"/>
      <c r="O28" s="270"/>
      <c r="P28" s="268"/>
      <c r="Q28" s="268"/>
    </row>
    <row r="29" spans="1:17" ht="13.5" thickBot="1" x14ac:dyDescent="0.25">
      <c r="A29" s="39" t="s">
        <v>54</v>
      </c>
      <c r="B29" s="31"/>
      <c r="C29" s="31"/>
      <c r="D29" s="31"/>
      <c r="E29" s="381"/>
      <c r="F29" s="31"/>
      <c r="G29" s="31"/>
      <c r="H29" s="31"/>
      <c r="I29" s="38"/>
      <c r="J29" s="270"/>
      <c r="K29" s="270"/>
      <c r="L29" s="270"/>
      <c r="M29" s="270"/>
      <c r="N29" s="270"/>
      <c r="O29" s="270"/>
      <c r="P29" s="268"/>
      <c r="Q29" s="268"/>
    </row>
    <row r="30" spans="1:17" x14ac:dyDescent="0.2">
      <c r="A30" s="223" t="s">
        <v>51</v>
      </c>
      <c r="B30" s="135">
        <v>19893</v>
      </c>
      <c r="C30" s="136">
        <v>15676</v>
      </c>
      <c r="D30" s="297">
        <v>1.2690099515182445</v>
      </c>
      <c r="E30" s="370">
        <v>13223</v>
      </c>
      <c r="F30" s="136">
        <v>9088</v>
      </c>
      <c r="G30" s="136">
        <v>7566</v>
      </c>
      <c r="H30" s="366">
        <v>0.57973972952283748</v>
      </c>
      <c r="I30" s="137">
        <f>F30/E30</f>
        <v>0.68728730242758829</v>
      </c>
      <c r="J30" s="324"/>
      <c r="K30" s="324"/>
      <c r="L30" s="324"/>
      <c r="M30" s="324"/>
      <c r="N30" s="324"/>
      <c r="O30" s="324"/>
      <c r="P30" s="268"/>
      <c r="Q30" s="268"/>
    </row>
    <row r="31" spans="1:17" x14ac:dyDescent="0.2">
      <c r="A31" s="224" t="s">
        <v>52</v>
      </c>
      <c r="B31" s="138">
        <v>5448</v>
      </c>
      <c r="C31" s="139">
        <v>4953</v>
      </c>
      <c r="D31" s="298">
        <v>1.0999394306480921</v>
      </c>
      <c r="E31" s="371">
        <v>4083</v>
      </c>
      <c r="F31" s="139">
        <v>3759</v>
      </c>
      <c r="G31" s="139">
        <v>3179</v>
      </c>
      <c r="H31" s="367">
        <v>0.75893397940642038</v>
      </c>
      <c r="I31" s="140">
        <f>F31/E31</f>
        <v>0.92064658339456285</v>
      </c>
      <c r="J31" s="324"/>
      <c r="K31" s="324"/>
      <c r="L31" s="324"/>
      <c r="M31" s="324"/>
      <c r="N31" s="324"/>
      <c r="O31" s="324"/>
      <c r="P31" s="268"/>
      <c r="Q31" s="268"/>
    </row>
    <row r="32" spans="1:17" x14ac:dyDescent="0.2">
      <c r="A32" s="225" t="s">
        <v>43</v>
      </c>
      <c r="B32" s="141">
        <v>1666</v>
      </c>
      <c r="C32" s="142">
        <v>1618</v>
      </c>
      <c r="D32" s="299">
        <v>1.0296662546353523</v>
      </c>
      <c r="E32" s="372">
        <v>1229</v>
      </c>
      <c r="F32" s="142">
        <v>789</v>
      </c>
      <c r="G32" s="142">
        <v>582</v>
      </c>
      <c r="H32" s="368">
        <v>0.48763906056860323</v>
      </c>
      <c r="I32" s="143">
        <f>F32/E32</f>
        <v>0.64198535394629785</v>
      </c>
      <c r="J32" s="324"/>
      <c r="K32" s="324"/>
      <c r="L32" s="324"/>
      <c r="M32" s="324"/>
      <c r="N32" s="324"/>
      <c r="O32" s="324"/>
      <c r="P32" s="268"/>
      <c r="Q32" s="268"/>
    </row>
    <row r="33" spans="1:17" ht="13.5" thickBot="1" x14ac:dyDescent="0.25">
      <c r="A33" s="226" t="s">
        <v>44</v>
      </c>
      <c r="B33" s="144">
        <v>27007</v>
      </c>
      <c r="C33" s="145">
        <v>20595</v>
      </c>
      <c r="D33" s="300">
        <v>1.31133770332605</v>
      </c>
      <c r="E33" s="380">
        <v>17577</v>
      </c>
      <c r="F33" s="145">
        <v>13361</v>
      </c>
      <c r="G33" s="145">
        <v>11300</v>
      </c>
      <c r="H33" s="369">
        <v>0.64874969652828351</v>
      </c>
      <c r="I33" s="146">
        <f>F33/E33</f>
        <v>0.76014109347442682</v>
      </c>
      <c r="J33" s="270"/>
      <c r="K33" s="270"/>
      <c r="L33" s="270"/>
      <c r="M33" s="270"/>
      <c r="N33" s="270"/>
      <c r="O33" s="270"/>
      <c r="P33" s="313"/>
      <c r="Q33" s="268"/>
    </row>
    <row r="34" spans="1:17" ht="13.5" thickBot="1" x14ac:dyDescent="0.25">
      <c r="A34" s="39" t="s">
        <v>76</v>
      </c>
      <c r="B34" s="31"/>
      <c r="C34" s="31"/>
      <c r="D34" s="31"/>
      <c r="E34" s="381"/>
      <c r="F34" s="31"/>
      <c r="G34" s="31"/>
      <c r="H34" s="31"/>
      <c r="I34" s="38"/>
      <c r="J34" s="270"/>
      <c r="K34" s="270"/>
      <c r="L34" s="270"/>
      <c r="M34" s="270"/>
      <c r="N34" s="270"/>
      <c r="O34" s="270"/>
      <c r="P34" s="313"/>
      <c r="Q34" s="268"/>
    </row>
    <row r="35" spans="1:17" x14ac:dyDescent="0.2">
      <c r="A35" s="223" t="s">
        <v>51</v>
      </c>
      <c r="B35" s="135">
        <v>18064</v>
      </c>
      <c r="C35" s="136">
        <v>14571</v>
      </c>
      <c r="D35" s="297">
        <v>1.2397227369432435</v>
      </c>
      <c r="E35" s="370">
        <v>11908</v>
      </c>
      <c r="F35" s="136">
        <v>8826</v>
      </c>
      <c r="G35" s="136">
        <v>7207</v>
      </c>
      <c r="H35" s="366">
        <v>0.60572369775581636</v>
      </c>
      <c r="I35" s="137">
        <f>F35/E35</f>
        <v>0.74118239838763855</v>
      </c>
      <c r="J35" s="270"/>
      <c r="K35" s="270"/>
      <c r="L35" s="270"/>
      <c r="M35" s="270"/>
      <c r="N35" s="270"/>
      <c r="O35" s="270"/>
      <c r="P35" s="313"/>
      <c r="Q35" s="268"/>
    </row>
    <row r="36" spans="1:17" x14ac:dyDescent="0.2">
      <c r="A36" s="224" t="s">
        <v>52</v>
      </c>
      <c r="B36" s="138">
        <v>5562</v>
      </c>
      <c r="C36" s="139">
        <v>5054</v>
      </c>
      <c r="D36" s="298">
        <v>1.1005144440047487</v>
      </c>
      <c r="E36" s="371">
        <v>4338</v>
      </c>
      <c r="F36" s="139">
        <v>3975</v>
      </c>
      <c r="G36" s="139">
        <v>3400</v>
      </c>
      <c r="H36" s="367">
        <v>0.7865057380292837</v>
      </c>
      <c r="I36" s="140">
        <f>F36/E36</f>
        <v>0.91632088520055321</v>
      </c>
      <c r="J36" s="270"/>
      <c r="K36" s="270"/>
      <c r="L36" s="270"/>
      <c r="M36" s="270"/>
      <c r="N36" s="270"/>
      <c r="O36" s="270"/>
      <c r="P36" s="313"/>
      <c r="Q36" s="268"/>
    </row>
    <row r="37" spans="1:17" x14ac:dyDescent="0.2">
      <c r="A37" s="225" t="s">
        <v>43</v>
      </c>
      <c r="B37" s="141">
        <v>1347</v>
      </c>
      <c r="C37" s="142">
        <v>1293</v>
      </c>
      <c r="D37" s="299">
        <v>1.0417633410672853</v>
      </c>
      <c r="E37" s="372">
        <v>1091</v>
      </c>
      <c r="F37" s="142">
        <v>721</v>
      </c>
      <c r="G37" s="142">
        <v>600</v>
      </c>
      <c r="H37" s="368">
        <v>0.55761794276875487</v>
      </c>
      <c r="I37" s="143">
        <f>F37/E37</f>
        <v>0.66086159486709439</v>
      </c>
      <c r="J37" s="270"/>
      <c r="K37" s="270"/>
      <c r="L37" s="270"/>
      <c r="M37" s="270"/>
      <c r="N37" s="270"/>
      <c r="O37" s="270"/>
      <c r="P37" s="313"/>
      <c r="Q37" s="268"/>
    </row>
    <row r="38" spans="1:17" ht="13.5" thickBot="1" x14ac:dyDescent="0.25">
      <c r="A38" s="226" t="s">
        <v>44</v>
      </c>
      <c r="B38" s="144">
        <v>24973</v>
      </c>
      <c r="C38" s="145">
        <v>19441</v>
      </c>
      <c r="D38" s="300">
        <v>1.284553263721002</v>
      </c>
      <c r="E38" s="380">
        <v>16309</v>
      </c>
      <c r="F38" s="145">
        <v>13203</v>
      </c>
      <c r="G38" s="145">
        <v>11149</v>
      </c>
      <c r="H38" s="369">
        <v>0.67913173190679488</v>
      </c>
      <c r="I38" s="146">
        <f>F38/E38</f>
        <v>0.80955300754184811</v>
      </c>
      <c r="J38" s="270"/>
      <c r="K38" s="270"/>
      <c r="L38" s="270"/>
      <c r="M38" s="270"/>
      <c r="N38" s="270"/>
      <c r="O38" s="270"/>
      <c r="P38" s="313"/>
      <c r="Q38" s="268"/>
    </row>
    <row r="39" spans="1:17" ht="13.5" thickBot="1" x14ac:dyDescent="0.25">
      <c r="A39" s="382" t="s">
        <v>84</v>
      </c>
      <c r="B39" s="381"/>
      <c r="C39" s="381"/>
      <c r="D39" s="381"/>
      <c r="E39" s="381"/>
      <c r="F39" s="381"/>
      <c r="G39" s="381"/>
      <c r="H39" s="381"/>
      <c r="I39" s="383"/>
      <c r="J39" s="313"/>
      <c r="K39" s="313"/>
      <c r="L39" s="313"/>
      <c r="M39" s="313"/>
      <c r="N39" s="313"/>
      <c r="O39" s="313"/>
      <c r="P39" s="313"/>
      <c r="Q39" s="268"/>
    </row>
    <row r="40" spans="1:17" x14ac:dyDescent="0.2">
      <c r="A40" s="223" t="s">
        <v>51</v>
      </c>
      <c r="B40" s="135">
        <v>16203</v>
      </c>
      <c r="C40" s="136">
        <v>12206</v>
      </c>
      <c r="D40" s="297">
        <v>1.3274619039816484</v>
      </c>
      <c r="E40" s="370">
        <v>10497</v>
      </c>
      <c r="F40" s="136">
        <v>8463</v>
      </c>
      <c r="G40" s="136">
        <v>7016</v>
      </c>
      <c r="H40" s="366">
        <v>0.69334753399967231</v>
      </c>
      <c r="I40" s="137">
        <f>F40/E40</f>
        <v>0.80623035152900824</v>
      </c>
    </row>
    <row r="41" spans="1:17" x14ac:dyDescent="0.2">
      <c r="A41" s="224" t="s">
        <v>52</v>
      </c>
      <c r="B41" s="138">
        <v>5069</v>
      </c>
      <c r="C41" s="139">
        <v>4749</v>
      </c>
      <c r="D41" s="298">
        <v>1.0673826068646031</v>
      </c>
      <c r="E41" s="371">
        <v>4014</v>
      </c>
      <c r="F41" s="139">
        <v>3710</v>
      </c>
      <c r="G41" s="139">
        <v>3284</v>
      </c>
      <c r="H41" s="367">
        <v>0.78121709833649189</v>
      </c>
      <c r="I41" s="140">
        <f>F41/E41</f>
        <v>0.92426507224713506</v>
      </c>
    </row>
    <row r="42" spans="1:17" x14ac:dyDescent="0.2">
      <c r="A42" s="225" t="s">
        <v>43</v>
      </c>
      <c r="B42" s="141">
        <v>1349</v>
      </c>
      <c r="C42" s="142">
        <v>1312</v>
      </c>
      <c r="D42" s="299">
        <v>1.0282012195121952</v>
      </c>
      <c r="E42" s="372">
        <v>1121</v>
      </c>
      <c r="F42" s="142">
        <v>741</v>
      </c>
      <c r="G42" s="142">
        <v>599</v>
      </c>
      <c r="H42" s="368">
        <v>0.56478658536585369</v>
      </c>
      <c r="I42" s="143">
        <f>F42/E42</f>
        <v>0.66101694915254239</v>
      </c>
    </row>
    <row r="43" spans="1:17" ht="13.5" thickBot="1" x14ac:dyDescent="0.25">
      <c r="A43" s="226" t="s">
        <v>44</v>
      </c>
      <c r="B43" s="144">
        <v>22621</v>
      </c>
      <c r="C43" s="145">
        <v>17164</v>
      </c>
      <c r="D43" s="300">
        <v>1.3179328827779073</v>
      </c>
      <c r="E43" s="380">
        <v>14989</v>
      </c>
      <c r="F43" s="145">
        <v>12645</v>
      </c>
      <c r="G43" s="145">
        <v>10858</v>
      </c>
      <c r="H43" s="369">
        <v>0.73671638312747612</v>
      </c>
      <c r="I43" s="146">
        <f>F43/E43</f>
        <v>0.84361865367936484</v>
      </c>
    </row>
    <row r="44" spans="1:17" ht="13.5" thickBot="1" x14ac:dyDescent="0.25">
      <c r="A44" s="382" t="s">
        <v>87</v>
      </c>
      <c r="B44" s="381"/>
      <c r="C44" s="381"/>
      <c r="D44" s="381"/>
      <c r="E44" s="381"/>
      <c r="F44" s="381"/>
      <c r="G44" s="381"/>
      <c r="H44" s="381"/>
      <c r="I44" s="383"/>
    </row>
    <row r="45" spans="1:17" x14ac:dyDescent="0.2">
      <c r="A45" s="223" t="s">
        <v>51</v>
      </c>
      <c r="B45" s="135">
        <v>14578</v>
      </c>
      <c r="C45" s="136">
        <v>12040</v>
      </c>
      <c r="D45" s="297">
        <v>1.210797342192691</v>
      </c>
      <c r="E45" s="370">
        <v>10727</v>
      </c>
      <c r="F45" s="136">
        <v>9008</v>
      </c>
      <c r="G45" s="136">
        <v>7275</v>
      </c>
      <c r="H45" s="366">
        <v>0.74817275747508305</v>
      </c>
      <c r="I45" s="137">
        <v>0.83975016313974082</v>
      </c>
    </row>
    <row r="46" spans="1:17" x14ac:dyDescent="0.2">
      <c r="A46" s="224" t="s">
        <v>52</v>
      </c>
      <c r="B46" s="138">
        <v>5471</v>
      </c>
      <c r="C46" s="139">
        <v>5186</v>
      </c>
      <c r="D46" s="298">
        <v>1.0549556498264558</v>
      </c>
      <c r="E46" s="371">
        <v>4363</v>
      </c>
      <c r="F46" s="139">
        <v>4091</v>
      </c>
      <c r="G46" s="139">
        <v>3469</v>
      </c>
      <c r="H46" s="367">
        <v>0.78885460856151179</v>
      </c>
      <c r="I46" s="140">
        <v>0.93765757506303005</v>
      </c>
    </row>
    <row r="47" spans="1:17" x14ac:dyDescent="0.2">
      <c r="A47" s="225" t="s">
        <v>43</v>
      </c>
      <c r="B47" s="141">
        <v>1189</v>
      </c>
      <c r="C47" s="142">
        <v>1163</v>
      </c>
      <c r="D47" s="299">
        <v>1.0223559759243337</v>
      </c>
      <c r="E47" s="372">
        <v>1031</v>
      </c>
      <c r="F47" s="142">
        <v>757</v>
      </c>
      <c r="G47" s="142">
        <v>625</v>
      </c>
      <c r="H47" s="368">
        <v>0.65090283748925193</v>
      </c>
      <c r="I47" s="143">
        <v>0.73423860329776913</v>
      </c>
    </row>
    <row r="48" spans="1:17" ht="13.5" thickBot="1" x14ac:dyDescent="0.25">
      <c r="A48" s="435" t="s">
        <v>44</v>
      </c>
      <c r="B48" s="436">
        <v>21238</v>
      </c>
      <c r="C48" s="437">
        <v>17484</v>
      </c>
      <c r="D48" s="438">
        <v>1.2147105925417525</v>
      </c>
      <c r="E48" s="439">
        <v>15600</v>
      </c>
      <c r="F48" s="437">
        <v>13629</v>
      </c>
      <c r="G48" s="437">
        <v>11342</v>
      </c>
      <c r="H48" s="440">
        <v>0.779512697323267</v>
      </c>
      <c r="I48" s="441">
        <v>0.87365384615384611</v>
      </c>
    </row>
    <row r="49" spans="1:9" ht="13.5" thickBot="1" x14ac:dyDescent="0.25">
      <c r="A49" s="382" t="s">
        <v>89</v>
      </c>
      <c r="B49" s="381"/>
      <c r="C49" s="381"/>
      <c r="D49" s="381"/>
      <c r="E49" s="381"/>
      <c r="F49" s="381"/>
      <c r="G49" s="381"/>
      <c r="H49" s="381"/>
      <c r="I49" s="383"/>
    </row>
    <row r="50" spans="1:9" x14ac:dyDescent="0.2">
      <c r="A50" s="223" t="s">
        <v>51</v>
      </c>
      <c r="B50" s="135">
        <v>13478</v>
      </c>
      <c r="C50" s="136">
        <v>12070</v>
      </c>
      <c r="D50" s="297">
        <f>B50/C50</f>
        <v>1.1166528583264292</v>
      </c>
      <c r="E50" s="370">
        <v>10527</v>
      </c>
      <c r="F50" s="136">
        <v>8733</v>
      </c>
      <c r="G50" s="136">
        <v>7120</v>
      </c>
      <c r="H50" s="366">
        <f>F50/C50</f>
        <v>0.72352941176470587</v>
      </c>
      <c r="I50" s="137">
        <f>F50/E50</f>
        <v>0.82958107722998009</v>
      </c>
    </row>
    <row r="51" spans="1:9" x14ac:dyDescent="0.2">
      <c r="A51" s="224" t="s">
        <v>52</v>
      </c>
      <c r="B51" s="138">
        <v>4344</v>
      </c>
      <c r="C51" s="139">
        <v>4199</v>
      </c>
      <c r="D51" s="298">
        <f>B51/C51</f>
        <v>1.0345320314360562</v>
      </c>
      <c r="E51" s="371">
        <v>3553</v>
      </c>
      <c r="F51" s="139">
        <v>3368</v>
      </c>
      <c r="G51" s="139">
        <v>2986</v>
      </c>
      <c r="H51" s="367">
        <f>F51/C51</f>
        <v>0.80209573708025717</v>
      </c>
      <c r="I51" s="140">
        <f>F51/E51</f>
        <v>0.94793132564030402</v>
      </c>
    </row>
    <row r="52" spans="1:9" x14ac:dyDescent="0.2">
      <c r="A52" s="225" t="s">
        <v>43</v>
      </c>
      <c r="B52" s="141">
        <v>1075</v>
      </c>
      <c r="C52" s="142">
        <v>1048</v>
      </c>
      <c r="D52" s="299">
        <f>B52/C52</f>
        <v>1.0257633587786259</v>
      </c>
      <c r="E52" s="372">
        <v>928</v>
      </c>
      <c r="F52" s="142">
        <v>735</v>
      </c>
      <c r="G52" s="142">
        <v>580</v>
      </c>
      <c r="H52" s="368">
        <f>F52/C52</f>
        <v>0.70133587786259544</v>
      </c>
      <c r="I52" s="143">
        <f>F52/E52</f>
        <v>0.79202586206896552</v>
      </c>
    </row>
    <row r="53" spans="1:9" ht="13.5" thickBot="1" x14ac:dyDescent="0.25">
      <c r="A53" s="435" t="s">
        <v>44</v>
      </c>
      <c r="B53" s="436">
        <v>18897</v>
      </c>
      <c r="C53" s="437">
        <v>16703</v>
      </c>
      <c r="D53" s="438">
        <f>B53/C53</f>
        <v>1.1313536490450817</v>
      </c>
      <c r="E53" s="439">
        <v>14593</v>
      </c>
      <c r="F53" s="437">
        <v>12593</v>
      </c>
      <c r="G53" s="437">
        <v>10658</v>
      </c>
      <c r="H53" s="440">
        <f>F53/C53</f>
        <v>0.75393641860743577</v>
      </c>
      <c r="I53" s="441">
        <f>F53/E53</f>
        <v>0.86294798876173506</v>
      </c>
    </row>
    <row r="54" spans="1:9" ht="13.5" thickBot="1" x14ac:dyDescent="0.25">
      <c r="A54" s="382" t="s">
        <v>108</v>
      </c>
      <c r="B54" s="381"/>
      <c r="C54" s="381"/>
      <c r="D54" s="381"/>
      <c r="E54" s="381"/>
      <c r="F54" s="381"/>
      <c r="G54" s="381"/>
      <c r="H54" s="381"/>
      <c r="I54" s="383"/>
    </row>
    <row r="55" spans="1:9" x14ac:dyDescent="0.2">
      <c r="A55" s="223" t="s">
        <v>51</v>
      </c>
      <c r="B55" s="135">
        <v>15646</v>
      </c>
      <c r="C55" s="136">
        <v>13595</v>
      </c>
      <c r="D55" s="297">
        <f>B55/C55</f>
        <v>1.1508642883413021</v>
      </c>
      <c r="E55" s="370">
        <v>12346</v>
      </c>
      <c r="F55" s="136">
        <v>10176</v>
      </c>
      <c r="G55" s="136">
        <v>8276</v>
      </c>
      <c r="H55" s="485">
        <f>F55/C55</f>
        <v>0.74851048179477753</v>
      </c>
      <c r="I55" s="137">
        <f>F55/E55</f>
        <v>0.8242345699011826</v>
      </c>
    </row>
    <row r="56" spans="1:9" x14ac:dyDescent="0.2">
      <c r="A56" s="224" t="s">
        <v>52</v>
      </c>
      <c r="B56" s="138">
        <v>3912</v>
      </c>
      <c r="C56" s="139">
        <v>3786</v>
      </c>
      <c r="D56" s="298">
        <f>B56/C56</f>
        <v>1.0332805071315372</v>
      </c>
      <c r="E56" s="371">
        <v>3185</v>
      </c>
      <c r="F56" s="139">
        <v>3031</v>
      </c>
      <c r="G56" s="139">
        <v>2674</v>
      </c>
      <c r="H56" s="486">
        <f>F56/C56</f>
        <v>0.80058108821975704</v>
      </c>
      <c r="I56" s="140">
        <f>F56/E56</f>
        <v>0.9516483516483516</v>
      </c>
    </row>
    <row r="57" spans="1:9" x14ac:dyDescent="0.2">
      <c r="A57" s="225" t="s">
        <v>43</v>
      </c>
      <c r="B57" s="141">
        <v>1065</v>
      </c>
      <c r="C57" s="142">
        <v>1041</v>
      </c>
      <c r="D57" s="299">
        <f>B57/C57</f>
        <v>1.0230547550432276</v>
      </c>
      <c r="E57" s="372">
        <v>930</v>
      </c>
      <c r="F57" s="142">
        <v>807</v>
      </c>
      <c r="G57" s="142">
        <v>648</v>
      </c>
      <c r="H57" s="487">
        <f>F57/C57</f>
        <v>0.77521613832853031</v>
      </c>
      <c r="I57" s="143">
        <f>F57/E57</f>
        <v>0.86774193548387102</v>
      </c>
    </row>
    <row r="58" spans="1:9" ht="13.5" thickBot="1" x14ac:dyDescent="0.25">
      <c r="A58" s="227" t="s">
        <v>44</v>
      </c>
      <c r="B58" s="147">
        <v>20623</v>
      </c>
      <c r="C58" s="148">
        <v>17696</v>
      </c>
      <c r="D58" s="319">
        <f>B58/C58</f>
        <v>1.1654046112115732</v>
      </c>
      <c r="E58" s="373">
        <v>15972</v>
      </c>
      <c r="F58" s="148">
        <v>13741</v>
      </c>
      <c r="G58" s="148">
        <v>11563</v>
      </c>
      <c r="H58" s="488">
        <f>F58/C58</f>
        <v>0.776503164556962</v>
      </c>
      <c r="I58" s="149">
        <f>F58/E58</f>
        <v>0.86031805659904836</v>
      </c>
    </row>
    <row r="59" spans="1:9" ht="14.25" thickTop="1" thickBot="1" x14ac:dyDescent="0.25">
      <c r="A59" s="382" t="s">
        <v>118</v>
      </c>
      <c r="B59" s="381"/>
      <c r="C59" s="381"/>
      <c r="D59" s="381"/>
      <c r="E59" s="381"/>
      <c r="F59" s="381"/>
      <c r="G59" s="381"/>
      <c r="H59" s="381"/>
      <c r="I59" s="383"/>
    </row>
    <row r="60" spans="1:9" x14ac:dyDescent="0.2">
      <c r="A60" s="223" t="s">
        <v>51</v>
      </c>
      <c r="B60" s="135">
        <v>16892</v>
      </c>
      <c r="C60" s="136">
        <v>14761</v>
      </c>
      <c r="D60" s="297">
        <f>B60/C60</f>
        <v>1.1443669128107852</v>
      </c>
      <c r="E60" s="370">
        <v>13460</v>
      </c>
      <c r="F60" s="136">
        <v>10662</v>
      </c>
      <c r="G60" s="136">
        <v>9017</v>
      </c>
      <c r="H60" s="485">
        <f>F60/C60</f>
        <v>0.72230878666756992</v>
      </c>
      <c r="I60" s="137">
        <f>F60/E60</f>
        <v>0.79212481426448733</v>
      </c>
    </row>
    <row r="61" spans="1:9" x14ac:dyDescent="0.2">
      <c r="A61" s="224" t="s">
        <v>52</v>
      </c>
      <c r="B61" s="138">
        <v>4040</v>
      </c>
      <c r="C61" s="139">
        <v>3936</v>
      </c>
      <c r="D61" s="298">
        <f>B61/C61</f>
        <v>1.0264227642276422</v>
      </c>
      <c r="E61" s="371">
        <v>3402</v>
      </c>
      <c r="F61" s="139">
        <v>3189</v>
      </c>
      <c r="G61" s="139">
        <v>2852</v>
      </c>
      <c r="H61" s="486">
        <f>F61/C61</f>
        <v>0.81021341463414631</v>
      </c>
      <c r="I61" s="140">
        <f>F61/E61</f>
        <v>0.93738977072310403</v>
      </c>
    </row>
    <row r="62" spans="1:9" x14ac:dyDescent="0.2">
      <c r="A62" s="225" t="s">
        <v>43</v>
      </c>
      <c r="B62" s="141">
        <v>1214</v>
      </c>
      <c r="C62" s="142">
        <v>1175</v>
      </c>
      <c r="D62" s="299">
        <f>B62/C62</f>
        <v>1.033191489361702</v>
      </c>
      <c r="E62" s="372">
        <v>1095</v>
      </c>
      <c r="F62" s="142">
        <v>846</v>
      </c>
      <c r="G62" s="142">
        <v>690</v>
      </c>
      <c r="H62" s="487">
        <f>F62/C62</f>
        <v>0.72</v>
      </c>
      <c r="I62" s="143">
        <f>F62/E62</f>
        <v>0.77260273972602744</v>
      </c>
    </row>
    <row r="63" spans="1:9" ht="13.5" thickBot="1" x14ac:dyDescent="0.25">
      <c r="A63" s="227" t="s">
        <v>44</v>
      </c>
      <c r="B63" s="147">
        <v>22146</v>
      </c>
      <c r="C63" s="148">
        <v>19041</v>
      </c>
      <c r="D63" s="319">
        <f>B63/C63</f>
        <v>1.163069166535371</v>
      </c>
      <c r="E63" s="373">
        <v>17418</v>
      </c>
      <c r="F63" s="148">
        <v>14447</v>
      </c>
      <c r="G63" s="148">
        <v>12515</v>
      </c>
      <c r="H63" s="488">
        <f>F63/C63</f>
        <v>0.75873115907777955</v>
      </c>
      <c r="I63" s="149">
        <f>F63/E63</f>
        <v>0.82942932598461361</v>
      </c>
    </row>
    <row r="64" spans="1:9" ht="14.25" thickTop="1" thickBot="1" x14ac:dyDescent="0.25">
      <c r="A64" s="382" t="s">
        <v>121</v>
      </c>
      <c r="B64" s="381"/>
      <c r="C64" s="381"/>
      <c r="D64" s="381"/>
      <c r="E64" s="381"/>
      <c r="F64" s="381"/>
      <c r="G64" s="381"/>
      <c r="H64" s="381"/>
      <c r="I64" s="383"/>
    </row>
    <row r="65" spans="1:9" x14ac:dyDescent="0.2">
      <c r="A65" s="223" t="s">
        <v>51</v>
      </c>
      <c r="B65" s="135">
        <v>16285</v>
      </c>
      <c r="C65" s="136">
        <v>13694</v>
      </c>
      <c r="D65" s="297">
        <f>B65/C65</f>
        <v>1.189206951949759</v>
      </c>
      <c r="E65" s="370">
        <v>12605</v>
      </c>
      <c r="F65" s="136">
        <v>10335</v>
      </c>
      <c r="G65" s="136">
        <v>8624</v>
      </c>
      <c r="H65" s="485">
        <f>F65/C65</f>
        <v>0.75471009201109973</v>
      </c>
      <c r="I65" s="137">
        <f>F65/E65</f>
        <v>0.8199127330424435</v>
      </c>
    </row>
    <row r="66" spans="1:9" x14ac:dyDescent="0.2">
      <c r="A66" s="224" t="s">
        <v>52</v>
      </c>
      <c r="B66" s="138">
        <v>3722</v>
      </c>
      <c r="C66" s="139">
        <v>3597</v>
      </c>
      <c r="D66" s="298">
        <f>B66/C66</f>
        <v>1.0347511815401724</v>
      </c>
      <c r="E66" s="371">
        <v>3199</v>
      </c>
      <c r="F66" s="139">
        <v>2794</v>
      </c>
      <c r="G66" s="139">
        <v>2479</v>
      </c>
      <c r="H66" s="486">
        <f>F66/C66</f>
        <v>0.77675840978593269</v>
      </c>
      <c r="I66" s="140">
        <f>F66/E66</f>
        <v>0.87339793685526723</v>
      </c>
    </row>
    <row r="67" spans="1:9" x14ac:dyDescent="0.2">
      <c r="A67" s="225" t="s">
        <v>43</v>
      </c>
      <c r="B67" s="141">
        <v>1346</v>
      </c>
      <c r="C67" s="142">
        <v>1274</v>
      </c>
      <c r="D67" s="299">
        <f>B67/C67</f>
        <v>1.0565149136577707</v>
      </c>
      <c r="E67" s="372">
        <v>1141</v>
      </c>
      <c r="F67" s="142">
        <v>880</v>
      </c>
      <c r="G67" s="142">
        <v>725</v>
      </c>
      <c r="H67" s="487">
        <f>F67/C67</f>
        <v>0.69073783359497642</v>
      </c>
      <c r="I67" s="143">
        <f>F67/E67</f>
        <v>0.77125328659070991</v>
      </c>
    </row>
    <row r="68" spans="1:9" ht="13.5" thickBot="1" x14ac:dyDescent="0.25">
      <c r="A68" s="227" t="s">
        <v>44</v>
      </c>
      <c r="B68" s="147">
        <v>21358</v>
      </c>
      <c r="C68" s="148">
        <v>17864</v>
      </c>
      <c r="D68" s="319">
        <f>B68/C68</f>
        <v>1.1955888938647559</v>
      </c>
      <c r="E68" s="373">
        <v>16458</v>
      </c>
      <c r="F68" s="148">
        <v>13820</v>
      </c>
      <c r="G68" s="148">
        <v>11804</v>
      </c>
      <c r="H68" s="488">
        <f>F68/C68</f>
        <v>0.77362292879534256</v>
      </c>
      <c r="I68" s="149">
        <f>F68/E68</f>
        <v>0.83971320938145577</v>
      </c>
    </row>
    <row r="69" spans="1:9" ht="14.25" thickTop="1" thickBot="1" x14ac:dyDescent="0.25">
      <c r="A69" s="382" t="s">
        <v>132</v>
      </c>
      <c r="B69" s="381"/>
      <c r="C69" s="381"/>
      <c r="D69" s="381"/>
      <c r="E69" s="381"/>
      <c r="F69" s="381"/>
      <c r="G69" s="381"/>
      <c r="H69" s="381"/>
      <c r="I69" s="383"/>
    </row>
    <row r="70" spans="1:9" x14ac:dyDescent="0.2">
      <c r="A70" s="223" t="s">
        <v>51</v>
      </c>
      <c r="B70" s="135">
        <v>16339</v>
      </c>
      <c r="C70" s="136">
        <v>13834</v>
      </c>
      <c r="D70" s="297">
        <f>B70/C70</f>
        <v>1.1810756108139366</v>
      </c>
      <c r="E70" s="370">
        <v>12705</v>
      </c>
      <c r="F70" s="136">
        <v>10571</v>
      </c>
      <c r="G70" s="136">
        <v>9083</v>
      </c>
      <c r="H70" s="485">
        <f>F70/C70</f>
        <v>0.76413184906751486</v>
      </c>
      <c r="I70" s="137">
        <f>F70/E70</f>
        <v>0.83203463203463202</v>
      </c>
    </row>
    <row r="71" spans="1:9" x14ac:dyDescent="0.2">
      <c r="A71" s="224" t="s">
        <v>52</v>
      </c>
      <c r="B71" s="138">
        <v>3291</v>
      </c>
      <c r="C71" s="139">
        <v>3186</v>
      </c>
      <c r="D71" s="298">
        <f>B71/C71</f>
        <v>1.0329566854990584</v>
      </c>
      <c r="E71" s="371">
        <v>2804</v>
      </c>
      <c r="F71" s="139">
        <v>2575</v>
      </c>
      <c r="G71" s="139">
        <v>2271</v>
      </c>
      <c r="H71" s="486">
        <f>F71/C71</f>
        <v>0.80822347771500314</v>
      </c>
      <c r="I71" s="140">
        <f>F71/E71</f>
        <v>0.91833095577746082</v>
      </c>
    </row>
    <row r="72" spans="1:9" x14ac:dyDescent="0.2">
      <c r="A72" s="225" t="s">
        <v>43</v>
      </c>
      <c r="B72" s="141">
        <v>1361</v>
      </c>
      <c r="C72" s="142">
        <v>1269</v>
      </c>
      <c r="D72" s="299">
        <f>B72/C72</f>
        <v>1.0724980299448386</v>
      </c>
      <c r="E72" s="372">
        <v>1151</v>
      </c>
      <c r="F72" s="142">
        <v>858</v>
      </c>
      <c r="G72" s="142">
        <v>725</v>
      </c>
      <c r="H72" s="487">
        <f>F72/C72</f>
        <v>0.67612293144208035</v>
      </c>
      <c r="I72" s="143">
        <f>F72/E72</f>
        <v>0.74543874891398787</v>
      </c>
    </row>
    <row r="73" spans="1:9" ht="13.5" thickBot="1" x14ac:dyDescent="0.25">
      <c r="A73" s="227" t="s">
        <v>44</v>
      </c>
      <c r="B73" s="147">
        <v>20991</v>
      </c>
      <c r="C73" s="148">
        <f>+'voš_druh studia '!C59</f>
        <v>17605</v>
      </c>
      <c r="D73" s="319">
        <f>B73/C73</f>
        <v>1.1923317239420619</v>
      </c>
      <c r="E73" s="373">
        <f>+'voš_druh studia '!G59</f>
        <v>16196</v>
      </c>
      <c r="F73" s="373">
        <f>+'voš_druh studia '!H59</f>
        <v>13798</v>
      </c>
      <c r="G73" s="373">
        <f>+'voš_druh studia '!I59</f>
        <v>12043</v>
      </c>
      <c r="H73" s="488">
        <f>F73/C73</f>
        <v>0.78375461516614597</v>
      </c>
      <c r="I73" s="149">
        <f>F73/E73</f>
        <v>0.85193875030871824</v>
      </c>
    </row>
    <row r="74" spans="1:9" ht="14.25" thickTop="1" thickBot="1" x14ac:dyDescent="0.25">
      <c r="A74" s="382" t="s">
        <v>134</v>
      </c>
      <c r="B74" s="381"/>
      <c r="C74" s="381"/>
      <c r="D74" s="381"/>
      <c r="E74" s="381"/>
      <c r="F74" s="381"/>
      <c r="G74" s="381"/>
      <c r="H74" s="381"/>
      <c r="I74" s="383"/>
    </row>
    <row r="75" spans="1:9" x14ac:dyDescent="0.2">
      <c r="A75" s="223" t="s">
        <v>51</v>
      </c>
      <c r="B75" s="135">
        <v>16521</v>
      </c>
      <c r="C75" s="136">
        <v>13808</v>
      </c>
      <c r="D75" s="297">
        <f>B75/C75</f>
        <v>1.1964803012746235</v>
      </c>
      <c r="E75" s="370">
        <v>12953</v>
      </c>
      <c r="F75" s="136">
        <v>10603</v>
      </c>
      <c r="G75" s="136">
        <v>9048</v>
      </c>
      <c r="H75" s="485">
        <f>F75/C75</f>
        <v>0.76788818076477405</v>
      </c>
      <c r="I75" s="137">
        <f>F75/E75</f>
        <v>0.81857484752566978</v>
      </c>
    </row>
    <row r="76" spans="1:9" x14ac:dyDescent="0.2">
      <c r="A76" s="224" t="s">
        <v>52</v>
      </c>
      <c r="B76" s="138">
        <v>3272</v>
      </c>
      <c r="C76" s="139">
        <v>3151</v>
      </c>
      <c r="D76" s="298">
        <f>B76/C76</f>
        <v>1.0384005077753093</v>
      </c>
      <c r="E76" s="371">
        <v>2790</v>
      </c>
      <c r="F76" s="139">
        <v>2531</v>
      </c>
      <c r="G76" s="139">
        <v>2201</v>
      </c>
      <c r="H76" s="486">
        <f>F76/C76</f>
        <v>0.80323706759758806</v>
      </c>
      <c r="I76" s="140">
        <f>F76/E76</f>
        <v>0.90716845878136199</v>
      </c>
    </row>
    <row r="77" spans="1:9" x14ac:dyDescent="0.2">
      <c r="A77" s="225" t="s">
        <v>43</v>
      </c>
      <c r="B77" s="141">
        <v>1087</v>
      </c>
      <c r="C77" s="142">
        <v>1038</v>
      </c>
      <c r="D77" s="299">
        <f>B77/C77</f>
        <v>1.0472061657032756</v>
      </c>
      <c r="E77" s="372">
        <v>947</v>
      </c>
      <c r="F77" s="142">
        <v>783</v>
      </c>
      <c r="G77" s="142">
        <v>649</v>
      </c>
      <c r="H77" s="487">
        <f>F77/C77</f>
        <v>0.75433526011560692</v>
      </c>
      <c r="I77" s="143">
        <f>F77/E77</f>
        <v>0.82682154171066524</v>
      </c>
    </row>
    <row r="78" spans="1:9" ht="13.5" thickBot="1" x14ac:dyDescent="0.25">
      <c r="A78" s="227" t="s">
        <v>44</v>
      </c>
      <c r="B78" s="147">
        <f>'voš_druh studia '!B63</f>
        <v>20880</v>
      </c>
      <c r="C78" s="148">
        <f>'voš_druh studia '!C63</f>
        <v>17384</v>
      </c>
      <c r="D78" s="319">
        <f>B78/C78</f>
        <v>1.2011044638748274</v>
      </c>
      <c r="E78" s="373">
        <f>'voš_druh studia '!G63</f>
        <v>16264</v>
      </c>
      <c r="F78" s="373">
        <f>'voš_druh studia '!H63</f>
        <v>13740</v>
      </c>
      <c r="G78" s="373">
        <f>'voš_druh studia '!I63</f>
        <v>11877</v>
      </c>
      <c r="H78" s="488">
        <f>F78/C78</f>
        <v>0.79038196042337783</v>
      </c>
      <c r="I78" s="149">
        <f>F78/E78</f>
        <v>0.84481062469257251</v>
      </c>
    </row>
    <row r="79" spans="1:9" ht="14.25" thickTop="1" thickBot="1" x14ac:dyDescent="0.25">
      <c r="A79" s="382" t="s">
        <v>137</v>
      </c>
      <c r="B79" s="381"/>
      <c r="C79" s="381"/>
      <c r="D79" s="381"/>
      <c r="E79" s="381"/>
      <c r="F79" s="381"/>
      <c r="G79" s="381"/>
      <c r="H79" s="381"/>
      <c r="I79" s="383"/>
    </row>
    <row r="80" spans="1:9" x14ac:dyDescent="0.2">
      <c r="A80" s="223" t="s">
        <v>51</v>
      </c>
      <c r="B80" s="135">
        <v>15049</v>
      </c>
      <c r="C80" s="136">
        <v>12532</v>
      </c>
      <c r="D80" s="297">
        <f>B80/C80</f>
        <v>1.200845834663262</v>
      </c>
      <c r="E80" s="370">
        <v>11248</v>
      </c>
      <c r="F80" s="136">
        <v>9355</v>
      </c>
      <c r="G80" s="136">
        <v>8135</v>
      </c>
      <c r="H80" s="485">
        <f>F80/C80</f>
        <v>0.74648898819023302</v>
      </c>
      <c r="I80" s="137">
        <f>F80/E80</f>
        <v>0.83170341394025604</v>
      </c>
    </row>
    <row r="81" spans="1:9" x14ac:dyDescent="0.2">
      <c r="A81" s="224" t="s">
        <v>52</v>
      </c>
      <c r="B81" s="138">
        <v>3046</v>
      </c>
      <c r="C81" s="139">
        <v>2940</v>
      </c>
      <c r="D81" s="298">
        <f>B81/C81</f>
        <v>1.0360544217687075</v>
      </c>
      <c r="E81" s="371">
        <v>2587</v>
      </c>
      <c r="F81" s="139">
        <v>2456</v>
      </c>
      <c r="G81" s="139">
        <v>2116</v>
      </c>
      <c r="H81" s="486">
        <f>F81/C81</f>
        <v>0.8353741496598639</v>
      </c>
      <c r="I81" s="140">
        <f>F81/E81</f>
        <v>0.94936219559335133</v>
      </c>
    </row>
    <row r="82" spans="1:9" customFormat="1" x14ac:dyDescent="0.2">
      <c r="A82" s="225" t="s">
        <v>43</v>
      </c>
      <c r="B82" s="141">
        <v>1223</v>
      </c>
      <c r="C82" s="142">
        <v>1167</v>
      </c>
      <c r="D82" s="299">
        <f>B82/C82</f>
        <v>1.047986289631534</v>
      </c>
      <c r="E82" s="372">
        <v>1037</v>
      </c>
      <c r="F82" s="142">
        <v>862</v>
      </c>
      <c r="G82" s="142">
        <v>725</v>
      </c>
      <c r="H82" s="487">
        <f>F82/C82</f>
        <v>0.73864610111396745</v>
      </c>
      <c r="I82" s="143">
        <f>F82/E82</f>
        <v>0.83124397299903563</v>
      </c>
    </row>
    <row r="83" spans="1:9" customFormat="1" ht="13.5" thickBot="1" x14ac:dyDescent="0.25">
      <c r="A83" s="227" t="s">
        <v>44</v>
      </c>
      <c r="B83" s="147">
        <f>'voš_druh studia '!B67</f>
        <v>19318</v>
      </c>
      <c r="C83" s="148">
        <f>'voš_druh studia '!C67</f>
        <v>16050</v>
      </c>
      <c r="D83" s="319">
        <f>B83/C83</f>
        <v>1.203613707165109</v>
      </c>
      <c r="E83" s="373">
        <f>'voš_druh studia '!G67</f>
        <v>14740</v>
      </c>
      <c r="F83" s="373">
        <f>'voš_druh studia '!H67</f>
        <v>12482</v>
      </c>
      <c r="G83" s="373">
        <f>'voš_druh studia '!I67</f>
        <v>10951</v>
      </c>
      <c r="H83" s="488">
        <f>F83/C83</f>
        <v>0.7776947040498442</v>
      </c>
      <c r="I83" s="149">
        <f>F83/E83</f>
        <v>0.84681139755766621</v>
      </c>
    </row>
    <row r="84" spans="1:9" customFormat="1" ht="14.25" thickTop="1" thickBot="1" x14ac:dyDescent="0.25">
      <c r="A84" s="382" t="s">
        <v>139</v>
      </c>
      <c r="B84" s="381"/>
      <c r="C84" s="381"/>
      <c r="D84" s="381"/>
      <c r="E84" s="381"/>
      <c r="F84" s="381"/>
      <c r="G84" s="381"/>
      <c r="H84" s="381"/>
      <c r="I84" s="383"/>
    </row>
    <row r="85" spans="1:9" customFormat="1" x14ac:dyDescent="0.2">
      <c r="A85" s="223" t="s">
        <v>51</v>
      </c>
      <c r="B85" s="135">
        <v>13503</v>
      </c>
      <c r="C85" s="136">
        <v>11166</v>
      </c>
      <c r="D85" s="297">
        <f>B85/C85</f>
        <v>1.2092960773777539</v>
      </c>
      <c r="E85" s="370">
        <v>10073</v>
      </c>
      <c r="F85" s="136">
        <v>8661</v>
      </c>
      <c r="G85" s="136">
        <v>7406</v>
      </c>
      <c r="H85" s="485">
        <f>F85/C85</f>
        <v>0.77565824825362706</v>
      </c>
      <c r="I85" s="137">
        <f>F85/E85</f>
        <v>0.85982328998312318</v>
      </c>
    </row>
    <row r="86" spans="1:9" customFormat="1" x14ac:dyDescent="0.2">
      <c r="A86" s="224" t="s">
        <v>52</v>
      </c>
      <c r="B86" s="138">
        <v>2850</v>
      </c>
      <c r="C86" s="139">
        <v>2759</v>
      </c>
      <c r="D86" s="298">
        <f>B86/C86</f>
        <v>1.0329829648423341</v>
      </c>
      <c r="E86" s="371">
        <v>2521</v>
      </c>
      <c r="F86" s="139">
        <v>2357</v>
      </c>
      <c r="G86" s="139">
        <v>2022</v>
      </c>
      <c r="H86" s="486">
        <f>F86/C86</f>
        <v>0.85429503443276544</v>
      </c>
      <c r="I86" s="140">
        <f>F86/E86</f>
        <v>0.93494644982149944</v>
      </c>
    </row>
    <row r="87" spans="1:9" customFormat="1" x14ac:dyDescent="0.2">
      <c r="A87" s="225" t="s">
        <v>43</v>
      </c>
      <c r="B87" s="141">
        <v>1032</v>
      </c>
      <c r="C87" s="142">
        <v>994</v>
      </c>
      <c r="D87" s="299">
        <f>B87/C87</f>
        <v>1.0382293762575452</v>
      </c>
      <c r="E87" s="372">
        <v>906</v>
      </c>
      <c r="F87" s="142">
        <v>762</v>
      </c>
      <c r="G87" s="142">
        <v>640</v>
      </c>
      <c r="H87" s="487">
        <f>F87/C87</f>
        <v>0.7665995975855131</v>
      </c>
      <c r="I87" s="143">
        <f>F87/E87</f>
        <v>0.84105960264900659</v>
      </c>
    </row>
    <row r="88" spans="1:9" customFormat="1" ht="13.5" thickBot="1" x14ac:dyDescent="0.25">
      <c r="A88" s="227" t="s">
        <v>44</v>
      </c>
      <c r="B88" s="147">
        <f>'voš_druh studia '!B71</f>
        <v>17385</v>
      </c>
      <c r="C88" s="148">
        <f>'voš_druh studia '!C71</f>
        <v>14397</v>
      </c>
      <c r="D88" s="319">
        <f>B88/C88</f>
        <v>1.2075432381746196</v>
      </c>
      <c r="E88" s="373">
        <f>'voš_druh studia '!G71</f>
        <v>13149</v>
      </c>
      <c r="F88" s="373">
        <f>'voš_druh studia '!H71</f>
        <v>11580</v>
      </c>
      <c r="G88" s="373">
        <f>'voš_druh studia '!I71</f>
        <v>10032</v>
      </c>
      <c r="H88" s="488">
        <f>F88/C88</f>
        <v>0.80433423629922896</v>
      </c>
      <c r="I88" s="149">
        <f>F88/E88</f>
        <v>0.88067533652749264</v>
      </c>
    </row>
    <row r="89" spans="1:9" customFormat="1" ht="14.25" thickTop="1" thickBot="1" x14ac:dyDescent="0.25">
      <c r="A89" s="382" t="s">
        <v>142</v>
      </c>
      <c r="B89" s="381"/>
      <c r="C89" s="381"/>
      <c r="D89" s="381"/>
      <c r="E89" s="381"/>
      <c r="F89" s="381"/>
      <c r="G89" s="381"/>
      <c r="H89" s="381"/>
      <c r="I89" s="383"/>
    </row>
    <row r="90" spans="1:9" x14ac:dyDescent="0.2">
      <c r="A90" s="223" t="s">
        <v>51</v>
      </c>
      <c r="B90" s="135">
        <v>11508</v>
      </c>
      <c r="C90" s="136">
        <v>9735</v>
      </c>
      <c r="D90" s="297">
        <f>B90/C90</f>
        <v>1.1821263482280431</v>
      </c>
      <c r="E90" s="370">
        <v>8814</v>
      </c>
      <c r="F90" s="136">
        <v>7764</v>
      </c>
      <c r="G90" s="136">
        <v>6694</v>
      </c>
      <c r="H90" s="485">
        <f>F90/C90</f>
        <v>0.79753466872110945</v>
      </c>
      <c r="I90" s="137">
        <f>F90/E90</f>
        <v>0.8808713410483322</v>
      </c>
    </row>
    <row r="91" spans="1:9" x14ac:dyDescent="0.2">
      <c r="A91" s="224" t="s">
        <v>52</v>
      </c>
      <c r="B91" s="138">
        <v>2506</v>
      </c>
      <c r="C91" s="139">
        <v>2429</v>
      </c>
      <c r="D91" s="298">
        <f>B91/C91</f>
        <v>1.0317002881844379</v>
      </c>
      <c r="E91" s="371">
        <v>2182</v>
      </c>
      <c r="F91" s="139">
        <v>1956</v>
      </c>
      <c r="G91" s="139">
        <v>1718</v>
      </c>
      <c r="H91" s="486">
        <f>F91/C91</f>
        <v>0.80526965829559494</v>
      </c>
      <c r="I91" s="140">
        <f>F91/E91</f>
        <v>0.89642529789184233</v>
      </c>
    </row>
    <row r="92" spans="1:9" x14ac:dyDescent="0.2">
      <c r="A92" s="225" t="s">
        <v>43</v>
      </c>
      <c r="B92" s="141">
        <v>1022</v>
      </c>
      <c r="C92" s="142">
        <v>957</v>
      </c>
      <c r="D92" s="299">
        <f>B92/C92</f>
        <v>1.0679205851619644</v>
      </c>
      <c r="E92" s="372">
        <v>837</v>
      </c>
      <c r="F92" s="142">
        <v>803</v>
      </c>
      <c r="G92" s="142">
        <v>637</v>
      </c>
      <c r="H92" s="487">
        <f>F92/C92</f>
        <v>0.83908045977011492</v>
      </c>
      <c r="I92" s="143">
        <f>F92/E92</f>
        <v>0.95937873357228198</v>
      </c>
    </row>
    <row r="93" spans="1:9" ht="13.5" thickBot="1" x14ac:dyDescent="0.25">
      <c r="A93" s="227" t="s">
        <v>44</v>
      </c>
      <c r="B93" s="147">
        <f>'voš_druh studia '!B75</f>
        <v>15036</v>
      </c>
      <c r="C93" s="148">
        <f>'voš_druh studia '!C75</f>
        <v>12699</v>
      </c>
      <c r="D93" s="319">
        <f>B93/C93</f>
        <v>1.1840302386014647</v>
      </c>
      <c r="E93" s="373">
        <f>'voš_druh studia '!G75</f>
        <v>11550</v>
      </c>
      <c r="F93" s="373">
        <f>'voš_druh studia '!H75</f>
        <v>10362</v>
      </c>
      <c r="G93" s="373">
        <f>'voš_druh studia '!I75</f>
        <v>9025</v>
      </c>
      <c r="H93" s="488">
        <f>F93/C93</f>
        <v>0.81596976139853528</v>
      </c>
      <c r="I93" s="149">
        <f>F93/E93</f>
        <v>0.89714285714285713</v>
      </c>
    </row>
    <row r="94" spans="1:9" ht="14.25" thickTop="1" thickBot="1" x14ac:dyDescent="0.25">
      <c r="A94" s="382" t="s">
        <v>145</v>
      </c>
      <c r="B94" s="381"/>
      <c r="C94" s="381"/>
      <c r="D94" s="381"/>
      <c r="E94" s="381"/>
      <c r="F94" s="381"/>
      <c r="G94" s="381"/>
      <c r="H94" s="381"/>
      <c r="I94" s="383"/>
    </row>
    <row r="95" spans="1:9" x14ac:dyDescent="0.2">
      <c r="A95" s="223" t="s">
        <v>51</v>
      </c>
      <c r="B95" s="135">
        <v>10386</v>
      </c>
      <c r="C95" s="136">
        <v>8864</v>
      </c>
      <c r="D95" s="297">
        <f>B95/C95</f>
        <v>1.1717057761732852</v>
      </c>
      <c r="E95" s="370">
        <v>7920</v>
      </c>
      <c r="F95" s="136">
        <v>7040</v>
      </c>
      <c r="G95" s="136">
        <v>6058</v>
      </c>
      <c r="H95" s="485">
        <f>F95/C95</f>
        <v>0.79422382671480141</v>
      </c>
      <c r="I95" s="137">
        <f>F95/E95</f>
        <v>0.88888888888888884</v>
      </c>
    </row>
    <row r="96" spans="1:9" x14ac:dyDescent="0.2">
      <c r="A96" s="224" t="s">
        <v>52</v>
      </c>
      <c r="B96" s="138">
        <v>2275</v>
      </c>
      <c r="C96" s="139">
        <v>2198</v>
      </c>
      <c r="D96" s="298">
        <f>B96/C96</f>
        <v>1.0350318471337581</v>
      </c>
      <c r="E96" s="371">
        <v>2052</v>
      </c>
      <c r="F96" s="139">
        <v>1838</v>
      </c>
      <c r="G96" s="139">
        <v>1641</v>
      </c>
      <c r="H96" s="486">
        <f>F96/C96</f>
        <v>0.83621474067333945</v>
      </c>
      <c r="I96" s="140">
        <f>F96/E96</f>
        <v>0.8957115009746589</v>
      </c>
    </row>
    <row r="97" spans="1:9" x14ac:dyDescent="0.2">
      <c r="A97" s="225" t="s">
        <v>43</v>
      </c>
      <c r="B97" s="141">
        <v>1082</v>
      </c>
      <c r="C97" s="142">
        <v>1041</v>
      </c>
      <c r="D97" s="299">
        <f>B97/C97</f>
        <v>1.0393852065321807</v>
      </c>
      <c r="E97" s="372">
        <v>884</v>
      </c>
      <c r="F97" s="142">
        <v>784</v>
      </c>
      <c r="G97" s="142">
        <v>640</v>
      </c>
      <c r="H97" s="487">
        <f>F97/C97</f>
        <v>0.75312199807877045</v>
      </c>
      <c r="I97" s="143">
        <f>F97/E97</f>
        <v>0.8868778280542986</v>
      </c>
    </row>
    <row r="98" spans="1:9" ht="13.5" thickBot="1" x14ac:dyDescent="0.25">
      <c r="A98" s="227" t="s">
        <v>44</v>
      </c>
      <c r="B98" s="147">
        <f>'voš_druh studia '!B79</f>
        <v>13743</v>
      </c>
      <c r="C98" s="148">
        <f>'voš_druh studia '!C79</f>
        <v>11732</v>
      </c>
      <c r="D98" s="319">
        <f>B98/C98</f>
        <v>1.1714115240368224</v>
      </c>
      <c r="E98" s="373">
        <f>'voš_druh studia '!G79</f>
        <v>10614</v>
      </c>
      <c r="F98" s="373">
        <f>'voš_druh studia '!H79</f>
        <v>9825</v>
      </c>
      <c r="G98" s="373">
        <f>'voš_druh studia '!I79</f>
        <v>8304</v>
      </c>
      <c r="H98" s="488">
        <f>F98/C98</f>
        <v>0.83745311967269009</v>
      </c>
      <c r="I98" s="149">
        <f>F98/E98</f>
        <v>0.92566421707179203</v>
      </c>
    </row>
    <row r="99" spans="1:9" ht="14.25" thickTop="1" thickBot="1" x14ac:dyDescent="0.25">
      <c r="A99" s="382" t="s">
        <v>148</v>
      </c>
      <c r="B99" s="381"/>
      <c r="C99" s="381"/>
      <c r="D99" s="381"/>
      <c r="E99" s="381"/>
      <c r="F99" s="381"/>
      <c r="G99" s="381"/>
      <c r="H99" s="381"/>
      <c r="I99" s="383"/>
    </row>
    <row r="100" spans="1:9" x14ac:dyDescent="0.2">
      <c r="A100" s="223" t="s">
        <v>51</v>
      </c>
      <c r="B100" s="135">
        <v>9051</v>
      </c>
      <c r="C100" s="136">
        <v>7739</v>
      </c>
      <c r="D100" s="297">
        <f>B100/C100</f>
        <v>1.1695309471507946</v>
      </c>
      <c r="E100" s="370">
        <v>7058</v>
      </c>
      <c r="F100" s="136">
        <v>6207</v>
      </c>
      <c r="G100" s="136">
        <v>5354</v>
      </c>
      <c r="H100" s="485">
        <f>F100/C100</f>
        <v>0.80204160744282205</v>
      </c>
      <c r="I100" s="137">
        <f>F100/E100</f>
        <v>0.87942759988665342</v>
      </c>
    </row>
    <row r="101" spans="1:9" x14ac:dyDescent="0.2">
      <c r="A101" s="224" t="s">
        <v>52</v>
      </c>
      <c r="B101" s="138">
        <v>2807</v>
      </c>
      <c r="C101" s="139">
        <v>2641</v>
      </c>
      <c r="D101" s="298">
        <f>B101/C101</f>
        <v>1.0628549791745552</v>
      </c>
      <c r="E101" s="371">
        <v>2513</v>
      </c>
      <c r="F101" s="139">
        <v>2208</v>
      </c>
      <c r="G101" s="139">
        <v>1896</v>
      </c>
      <c r="H101" s="486">
        <f>F101/C101</f>
        <v>0.8360469519121545</v>
      </c>
      <c r="I101" s="140">
        <f>F101/E101</f>
        <v>0.87863111818543571</v>
      </c>
    </row>
    <row r="102" spans="1:9" x14ac:dyDescent="0.2">
      <c r="A102" s="225" t="s">
        <v>43</v>
      </c>
      <c r="B102" s="141">
        <v>992</v>
      </c>
      <c r="C102" s="142">
        <v>961</v>
      </c>
      <c r="D102" s="299">
        <f>B102/C102</f>
        <v>1.032258064516129</v>
      </c>
      <c r="E102" s="372">
        <v>827</v>
      </c>
      <c r="F102" s="142">
        <v>762</v>
      </c>
      <c r="G102" s="142">
        <v>621</v>
      </c>
      <c r="H102" s="487">
        <f>F102/C102</f>
        <v>0.79292403746097817</v>
      </c>
      <c r="I102" s="143">
        <f>F102/E102</f>
        <v>0.92140266021765416</v>
      </c>
    </row>
    <row r="103" spans="1:9" ht="13.5" thickBot="1" x14ac:dyDescent="0.25">
      <c r="A103" s="227" t="s">
        <v>44</v>
      </c>
      <c r="B103" s="147">
        <f>'voš_druh studia '!B83</f>
        <v>12850</v>
      </c>
      <c r="C103" s="148">
        <f>'voš_druh studia '!C83</f>
        <v>11006</v>
      </c>
      <c r="D103" s="319">
        <f>B103/C103</f>
        <v>1.1675449754679266</v>
      </c>
      <c r="E103" s="373">
        <f>'voš_druh studia '!G83</f>
        <v>10154</v>
      </c>
      <c r="F103" s="373">
        <f>'voš_druh studia '!H83</f>
        <v>9028</v>
      </c>
      <c r="G103" s="373">
        <f>'voš_druh studia '!I83</f>
        <v>7844</v>
      </c>
      <c r="H103" s="488">
        <f>F103/C103</f>
        <v>0.82027984735598769</v>
      </c>
      <c r="I103" s="149">
        <f>F103/E103</f>
        <v>0.88910774079180621</v>
      </c>
    </row>
    <row r="104" spans="1:9" ht="14.25" thickTop="1" thickBot="1" x14ac:dyDescent="0.25">
      <c r="A104" s="382" t="s">
        <v>151</v>
      </c>
      <c r="B104" s="381"/>
      <c r="C104" s="381"/>
      <c r="D104" s="381"/>
      <c r="E104" s="381"/>
      <c r="F104" s="381"/>
      <c r="G104" s="381"/>
      <c r="H104" s="381"/>
      <c r="I104" s="383"/>
    </row>
    <row r="105" spans="1:9" x14ac:dyDescent="0.2">
      <c r="A105" s="223" t="s">
        <v>51</v>
      </c>
      <c r="B105" s="135">
        <v>9338</v>
      </c>
      <c r="C105" s="136">
        <v>7782</v>
      </c>
      <c r="D105" s="297">
        <f>B105/C105</f>
        <v>1.1999485993317913</v>
      </c>
      <c r="E105" s="370">
        <v>7066</v>
      </c>
      <c r="F105" s="136">
        <v>6331</v>
      </c>
      <c r="G105" s="136">
        <v>5481</v>
      </c>
      <c r="H105" s="485">
        <f>F105/C105</f>
        <v>0.81354407607298895</v>
      </c>
      <c r="I105" s="137">
        <f>F105/E105</f>
        <v>0.89598075290121715</v>
      </c>
    </row>
    <row r="106" spans="1:9" x14ac:dyDescent="0.2">
      <c r="A106" s="224" t="s">
        <v>52</v>
      </c>
      <c r="B106" s="138">
        <v>2774</v>
      </c>
      <c r="C106" s="139">
        <v>2591</v>
      </c>
      <c r="D106" s="298">
        <f>B106/C106</f>
        <v>1.0706291007333075</v>
      </c>
      <c r="E106" s="371">
        <v>2330</v>
      </c>
      <c r="F106" s="139">
        <v>1963</v>
      </c>
      <c r="G106" s="139">
        <v>1756</v>
      </c>
      <c r="H106" s="486">
        <f>F106/C106</f>
        <v>0.75762253956001546</v>
      </c>
      <c r="I106" s="140">
        <f>F106/E106</f>
        <v>0.84248927038626609</v>
      </c>
    </row>
    <row r="107" spans="1:9" x14ac:dyDescent="0.2">
      <c r="A107" s="225" t="s">
        <v>43</v>
      </c>
      <c r="B107" s="141">
        <v>937</v>
      </c>
      <c r="C107" s="142">
        <v>903</v>
      </c>
      <c r="D107" s="299">
        <f>B107/C107</f>
        <v>1.0376522702104098</v>
      </c>
      <c r="E107" s="372">
        <v>767</v>
      </c>
      <c r="F107" s="142">
        <v>731</v>
      </c>
      <c r="G107" s="142">
        <v>619</v>
      </c>
      <c r="H107" s="487">
        <f>F107/C107</f>
        <v>0.80952380952380953</v>
      </c>
      <c r="I107" s="143">
        <f>F107/E107</f>
        <v>0.95306388526727515</v>
      </c>
    </row>
    <row r="108" spans="1:9" ht="13.5" thickBot="1" x14ac:dyDescent="0.25">
      <c r="A108" s="227" t="s">
        <v>44</v>
      </c>
      <c r="B108" s="147">
        <f>'voš_druh studia '!B87</f>
        <v>13049</v>
      </c>
      <c r="C108" s="148">
        <f>'voš_druh studia '!C87</f>
        <v>10916</v>
      </c>
      <c r="D108" s="319">
        <f>B108/C108</f>
        <v>1.1954012458776109</v>
      </c>
      <c r="E108" s="373">
        <f>'voš_druh studia '!G87</f>
        <v>9930</v>
      </c>
      <c r="F108" s="373">
        <f>'voš_druh studia '!H87</f>
        <v>8900</v>
      </c>
      <c r="G108" s="373">
        <f>'voš_druh studia '!I87</f>
        <v>7833</v>
      </c>
      <c r="H108" s="488">
        <f>F108/C108</f>
        <v>0.81531696592158298</v>
      </c>
      <c r="I108" s="149">
        <f>F108/E108</f>
        <v>0.89627391742195373</v>
      </c>
    </row>
    <row r="109" spans="1:9" ht="14.25" thickTop="1" thickBot="1" x14ac:dyDescent="0.25">
      <c r="A109" s="382" t="s">
        <v>153</v>
      </c>
      <c r="B109" s="381"/>
      <c r="C109" s="381"/>
      <c r="D109" s="381"/>
      <c r="E109" s="381"/>
      <c r="F109" s="381"/>
      <c r="G109" s="381"/>
      <c r="H109" s="381"/>
      <c r="I109" s="383"/>
    </row>
    <row r="110" spans="1:9" x14ac:dyDescent="0.2">
      <c r="A110" s="223" t="s">
        <v>51</v>
      </c>
      <c r="B110" s="135">
        <v>9827</v>
      </c>
      <c r="C110" s="136">
        <v>8130</v>
      </c>
      <c r="D110" s="297">
        <f>B110/C110</f>
        <v>1.2087330873308733</v>
      </c>
      <c r="E110" s="370">
        <v>7400</v>
      </c>
      <c r="F110" s="136">
        <v>6336</v>
      </c>
      <c r="G110" s="136">
        <v>5512</v>
      </c>
      <c r="H110" s="485">
        <f>F110/C110</f>
        <v>0.77933579335793357</v>
      </c>
      <c r="I110" s="137">
        <f>F110/E110</f>
        <v>0.85621621621621624</v>
      </c>
    </row>
    <row r="111" spans="1:9" x14ac:dyDescent="0.2">
      <c r="A111" s="224" t="s">
        <v>52</v>
      </c>
      <c r="B111" s="138">
        <v>3165</v>
      </c>
      <c r="C111" s="139">
        <v>2767</v>
      </c>
      <c r="D111" s="298">
        <f>B111/C111</f>
        <v>1.1438380917961692</v>
      </c>
      <c r="E111" s="371">
        <v>2584</v>
      </c>
      <c r="F111" s="139">
        <v>2123</v>
      </c>
      <c r="G111" s="139">
        <v>1820</v>
      </c>
      <c r="H111" s="486">
        <f>F111/C111</f>
        <v>0.76725695699313334</v>
      </c>
      <c r="I111" s="140">
        <f>F111/E111</f>
        <v>0.82159442724458209</v>
      </c>
    </row>
    <row r="112" spans="1:9" x14ac:dyDescent="0.2">
      <c r="A112" s="225" t="s">
        <v>43</v>
      </c>
      <c r="B112" s="141">
        <v>1207</v>
      </c>
      <c r="C112" s="142">
        <v>1148</v>
      </c>
      <c r="D112" s="299">
        <f>B112/C112</f>
        <v>1.0513937282229966</v>
      </c>
      <c r="E112" s="372">
        <v>1030</v>
      </c>
      <c r="F112" s="142">
        <v>924</v>
      </c>
      <c r="G112" s="142">
        <v>764</v>
      </c>
      <c r="H112" s="487">
        <f>F112/C112</f>
        <v>0.80487804878048785</v>
      </c>
      <c r="I112" s="143">
        <f>F112/E112</f>
        <v>0.8970873786407767</v>
      </c>
    </row>
    <row r="113" spans="1:9" ht="13.5" thickBot="1" x14ac:dyDescent="0.25">
      <c r="A113" s="227" t="s">
        <v>44</v>
      </c>
      <c r="B113" s="147">
        <f>'voš_druh studia '!B91</f>
        <v>14199</v>
      </c>
      <c r="C113" s="148">
        <f>'voš_druh studia '!C91</f>
        <v>11554</v>
      </c>
      <c r="D113" s="319">
        <f>B113/C113</f>
        <v>1.2289250476025619</v>
      </c>
      <c r="E113" s="373">
        <f>'voš_druh studia '!G91</f>
        <v>10637</v>
      </c>
      <c r="F113" s="373">
        <f>'voš_druh studia '!H91</f>
        <v>9212</v>
      </c>
      <c r="G113" s="373">
        <f>'voš_druh studia '!I91</f>
        <v>8074.9999999999991</v>
      </c>
      <c r="H113" s="488">
        <f>F113/C113</f>
        <v>0.7972996364895274</v>
      </c>
      <c r="I113" s="149">
        <f>F113/E113</f>
        <v>0.86603365610604499</v>
      </c>
    </row>
    <row r="114" spans="1:9" ht="14.25" thickTop="1" thickBot="1" x14ac:dyDescent="0.25">
      <c r="A114" s="382" t="s">
        <v>153</v>
      </c>
      <c r="B114" s="381"/>
      <c r="C114" s="381"/>
      <c r="D114" s="381"/>
      <c r="E114" s="381"/>
      <c r="F114" s="381"/>
      <c r="G114" s="381"/>
      <c r="H114" s="381"/>
      <c r="I114" s="383"/>
    </row>
    <row r="115" spans="1:9" x14ac:dyDescent="0.2">
      <c r="A115" s="223" t="s">
        <v>51</v>
      </c>
      <c r="B115" s="135">
        <v>11589</v>
      </c>
      <c r="C115" s="136">
        <v>9169</v>
      </c>
      <c r="D115" s="297">
        <f>B115/C115</f>
        <v>1.2639328171011015</v>
      </c>
      <c r="E115" s="370">
        <v>8192</v>
      </c>
      <c r="F115" s="136">
        <v>7159</v>
      </c>
      <c r="G115" s="136">
        <v>6080</v>
      </c>
      <c r="H115" s="485">
        <f>F115/C115</f>
        <v>0.78078307339949826</v>
      </c>
      <c r="I115" s="137">
        <f>F115/E115</f>
        <v>0.8739013671875</v>
      </c>
    </row>
    <row r="116" spans="1:9" x14ac:dyDescent="0.2">
      <c r="A116" s="224" t="s">
        <v>52</v>
      </c>
      <c r="B116" s="138">
        <v>4726</v>
      </c>
      <c r="C116" s="139">
        <v>4156</v>
      </c>
      <c r="D116" s="298">
        <f>B116/C116</f>
        <v>1.1371511068334939</v>
      </c>
      <c r="E116" s="371">
        <v>3937</v>
      </c>
      <c r="F116" s="139">
        <v>3049</v>
      </c>
      <c r="G116" s="139">
        <v>2625</v>
      </c>
      <c r="H116" s="486">
        <f>F116/C116</f>
        <v>0.73363811357074105</v>
      </c>
      <c r="I116" s="140">
        <f>F116/E116</f>
        <v>0.77444754889509781</v>
      </c>
    </row>
    <row r="117" spans="1:9" x14ac:dyDescent="0.2">
      <c r="A117" s="225" t="s">
        <v>43</v>
      </c>
      <c r="B117" s="141">
        <v>1192</v>
      </c>
      <c r="C117" s="142">
        <v>1144</v>
      </c>
      <c r="D117" s="299">
        <f>B117/C117</f>
        <v>1.0419580419580419</v>
      </c>
      <c r="E117" s="372">
        <v>955</v>
      </c>
      <c r="F117" s="142">
        <v>846</v>
      </c>
      <c r="G117" s="142">
        <v>698</v>
      </c>
      <c r="H117" s="487">
        <f>F117/C117</f>
        <v>0.73951048951048948</v>
      </c>
      <c r="I117" s="143">
        <f>F117/E117</f>
        <v>0.8858638743455497</v>
      </c>
    </row>
    <row r="118" spans="1:9" ht="13.5" thickBot="1" x14ac:dyDescent="0.25">
      <c r="A118" s="227" t="s">
        <v>44</v>
      </c>
      <c r="B118" s="147">
        <f>'voš_druh studia '!B95</f>
        <v>17507</v>
      </c>
      <c r="C118" s="148">
        <f>'voš_druh studia '!C95</f>
        <v>13716</v>
      </c>
      <c r="D118" s="319">
        <f>B118/C118</f>
        <v>1.2763925342665501</v>
      </c>
      <c r="E118" s="373">
        <f>'voš_druh studia '!G95</f>
        <v>12466</v>
      </c>
      <c r="F118" s="373">
        <f>'voš_druh studia '!H95</f>
        <v>10793</v>
      </c>
      <c r="G118" s="373">
        <f>'voš_druh studia '!I95</f>
        <v>9369</v>
      </c>
      <c r="H118" s="488">
        <f>F118/C118</f>
        <v>0.78689122193059202</v>
      </c>
      <c r="I118" s="149">
        <f>F118/E118</f>
        <v>0.86579496229744901</v>
      </c>
    </row>
    <row r="119" spans="1:9" ht="13.5" thickTop="1" x14ac:dyDescent="0.2">
      <c r="A119" s="1" t="s">
        <v>101</v>
      </c>
    </row>
    <row r="151" spans="2:9" x14ac:dyDescent="0.2">
      <c r="B151" s="264"/>
      <c r="G151" s="268"/>
      <c r="H151" s="268"/>
      <c r="I151" s="24"/>
    </row>
    <row r="152" spans="2:9" x14ac:dyDescent="0.2">
      <c r="B152" s="264"/>
      <c r="I152" s="24"/>
    </row>
    <row r="153" spans="2:9" x14ac:dyDescent="0.2">
      <c r="B153" s="264"/>
      <c r="I153" s="24"/>
    </row>
    <row r="154" spans="2:9" x14ac:dyDescent="0.2">
      <c r="C154" s="302"/>
      <c r="D154" s="302"/>
      <c r="E154" s="302"/>
      <c r="F154" s="302"/>
      <c r="G154" s="302"/>
      <c r="H154" s="302"/>
    </row>
    <row r="155" spans="2:9" x14ac:dyDescent="0.2">
      <c r="B155" s="268"/>
      <c r="C155" s="302"/>
      <c r="D155" s="302"/>
      <c r="E155" s="302"/>
      <c r="F155" s="302"/>
      <c r="G155" s="302"/>
      <c r="H155" s="302"/>
      <c r="I155" s="302"/>
    </row>
    <row r="156" spans="2:9" x14ac:dyDescent="0.2">
      <c r="B156" s="302"/>
      <c r="C156" s="302"/>
      <c r="D156" s="302"/>
      <c r="E156" s="302"/>
      <c r="F156" s="302"/>
      <c r="G156" s="302"/>
      <c r="H156" s="302"/>
      <c r="I156" s="302"/>
    </row>
    <row r="157" spans="2:9" x14ac:dyDescent="0.2">
      <c r="B157" s="302"/>
      <c r="C157" s="302"/>
      <c r="D157" s="302"/>
      <c r="E157" s="302"/>
      <c r="F157" s="302"/>
      <c r="G157" s="302"/>
      <c r="H157" s="302"/>
      <c r="I157" s="302"/>
    </row>
    <row r="158" spans="2:9" x14ac:dyDescent="0.2">
      <c r="B158" s="302"/>
      <c r="C158" s="302"/>
      <c r="D158" s="302"/>
      <c r="E158" s="302"/>
      <c r="F158" s="302"/>
      <c r="G158" s="302"/>
      <c r="H158" s="302"/>
      <c r="I158" s="302"/>
    </row>
    <row r="159" spans="2:9" x14ac:dyDescent="0.2">
      <c r="B159" s="302"/>
      <c r="C159" s="302"/>
      <c r="D159" s="302"/>
      <c r="E159" s="302"/>
      <c r="F159" s="302"/>
      <c r="G159" s="302"/>
      <c r="H159" s="302"/>
      <c r="I159" s="302"/>
    </row>
    <row r="160" spans="2:9" x14ac:dyDescent="0.2">
      <c r="B160" s="302"/>
      <c r="C160" s="302"/>
      <c r="D160" s="302"/>
      <c r="E160" s="302"/>
      <c r="F160" s="302"/>
      <c r="G160" s="302"/>
      <c r="H160" s="302"/>
      <c r="I160" s="302"/>
    </row>
    <row r="161" spans="2:9" x14ac:dyDescent="0.2">
      <c r="B161" s="302"/>
      <c r="C161" s="302"/>
      <c r="D161" s="302"/>
      <c r="E161" s="302"/>
      <c r="F161" s="302"/>
      <c r="G161" s="302"/>
      <c r="H161" s="302"/>
      <c r="I161" s="302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portrait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1" manualBreakCount="1">
    <brk id="5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X125"/>
  <sheetViews>
    <sheetView zoomScaleNormal="100" zoomScaleSheetLayoutView="75" workbookViewId="0">
      <pane xSplit="1" ySplit="4" topLeftCell="G104" activePane="bottomRight" state="frozen"/>
      <selection sqref="A1:B4"/>
      <selection pane="topRight" sqref="A1:B4"/>
      <selection pane="bottomLeft" sqref="A1:B4"/>
      <selection pane="bottomRight" activeCell="X123" sqref="X123"/>
    </sheetView>
  </sheetViews>
  <sheetFormatPr defaultColWidth="9.140625" defaultRowHeight="12.75" x14ac:dyDescent="0.2"/>
  <cols>
    <col min="1" max="1" width="36" style="3" customWidth="1"/>
    <col min="2" max="11" width="8.42578125" style="3" customWidth="1"/>
    <col min="12" max="16" width="9.140625" style="3"/>
    <col min="17" max="17" width="10.5703125" style="3" customWidth="1"/>
    <col min="18" max="16384" width="9.140625" style="3"/>
  </cols>
  <sheetData>
    <row r="1" spans="1:24" ht="15" customHeight="1" thickBot="1" x14ac:dyDescent="0.25">
      <c r="A1" s="45" t="s">
        <v>161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24" ht="4.7" hidden="1" customHeight="1" thickBot="1" x14ac:dyDescent="0.25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24" ht="21" customHeight="1" thickTop="1" thickBot="1" x14ac:dyDescent="0.25">
      <c r="A3" s="49" t="s">
        <v>19</v>
      </c>
      <c r="B3" s="341" t="s">
        <v>11</v>
      </c>
      <c r="C3" s="341" t="s">
        <v>4</v>
      </c>
      <c r="D3" s="341" t="s">
        <v>5</v>
      </c>
      <c r="E3" s="342" t="s">
        <v>41</v>
      </c>
      <c r="F3" s="342" t="s">
        <v>53</v>
      </c>
      <c r="G3" s="342" t="s">
        <v>54</v>
      </c>
      <c r="H3" s="342" t="s">
        <v>76</v>
      </c>
      <c r="I3" s="342" t="s">
        <v>84</v>
      </c>
      <c r="J3" s="342" t="s">
        <v>87</v>
      </c>
      <c r="K3" s="342" t="s">
        <v>89</v>
      </c>
      <c r="L3" s="506" t="s">
        <v>108</v>
      </c>
      <c r="M3" s="506" t="s">
        <v>118</v>
      </c>
      <c r="N3" s="506" t="s">
        <v>121</v>
      </c>
      <c r="O3" s="506" t="s">
        <v>132</v>
      </c>
      <c r="P3" s="506" t="s">
        <v>134</v>
      </c>
      <c r="Q3" s="506" t="s">
        <v>137</v>
      </c>
      <c r="R3" s="506" t="s">
        <v>139</v>
      </c>
      <c r="S3" s="506" t="s">
        <v>142</v>
      </c>
      <c r="T3" s="506" t="s">
        <v>145</v>
      </c>
      <c r="U3" s="506" t="s">
        <v>148</v>
      </c>
      <c r="V3" s="506" t="s">
        <v>151</v>
      </c>
      <c r="W3" s="506" t="s">
        <v>153</v>
      </c>
      <c r="X3" s="464" t="s">
        <v>156</v>
      </c>
    </row>
    <row r="4" spans="1:24" ht="14.25" thickTop="1" thickBot="1" x14ac:dyDescent="0.25">
      <c r="A4" s="40" t="s">
        <v>16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507"/>
      <c r="M4" s="507"/>
      <c r="N4" s="507"/>
      <c r="O4" s="507"/>
      <c r="P4" s="507"/>
      <c r="Q4" s="507"/>
      <c r="R4" s="507"/>
      <c r="S4" s="507"/>
      <c r="T4" s="507"/>
      <c r="U4" s="507"/>
      <c r="V4" s="507"/>
      <c r="W4" s="507"/>
      <c r="X4" s="469"/>
    </row>
    <row r="5" spans="1:24" x14ac:dyDescent="0.2">
      <c r="A5" s="202" t="s">
        <v>60</v>
      </c>
      <c r="B5" s="122">
        <v>330</v>
      </c>
      <c r="C5" s="122">
        <v>126</v>
      </c>
      <c r="D5" s="122">
        <v>309</v>
      </c>
      <c r="E5" s="240">
        <v>271</v>
      </c>
      <c r="F5" s="240">
        <v>366</v>
      </c>
      <c r="G5" s="240">
        <v>290</v>
      </c>
      <c r="H5" s="240">
        <v>247</v>
      </c>
      <c r="I5" s="240">
        <v>227</v>
      </c>
      <c r="J5" s="240">
        <v>155</v>
      </c>
      <c r="K5" s="240">
        <v>85</v>
      </c>
      <c r="L5" s="240">
        <v>109</v>
      </c>
      <c r="M5" s="240">
        <v>106</v>
      </c>
      <c r="N5" s="240">
        <v>87</v>
      </c>
      <c r="O5" s="240">
        <v>45</v>
      </c>
      <c r="P5" s="240">
        <v>63</v>
      </c>
      <c r="Q5" s="240">
        <v>60</v>
      </c>
      <c r="R5" s="240">
        <v>48</v>
      </c>
      <c r="S5" s="240">
        <v>22</v>
      </c>
      <c r="T5" s="240">
        <v>23</v>
      </c>
      <c r="U5" s="240">
        <v>0</v>
      </c>
      <c r="V5" s="240">
        <v>43</v>
      </c>
      <c r="W5" s="599">
        <v>0</v>
      </c>
      <c r="X5" s="164">
        <v>50</v>
      </c>
    </row>
    <row r="6" spans="1:24" x14ac:dyDescent="0.2">
      <c r="A6" s="203" t="s">
        <v>61</v>
      </c>
      <c r="B6" s="91">
        <v>3815</v>
      </c>
      <c r="C6" s="91">
        <v>1510</v>
      </c>
      <c r="D6" s="91">
        <v>2999</v>
      </c>
      <c r="E6" s="241">
        <v>3605</v>
      </c>
      <c r="F6" s="241">
        <v>4085</v>
      </c>
      <c r="G6" s="241">
        <v>2880</v>
      </c>
      <c r="H6" s="241">
        <v>2832</v>
      </c>
      <c r="I6" s="241">
        <v>2498</v>
      </c>
      <c r="J6" s="241">
        <v>2454</v>
      </c>
      <c r="K6" s="241">
        <v>1937</v>
      </c>
      <c r="L6" s="241">
        <v>2207</v>
      </c>
      <c r="M6" s="241">
        <v>2306</v>
      </c>
      <c r="N6" s="241">
        <v>2286</v>
      </c>
      <c r="O6" s="241">
        <v>2295</v>
      </c>
      <c r="P6" s="241">
        <v>2260</v>
      </c>
      <c r="Q6" s="241">
        <v>1763</v>
      </c>
      <c r="R6" s="241">
        <v>1665</v>
      </c>
      <c r="S6" s="241">
        <v>1560</v>
      </c>
      <c r="T6" s="241">
        <v>1345</v>
      </c>
      <c r="U6" s="241">
        <v>1022</v>
      </c>
      <c r="V6" s="241">
        <v>1181</v>
      </c>
      <c r="W6" s="241">
        <v>1132</v>
      </c>
      <c r="X6" s="150">
        <v>1154</v>
      </c>
    </row>
    <row r="7" spans="1:24" x14ac:dyDescent="0.2">
      <c r="A7" s="203" t="s">
        <v>67</v>
      </c>
      <c r="B7" s="91">
        <v>926</v>
      </c>
      <c r="C7" s="91">
        <v>432</v>
      </c>
      <c r="D7" s="91">
        <v>833</v>
      </c>
      <c r="E7" s="241">
        <v>844</v>
      </c>
      <c r="F7" s="241">
        <v>1069</v>
      </c>
      <c r="G7" s="241">
        <v>937</v>
      </c>
      <c r="H7" s="241">
        <v>833</v>
      </c>
      <c r="I7" s="241">
        <v>615</v>
      </c>
      <c r="J7" s="241">
        <v>664</v>
      </c>
      <c r="K7" s="241">
        <v>484</v>
      </c>
      <c r="L7" s="241">
        <v>440</v>
      </c>
      <c r="M7" s="241">
        <v>500</v>
      </c>
      <c r="N7" s="241">
        <v>462</v>
      </c>
      <c r="O7" s="241">
        <v>442</v>
      </c>
      <c r="P7" s="241">
        <v>424</v>
      </c>
      <c r="Q7" s="241">
        <v>318</v>
      </c>
      <c r="R7" s="241">
        <v>263</v>
      </c>
      <c r="S7" s="241">
        <v>205</v>
      </c>
      <c r="T7" s="241">
        <v>155</v>
      </c>
      <c r="U7" s="241">
        <v>143</v>
      </c>
      <c r="V7" s="241">
        <v>216</v>
      </c>
      <c r="W7" s="241">
        <v>221</v>
      </c>
      <c r="X7" s="150">
        <v>627</v>
      </c>
    </row>
    <row r="8" spans="1:24" x14ac:dyDescent="0.2">
      <c r="A8" s="203" t="s">
        <v>66</v>
      </c>
      <c r="B8" s="91">
        <v>6702</v>
      </c>
      <c r="C8" s="93">
        <v>3827</v>
      </c>
      <c r="D8" s="93">
        <v>5432</v>
      </c>
      <c r="E8" s="242">
        <v>5618</v>
      </c>
      <c r="F8" s="242">
        <v>7260</v>
      </c>
      <c r="G8" s="242">
        <v>5024</v>
      </c>
      <c r="H8" s="242">
        <v>4406</v>
      </c>
      <c r="I8" s="242">
        <v>4335</v>
      </c>
      <c r="J8" s="242">
        <v>4445</v>
      </c>
      <c r="K8" s="241">
        <v>4879</v>
      </c>
      <c r="L8" s="241">
        <v>5239</v>
      </c>
      <c r="M8" s="241">
        <v>5464</v>
      </c>
      <c r="N8" s="241">
        <v>5224</v>
      </c>
      <c r="O8" s="241">
        <v>5590</v>
      </c>
      <c r="P8" s="241">
        <v>5526</v>
      </c>
      <c r="Q8" s="241">
        <v>5814</v>
      </c>
      <c r="R8" s="241">
        <v>5724</v>
      </c>
      <c r="S8" s="241">
        <v>4978</v>
      </c>
      <c r="T8" s="241">
        <v>5067</v>
      </c>
      <c r="U8" s="241">
        <v>4655</v>
      </c>
      <c r="V8" s="241">
        <v>4865</v>
      </c>
      <c r="W8" s="241">
        <v>5499</v>
      </c>
      <c r="X8" s="150">
        <v>7103</v>
      </c>
    </row>
    <row r="9" spans="1:24" x14ac:dyDescent="0.2">
      <c r="A9" s="203" t="s">
        <v>63</v>
      </c>
      <c r="B9" s="91">
        <v>2878</v>
      </c>
      <c r="C9" s="93">
        <v>1656</v>
      </c>
      <c r="D9" s="93">
        <v>1244</v>
      </c>
      <c r="E9" s="242">
        <v>749</v>
      </c>
      <c r="F9" s="242">
        <v>706</v>
      </c>
      <c r="G9" s="242">
        <v>2434</v>
      </c>
      <c r="H9" s="242">
        <v>2245</v>
      </c>
      <c r="I9" s="242">
        <v>2104</v>
      </c>
      <c r="J9" s="242">
        <v>524</v>
      </c>
      <c r="K9" s="241">
        <v>356</v>
      </c>
      <c r="L9" s="241">
        <v>1572</v>
      </c>
      <c r="M9" s="241">
        <v>1638</v>
      </c>
      <c r="N9" s="241">
        <v>1666</v>
      </c>
      <c r="O9" s="241">
        <v>1488</v>
      </c>
      <c r="P9" s="241">
        <v>1542</v>
      </c>
      <c r="Q9" s="241">
        <v>1410</v>
      </c>
      <c r="R9" s="241">
        <v>1226</v>
      </c>
      <c r="S9" s="241">
        <v>1003</v>
      </c>
      <c r="T9" s="241">
        <v>828</v>
      </c>
      <c r="U9" s="241">
        <v>793</v>
      </c>
      <c r="V9" s="241">
        <v>681</v>
      </c>
      <c r="W9" s="241">
        <v>642</v>
      </c>
      <c r="X9" s="150">
        <v>621</v>
      </c>
    </row>
    <row r="10" spans="1:24" x14ac:dyDescent="0.2">
      <c r="A10" s="203" t="s">
        <v>62</v>
      </c>
      <c r="B10" s="91">
        <v>9975</v>
      </c>
      <c r="C10" s="93">
        <v>6123</v>
      </c>
      <c r="D10" s="93">
        <v>8282</v>
      </c>
      <c r="E10" s="242">
        <v>8542</v>
      </c>
      <c r="F10" s="242">
        <v>9102</v>
      </c>
      <c r="G10" s="242">
        <v>6116</v>
      </c>
      <c r="H10" s="242">
        <v>5803</v>
      </c>
      <c r="I10" s="242">
        <v>4882</v>
      </c>
      <c r="J10" s="242">
        <v>5621</v>
      </c>
      <c r="K10" s="241">
        <v>4729</v>
      </c>
      <c r="L10" s="241">
        <v>4087</v>
      </c>
      <c r="M10" s="241">
        <v>3862</v>
      </c>
      <c r="N10" s="241">
        <v>3796</v>
      </c>
      <c r="O10" s="241">
        <v>3607</v>
      </c>
      <c r="P10" s="241">
        <v>3432</v>
      </c>
      <c r="Q10" s="241">
        <v>2571</v>
      </c>
      <c r="R10" s="241">
        <v>1998</v>
      </c>
      <c r="S10" s="241">
        <v>1699</v>
      </c>
      <c r="T10" s="241">
        <v>1294</v>
      </c>
      <c r="U10" s="241">
        <v>1068</v>
      </c>
      <c r="V10" s="241">
        <v>1002</v>
      </c>
      <c r="W10" s="241">
        <v>1096</v>
      </c>
      <c r="X10" s="150">
        <v>1090</v>
      </c>
    </row>
    <row r="11" spans="1:24" x14ac:dyDescent="0.2">
      <c r="A11" s="203" t="s">
        <v>64</v>
      </c>
      <c r="B11" s="91">
        <v>1874</v>
      </c>
      <c r="C11" s="93">
        <v>2153</v>
      </c>
      <c r="D11" s="93">
        <v>2261</v>
      </c>
      <c r="E11" s="242">
        <v>2642</v>
      </c>
      <c r="F11" s="242">
        <v>2637</v>
      </c>
      <c r="G11" s="242">
        <v>2613</v>
      </c>
      <c r="H11" s="242">
        <v>2492</v>
      </c>
      <c r="I11" s="242">
        <v>2384</v>
      </c>
      <c r="J11" s="242">
        <v>2533</v>
      </c>
      <c r="K11" s="241">
        <v>2115</v>
      </c>
      <c r="L11" s="241">
        <v>1830</v>
      </c>
      <c r="M11" s="241">
        <v>2588</v>
      </c>
      <c r="N11" s="241">
        <v>2229</v>
      </c>
      <c r="O11" s="241">
        <v>1949</v>
      </c>
      <c r="P11" s="241">
        <v>1642</v>
      </c>
      <c r="Q11" s="241">
        <v>1722</v>
      </c>
      <c r="R11" s="241">
        <v>1544</v>
      </c>
      <c r="S11" s="241">
        <v>1209</v>
      </c>
      <c r="T11" s="241">
        <v>900</v>
      </c>
      <c r="U11" s="241">
        <v>835</v>
      </c>
      <c r="V11" s="241">
        <v>840</v>
      </c>
      <c r="W11" s="241">
        <v>713</v>
      </c>
      <c r="X11" s="150">
        <v>744</v>
      </c>
    </row>
    <row r="12" spans="1:24" x14ac:dyDescent="0.2">
      <c r="A12" s="203" t="s">
        <v>65</v>
      </c>
      <c r="B12" s="91">
        <v>8241</v>
      </c>
      <c r="C12" s="93">
        <v>4733</v>
      </c>
      <c r="D12" s="93">
        <v>5941</v>
      </c>
      <c r="E12" s="242">
        <v>6038</v>
      </c>
      <c r="F12" s="242">
        <v>6341</v>
      </c>
      <c r="G12" s="242">
        <v>5464</v>
      </c>
      <c r="H12" s="242">
        <v>5132</v>
      </c>
      <c r="I12" s="242">
        <v>4674</v>
      </c>
      <c r="J12" s="242">
        <v>3724</v>
      </c>
      <c r="K12" s="241">
        <v>3346</v>
      </c>
      <c r="L12" s="241">
        <v>4204</v>
      </c>
      <c r="M12" s="241">
        <v>4573</v>
      </c>
      <c r="N12" s="241">
        <v>4697</v>
      </c>
      <c r="O12" s="241">
        <v>4671</v>
      </c>
      <c r="P12" s="241">
        <v>5031</v>
      </c>
      <c r="Q12" s="241">
        <v>4824</v>
      </c>
      <c r="R12" s="241">
        <v>4146</v>
      </c>
      <c r="S12" s="241">
        <v>3513</v>
      </c>
      <c r="T12" s="241">
        <v>3416</v>
      </c>
      <c r="U12" s="241">
        <v>3658</v>
      </c>
      <c r="V12" s="241">
        <v>3634</v>
      </c>
      <c r="W12" s="241">
        <v>3968</v>
      </c>
      <c r="X12" s="150">
        <v>5186</v>
      </c>
    </row>
    <row r="13" spans="1:24" x14ac:dyDescent="0.2">
      <c r="A13" s="204" t="s">
        <v>68</v>
      </c>
      <c r="B13" s="127">
        <v>1161</v>
      </c>
      <c r="C13" s="151">
        <v>660</v>
      </c>
      <c r="D13" s="151">
        <v>910</v>
      </c>
      <c r="E13" s="243">
        <v>1141</v>
      </c>
      <c r="F13" s="243">
        <v>1107</v>
      </c>
      <c r="G13" s="243">
        <v>1249</v>
      </c>
      <c r="H13" s="243">
        <v>983</v>
      </c>
      <c r="I13" s="243">
        <v>902</v>
      </c>
      <c r="J13" s="243">
        <v>1118</v>
      </c>
      <c r="K13" s="465">
        <v>966</v>
      </c>
      <c r="L13" s="465">
        <v>935</v>
      </c>
      <c r="M13" s="465">
        <v>1109</v>
      </c>
      <c r="N13" s="465">
        <v>895</v>
      </c>
      <c r="O13" s="465">
        <v>904</v>
      </c>
      <c r="P13" s="465">
        <v>960</v>
      </c>
      <c r="Q13" s="465">
        <v>836</v>
      </c>
      <c r="R13" s="465">
        <v>759</v>
      </c>
      <c r="S13" s="465">
        <v>836</v>
      </c>
      <c r="T13" s="465">
        <v>710</v>
      </c>
      <c r="U13" s="465">
        <v>676</v>
      </c>
      <c r="V13" s="465">
        <v>574</v>
      </c>
      <c r="W13" s="465">
        <v>918</v>
      </c>
      <c r="X13" s="152">
        <v>921</v>
      </c>
    </row>
    <row r="14" spans="1:24" x14ac:dyDescent="0.2">
      <c r="A14" s="518"/>
      <c r="B14" s="519"/>
      <c r="C14" s="520"/>
      <c r="D14" s="520"/>
      <c r="E14" s="521"/>
      <c r="F14" s="521"/>
      <c r="G14" s="521"/>
      <c r="H14" s="521"/>
      <c r="I14" s="521"/>
      <c r="J14" s="521"/>
      <c r="K14" s="522"/>
      <c r="L14" s="522"/>
      <c r="M14" s="522"/>
      <c r="N14" s="522">
        <v>16</v>
      </c>
      <c r="O14" s="522"/>
      <c r="P14" s="522"/>
      <c r="Q14" s="522"/>
      <c r="R14" s="522">
        <v>12</v>
      </c>
      <c r="S14" s="522">
        <v>11</v>
      </c>
      <c r="T14" s="522">
        <v>5</v>
      </c>
      <c r="U14" s="522">
        <v>0</v>
      </c>
      <c r="V14" s="522">
        <v>13</v>
      </c>
      <c r="W14" s="522">
        <v>10</v>
      </c>
      <c r="X14" s="164">
        <v>11</v>
      </c>
    </row>
    <row r="15" spans="1:24" ht="13.5" thickBot="1" x14ac:dyDescent="0.25">
      <c r="A15" s="205" t="s">
        <v>20</v>
      </c>
      <c r="B15" s="129">
        <v>35902</v>
      </c>
      <c r="C15" s="129">
        <v>21220</v>
      </c>
      <c r="D15" s="129">
        <v>28211</v>
      </c>
      <c r="E15" s="244">
        <v>29450</v>
      </c>
      <c r="F15" s="244">
        <v>32673</v>
      </c>
      <c r="G15" s="244">
        <v>27007</v>
      </c>
      <c r="H15" s="244">
        <v>24973</v>
      </c>
      <c r="I15" s="244">
        <v>22621</v>
      </c>
      <c r="J15" s="244">
        <v>21238</v>
      </c>
      <c r="K15" s="244">
        <v>18897</v>
      </c>
      <c r="L15" s="244">
        <v>20623</v>
      </c>
      <c r="M15" s="244">
        <v>22146</v>
      </c>
      <c r="N15" s="244">
        <v>21358</v>
      </c>
      <c r="O15" s="244">
        <v>20991</v>
      </c>
      <c r="P15" s="244">
        <f t="shared" ref="P15:U15" si="0">SUM(P5:P14)</f>
        <v>20880</v>
      </c>
      <c r="Q15" s="244">
        <f t="shared" si="0"/>
        <v>19318</v>
      </c>
      <c r="R15" s="244">
        <f t="shared" si="0"/>
        <v>17385</v>
      </c>
      <c r="S15" s="244">
        <f t="shared" si="0"/>
        <v>15036</v>
      </c>
      <c r="T15" s="244">
        <f t="shared" si="0"/>
        <v>13743</v>
      </c>
      <c r="U15" s="244">
        <f t="shared" si="0"/>
        <v>12850</v>
      </c>
      <c r="V15" s="244">
        <f>SUM(V5:V14)</f>
        <v>13049</v>
      </c>
      <c r="W15" s="244">
        <f>SUM(W5:W14)</f>
        <v>14199</v>
      </c>
      <c r="X15" s="153">
        <f>SUM(X5:X14)</f>
        <v>17507</v>
      </c>
    </row>
    <row r="16" spans="1:24" ht="13.5" thickBot="1" x14ac:dyDescent="0.25">
      <c r="A16" s="42" t="s">
        <v>21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470"/>
    </row>
    <row r="17" spans="1:24" x14ac:dyDescent="0.2">
      <c r="A17" s="202" t="s">
        <v>60</v>
      </c>
      <c r="B17" s="122">
        <v>322</v>
      </c>
      <c r="C17" s="122">
        <v>125</v>
      </c>
      <c r="D17" s="122">
        <v>283</v>
      </c>
      <c r="E17" s="240">
        <v>255</v>
      </c>
      <c r="F17" s="240">
        <v>354</v>
      </c>
      <c r="G17" s="240">
        <v>284</v>
      </c>
      <c r="H17" s="240">
        <v>239</v>
      </c>
      <c r="I17" s="240">
        <v>224</v>
      </c>
      <c r="J17" s="240">
        <v>155</v>
      </c>
      <c r="K17" s="240">
        <v>85</v>
      </c>
      <c r="L17" s="240">
        <v>109</v>
      </c>
      <c r="M17" s="240">
        <v>106</v>
      </c>
      <c r="N17" s="240">
        <v>87</v>
      </c>
      <c r="O17" s="240">
        <v>45</v>
      </c>
      <c r="P17" s="240">
        <v>63</v>
      </c>
      <c r="Q17" s="240">
        <v>60</v>
      </c>
      <c r="R17" s="240">
        <v>48</v>
      </c>
      <c r="S17" s="240">
        <v>21</v>
      </c>
      <c r="T17" s="240">
        <v>23</v>
      </c>
      <c r="U17" s="240">
        <v>0</v>
      </c>
      <c r="V17" s="240">
        <v>43</v>
      </c>
      <c r="W17" s="599">
        <v>0</v>
      </c>
      <c r="X17" s="164">
        <v>50</v>
      </c>
    </row>
    <row r="18" spans="1:24" x14ac:dyDescent="0.2">
      <c r="A18" s="203" t="s">
        <v>61</v>
      </c>
      <c r="B18" s="91">
        <v>3413</v>
      </c>
      <c r="C18" s="91">
        <v>1361</v>
      </c>
      <c r="D18" s="91">
        <v>2789</v>
      </c>
      <c r="E18" s="241">
        <v>3299</v>
      </c>
      <c r="F18" s="241">
        <v>3685</v>
      </c>
      <c r="G18" s="241">
        <v>2632</v>
      </c>
      <c r="H18" s="241">
        <v>2658</v>
      </c>
      <c r="I18" s="241">
        <v>2302</v>
      </c>
      <c r="J18" s="241">
        <v>2321</v>
      </c>
      <c r="K18" s="241">
        <v>1886</v>
      </c>
      <c r="L18" s="241">
        <v>2155</v>
      </c>
      <c r="M18" s="241">
        <v>2230</v>
      </c>
      <c r="N18" s="241">
        <v>2214</v>
      </c>
      <c r="O18" s="241">
        <v>2236</v>
      </c>
      <c r="P18" s="241">
        <v>2176</v>
      </c>
      <c r="Q18" s="241">
        <v>1722</v>
      </c>
      <c r="R18" s="241">
        <v>1623</v>
      </c>
      <c r="S18" s="241">
        <v>1521</v>
      </c>
      <c r="T18" s="241">
        <v>1287</v>
      </c>
      <c r="U18" s="241">
        <v>990</v>
      </c>
      <c r="V18" s="241">
        <v>1134</v>
      </c>
      <c r="W18" s="241">
        <v>1065</v>
      </c>
      <c r="X18" s="150">
        <v>1075</v>
      </c>
    </row>
    <row r="19" spans="1:24" x14ac:dyDescent="0.2">
      <c r="A19" s="203" t="s">
        <v>67</v>
      </c>
      <c r="B19" s="91">
        <v>847</v>
      </c>
      <c r="C19" s="91">
        <v>404</v>
      </c>
      <c r="D19" s="91">
        <v>759</v>
      </c>
      <c r="E19" s="241">
        <v>783</v>
      </c>
      <c r="F19" s="241">
        <v>1001</v>
      </c>
      <c r="G19" s="241">
        <v>874</v>
      </c>
      <c r="H19" s="241">
        <v>802</v>
      </c>
      <c r="I19" s="241">
        <v>592</v>
      </c>
      <c r="J19" s="241">
        <v>646</v>
      </c>
      <c r="K19" s="241">
        <v>475</v>
      </c>
      <c r="L19" s="241">
        <v>429</v>
      </c>
      <c r="M19" s="241">
        <v>487</v>
      </c>
      <c r="N19" s="241">
        <v>457</v>
      </c>
      <c r="O19" s="241">
        <v>438</v>
      </c>
      <c r="P19" s="241">
        <v>417</v>
      </c>
      <c r="Q19" s="241">
        <v>316</v>
      </c>
      <c r="R19" s="241">
        <v>259</v>
      </c>
      <c r="S19" s="241">
        <v>201</v>
      </c>
      <c r="T19" s="241">
        <v>153</v>
      </c>
      <c r="U19" s="241">
        <v>143</v>
      </c>
      <c r="V19" s="241">
        <v>212</v>
      </c>
      <c r="W19" s="241">
        <v>214</v>
      </c>
      <c r="X19" s="150">
        <v>610</v>
      </c>
    </row>
    <row r="20" spans="1:24" x14ac:dyDescent="0.2">
      <c r="A20" s="203" t="s">
        <v>66</v>
      </c>
      <c r="B20" s="91">
        <v>4792</v>
      </c>
      <c r="C20" s="93">
        <v>3102</v>
      </c>
      <c r="D20" s="93">
        <v>4130</v>
      </c>
      <c r="E20" s="242">
        <v>4367</v>
      </c>
      <c r="F20" s="242">
        <v>5392</v>
      </c>
      <c r="G20" s="242">
        <v>3779</v>
      </c>
      <c r="H20" s="242">
        <v>3468</v>
      </c>
      <c r="I20" s="242">
        <v>3512</v>
      </c>
      <c r="J20" s="242">
        <v>3626</v>
      </c>
      <c r="K20" s="241">
        <v>4202</v>
      </c>
      <c r="L20" s="241">
        <v>4171</v>
      </c>
      <c r="M20" s="241">
        <v>4534</v>
      </c>
      <c r="N20" s="241">
        <v>4117</v>
      </c>
      <c r="O20" s="241">
        <v>4433</v>
      </c>
      <c r="P20" s="241">
        <v>4260</v>
      </c>
      <c r="Q20" s="241">
        <v>4432</v>
      </c>
      <c r="R20" s="241">
        <v>4373</v>
      </c>
      <c r="S20" s="241">
        <v>3933</v>
      </c>
      <c r="T20" s="241">
        <v>4032</v>
      </c>
      <c r="U20" s="241">
        <v>3680</v>
      </c>
      <c r="V20" s="241">
        <v>3671</v>
      </c>
      <c r="W20" s="241">
        <v>4071</v>
      </c>
      <c r="X20" s="150">
        <v>4925</v>
      </c>
    </row>
    <row r="21" spans="1:24" x14ac:dyDescent="0.2">
      <c r="A21" s="203" t="s">
        <v>63</v>
      </c>
      <c r="B21" s="91">
        <v>1839</v>
      </c>
      <c r="C21" s="93">
        <v>1624</v>
      </c>
      <c r="D21" s="93">
        <v>1223</v>
      </c>
      <c r="E21" s="242">
        <v>737</v>
      </c>
      <c r="F21" s="242">
        <v>693</v>
      </c>
      <c r="G21" s="242">
        <v>2192</v>
      </c>
      <c r="H21" s="242">
        <v>2078</v>
      </c>
      <c r="I21" s="242">
        <v>1950</v>
      </c>
      <c r="J21" s="242">
        <v>522</v>
      </c>
      <c r="K21" s="241">
        <v>355</v>
      </c>
      <c r="L21" s="241">
        <v>1499</v>
      </c>
      <c r="M21" s="241">
        <v>1587</v>
      </c>
      <c r="N21" s="241">
        <v>1611</v>
      </c>
      <c r="O21" s="241">
        <v>1450</v>
      </c>
      <c r="P21" s="241">
        <v>1507</v>
      </c>
      <c r="Q21" s="241">
        <v>1378</v>
      </c>
      <c r="R21" s="241">
        <v>1201</v>
      </c>
      <c r="S21" s="241">
        <v>988</v>
      </c>
      <c r="T21" s="241">
        <v>819</v>
      </c>
      <c r="U21" s="241">
        <v>774</v>
      </c>
      <c r="V21" s="241">
        <v>671</v>
      </c>
      <c r="W21" s="241">
        <v>620</v>
      </c>
      <c r="X21" s="150">
        <v>589</v>
      </c>
    </row>
    <row r="22" spans="1:24" x14ac:dyDescent="0.2">
      <c r="A22" s="203" t="s">
        <v>62</v>
      </c>
      <c r="B22" s="91">
        <v>7922</v>
      </c>
      <c r="C22" s="93">
        <v>4902</v>
      </c>
      <c r="D22" s="93">
        <v>7192</v>
      </c>
      <c r="E22" s="242">
        <v>7476</v>
      </c>
      <c r="F22" s="242">
        <v>7463</v>
      </c>
      <c r="G22" s="242">
        <v>5403</v>
      </c>
      <c r="H22" s="242">
        <v>5071</v>
      </c>
      <c r="I22" s="242">
        <v>4281</v>
      </c>
      <c r="J22" s="242">
        <v>5162</v>
      </c>
      <c r="K22" s="241">
        <v>4402</v>
      </c>
      <c r="L22" s="241">
        <v>3905</v>
      </c>
      <c r="M22" s="241">
        <v>3682</v>
      </c>
      <c r="N22" s="241">
        <v>3530</v>
      </c>
      <c r="O22" s="241">
        <v>3360</v>
      </c>
      <c r="P22" s="241">
        <v>3122</v>
      </c>
      <c r="Q22" s="241">
        <v>2463</v>
      </c>
      <c r="R22" s="241">
        <v>1911</v>
      </c>
      <c r="S22" s="241">
        <v>1627</v>
      </c>
      <c r="T22" s="241">
        <v>1243</v>
      </c>
      <c r="U22" s="241">
        <v>1027</v>
      </c>
      <c r="V22" s="241">
        <v>973</v>
      </c>
      <c r="W22" s="241">
        <v>1027</v>
      </c>
      <c r="X22" s="150">
        <v>1031</v>
      </c>
    </row>
    <row r="23" spans="1:24" x14ac:dyDescent="0.2">
      <c r="A23" s="203" t="s">
        <v>64</v>
      </c>
      <c r="B23" s="91">
        <v>2698</v>
      </c>
      <c r="C23" s="93">
        <v>2017</v>
      </c>
      <c r="D23" s="93">
        <v>2076</v>
      </c>
      <c r="E23" s="242">
        <v>2475</v>
      </c>
      <c r="F23" s="242">
        <v>2530</v>
      </c>
      <c r="G23" s="242">
        <v>2467</v>
      </c>
      <c r="H23" s="242">
        <v>2357</v>
      </c>
      <c r="I23" s="242">
        <v>2281</v>
      </c>
      <c r="J23" s="242">
        <v>2465</v>
      </c>
      <c r="K23" s="241">
        <v>2088</v>
      </c>
      <c r="L23" s="241">
        <v>1789</v>
      </c>
      <c r="M23" s="241">
        <v>2529</v>
      </c>
      <c r="N23" s="241">
        <v>2174</v>
      </c>
      <c r="O23" s="241">
        <v>1905</v>
      </c>
      <c r="P23" s="241">
        <v>1622</v>
      </c>
      <c r="Q23" s="241">
        <v>1681</v>
      </c>
      <c r="R23" s="241">
        <v>1488</v>
      </c>
      <c r="S23" s="241">
        <v>1185</v>
      </c>
      <c r="T23" s="241">
        <v>886</v>
      </c>
      <c r="U23" s="241">
        <v>817</v>
      </c>
      <c r="V23" s="241">
        <v>827</v>
      </c>
      <c r="W23" s="241">
        <v>691</v>
      </c>
      <c r="X23" s="150">
        <v>718</v>
      </c>
    </row>
    <row r="24" spans="1:24" x14ac:dyDescent="0.2">
      <c r="A24" s="203" t="s">
        <v>65</v>
      </c>
      <c r="B24" s="91">
        <v>6199</v>
      </c>
      <c r="C24" s="93">
        <v>3833</v>
      </c>
      <c r="D24" s="93">
        <v>4602</v>
      </c>
      <c r="E24" s="242">
        <v>4941</v>
      </c>
      <c r="F24" s="242">
        <v>5025</v>
      </c>
      <c r="G24" s="242">
        <v>4445</v>
      </c>
      <c r="H24" s="242">
        <v>4250</v>
      </c>
      <c r="I24" s="242">
        <v>3796</v>
      </c>
      <c r="J24" s="242">
        <v>3301</v>
      </c>
      <c r="K24" s="241">
        <v>3083</v>
      </c>
      <c r="L24" s="241">
        <v>3881</v>
      </c>
      <c r="M24" s="241">
        <v>4183</v>
      </c>
      <c r="N24" s="241">
        <v>4184</v>
      </c>
      <c r="O24" s="241">
        <v>4194</v>
      </c>
      <c r="P24" s="241">
        <v>4514</v>
      </c>
      <c r="Q24" s="241">
        <v>4278</v>
      </c>
      <c r="R24" s="241">
        <v>3702</v>
      </c>
      <c r="S24" s="241">
        <v>3117</v>
      </c>
      <c r="T24" s="241">
        <v>3137</v>
      </c>
      <c r="U24" s="241">
        <v>3354</v>
      </c>
      <c r="V24" s="241">
        <v>3335</v>
      </c>
      <c r="W24" s="241">
        <v>3606</v>
      </c>
      <c r="X24" s="150">
        <v>4589</v>
      </c>
    </row>
    <row r="25" spans="1:24" x14ac:dyDescent="0.2">
      <c r="A25" s="204" t="s">
        <v>68</v>
      </c>
      <c r="B25" s="127">
        <v>1042</v>
      </c>
      <c r="C25" s="151">
        <v>597</v>
      </c>
      <c r="D25" s="151">
        <v>817</v>
      </c>
      <c r="E25" s="243">
        <v>1006</v>
      </c>
      <c r="F25" s="243">
        <v>1004</v>
      </c>
      <c r="G25" s="243">
        <v>1060</v>
      </c>
      <c r="H25" s="243">
        <v>870</v>
      </c>
      <c r="I25" s="243">
        <v>826</v>
      </c>
      <c r="J25" s="243">
        <v>1005</v>
      </c>
      <c r="K25" s="465">
        <v>883</v>
      </c>
      <c r="L25" s="465">
        <v>849</v>
      </c>
      <c r="M25" s="465">
        <v>1002</v>
      </c>
      <c r="N25" s="465">
        <v>803</v>
      </c>
      <c r="O25" s="465">
        <v>814</v>
      </c>
      <c r="P25" s="465">
        <v>847</v>
      </c>
      <c r="Q25" s="465">
        <v>741</v>
      </c>
      <c r="R25" s="465">
        <v>676</v>
      </c>
      <c r="S25" s="465">
        <v>752</v>
      </c>
      <c r="T25" s="465">
        <v>640</v>
      </c>
      <c r="U25" s="465">
        <v>617</v>
      </c>
      <c r="V25" s="465">
        <v>505</v>
      </c>
      <c r="W25" s="465">
        <v>693</v>
      </c>
      <c r="X25" s="152">
        <v>746</v>
      </c>
    </row>
    <row r="26" spans="1:24" x14ac:dyDescent="0.2">
      <c r="A26" s="518"/>
      <c r="B26" s="519"/>
      <c r="C26" s="520"/>
      <c r="D26" s="520"/>
      <c r="E26" s="521"/>
      <c r="F26" s="521"/>
      <c r="G26" s="521"/>
      <c r="H26" s="521"/>
      <c r="I26" s="521"/>
      <c r="J26" s="521"/>
      <c r="K26" s="522"/>
      <c r="L26" s="522"/>
      <c r="M26" s="522"/>
      <c r="N26" s="522">
        <v>16</v>
      </c>
      <c r="O26" s="522"/>
      <c r="P26" s="522"/>
      <c r="Q26" s="522"/>
      <c r="R26" s="522">
        <v>12</v>
      </c>
      <c r="S26" s="522">
        <v>11</v>
      </c>
      <c r="T26" s="522">
        <v>5</v>
      </c>
      <c r="U26" s="522">
        <v>0</v>
      </c>
      <c r="V26" s="522">
        <v>13</v>
      </c>
      <c r="W26" s="522">
        <v>10</v>
      </c>
      <c r="X26" s="164">
        <v>11</v>
      </c>
    </row>
    <row r="27" spans="1:24" ht="13.5" thickBot="1" x14ac:dyDescent="0.25">
      <c r="A27" s="205" t="s">
        <v>20</v>
      </c>
      <c r="B27" s="129">
        <v>24551</v>
      </c>
      <c r="C27" s="129">
        <v>15406</v>
      </c>
      <c r="D27" s="129">
        <v>20319</v>
      </c>
      <c r="E27" s="244">
        <v>22220</v>
      </c>
      <c r="F27" s="244">
        <v>24339</v>
      </c>
      <c r="G27" s="244">
        <v>20595</v>
      </c>
      <c r="H27" s="244">
        <v>19441</v>
      </c>
      <c r="I27" s="244">
        <v>17164</v>
      </c>
      <c r="J27" s="244">
        <v>17484</v>
      </c>
      <c r="K27" s="244">
        <v>16703</v>
      </c>
      <c r="L27" s="244">
        <v>17696</v>
      </c>
      <c r="M27" s="244">
        <v>19041</v>
      </c>
      <c r="N27" s="244">
        <v>17864</v>
      </c>
      <c r="O27" s="244">
        <f>+'voš_druh studia '!C59</f>
        <v>17605</v>
      </c>
      <c r="P27" s="244">
        <f>+'voš_druh studia '!C63</f>
        <v>17384</v>
      </c>
      <c r="Q27" s="244">
        <f>+'voš_druh studia '!C67</f>
        <v>16050</v>
      </c>
      <c r="R27" s="244">
        <f>+'voš_druh studia '!C71</f>
        <v>14397</v>
      </c>
      <c r="S27" s="244">
        <f>+'voš_druh studia '!C75</f>
        <v>12699</v>
      </c>
      <c r="T27" s="244">
        <f>+'voš_druh studia '!C79</f>
        <v>11732</v>
      </c>
      <c r="U27" s="244">
        <f>+'voš_druh studia '!C83</f>
        <v>11006</v>
      </c>
      <c r="V27" s="244">
        <f>+'voš_druh studia '!C87</f>
        <v>10916</v>
      </c>
      <c r="W27" s="244">
        <f>+'voš_druh studia '!C91</f>
        <v>11554</v>
      </c>
      <c r="X27" s="153">
        <f>+'voš_druh studia '!C95</f>
        <v>13716</v>
      </c>
    </row>
    <row r="28" spans="1:24" ht="13.5" thickBot="1" x14ac:dyDescent="0.25">
      <c r="A28" s="42" t="s">
        <v>22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508"/>
      <c r="M28" s="508"/>
      <c r="N28" s="508"/>
      <c r="O28" s="508"/>
      <c r="P28" s="508"/>
      <c r="Q28" s="508"/>
      <c r="R28" s="508"/>
      <c r="S28" s="508"/>
      <c r="T28" s="508"/>
      <c r="U28" s="508"/>
      <c r="V28" s="508"/>
      <c r="W28" s="508"/>
      <c r="X28" s="470"/>
    </row>
    <row r="29" spans="1:24" x14ac:dyDescent="0.2">
      <c r="A29" s="208" t="s">
        <v>60</v>
      </c>
      <c r="B29" s="154">
        <v>1.3115555374526496E-2</v>
      </c>
      <c r="C29" s="154">
        <v>8.1137219265221341E-3</v>
      </c>
      <c r="D29" s="154">
        <v>1.3927850780058074E-2</v>
      </c>
      <c r="E29" s="245">
        <v>1.1476147614761477E-2</v>
      </c>
      <c r="F29" s="312">
        <v>1.4508791343907538E-2</v>
      </c>
      <c r="G29" s="312">
        <v>1.378975479485312E-2</v>
      </c>
      <c r="H29" s="312">
        <v>1.2293606295972429E-2</v>
      </c>
      <c r="I29" s="312">
        <v>1.3050570962479609E-2</v>
      </c>
      <c r="J29" s="312">
        <v>8.8652482269503553E-3</v>
      </c>
      <c r="K29" s="466">
        <f t="shared" ref="K29:K37" si="1">K17/$K$27</f>
        <v>5.0889061845177516E-3</v>
      </c>
      <c r="L29" s="466">
        <f t="shared" ref="L29:L37" si="2">L17/$L$27</f>
        <v>6.159584086799277E-3</v>
      </c>
      <c r="M29" s="466">
        <f t="shared" ref="M29:M37" si="3">M17/$M$27</f>
        <v>5.5669345097421356E-3</v>
      </c>
      <c r="N29" s="466">
        <f t="shared" ref="N29:S29" si="4">N17/N$27</f>
        <v>4.87012987012987E-3</v>
      </c>
      <c r="O29" s="466">
        <f t="shared" si="4"/>
        <v>2.5560920193126954E-3</v>
      </c>
      <c r="P29" s="466">
        <f t="shared" si="4"/>
        <v>3.6240220892774966E-3</v>
      </c>
      <c r="Q29" s="466">
        <f t="shared" si="4"/>
        <v>3.7383177570093459E-3</v>
      </c>
      <c r="R29" s="466">
        <f t="shared" si="4"/>
        <v>3.3340279224838508E-3</v>
      </c>
      <c r="S29" s="466">
        <f t="shared" si="4"/>
        <v>1.6536735175998109E-3</v>
      </c>
      <c r="T29" s="466">
        <f t="shared" ref="T29:U39" si="5">T17/T$27</f>
        <v>1.9604500511421754E-3</v>
      </c>
      <c r="U29" s="466">
        <f t="shared" si="5"/>
        <v>0</v>
      </c>
      <c r="V29" s="466">
        <f t="shared" ref="V29:X39" si="6">V17/V$27</f>
        <v>3.9391718578233783E-3</v>
      </c>
      <c r="W29" s="466">
        <f t="shared" ref="W29" si="7">W17/W$27</f>
        <v>0</v>
      </c>
      <c r="X29" s="265">
        <f t="shared" si="6"/>
        <v>3.6453776611256928E-3</v>
      </c>
    </row>
    <row r="30" spans="1:24" x14ac:dyDescent="0.2">
      <c r="A30" s="209" t="s">
        <v>61</v>
      </c>
      <c r="B30" s="63">
        <v>0.1390167406622948</v>
      </c>
      <c r="C30" s="63">
        <v>8.8342204335972993E-2</v>
      </c>
      <c r="D30" s="63">
        <v>0.13726069196318716</v>
      </c>
      <c r="E30" s="246">
        <v>0.14846984698469848</v>
      </c>
      <c r="F30" s="246">
        <v>0.15103077994999795</v>
      </c>
      <c r="G30" s="246">
        <v>0.12779800922554019</v>
      </c>
      <c r="H30" s="246">
        <v>0.13672136206985239</v>
      </c>
      <c r="I30" s="246">
        <v>0.13411792123048241</v>
      </c>
      <c r="J30" s="246">
        <v>0.13274994280485014</v>
      </c>
      <c r="K30" s="466">
        <f t="shared" si="1"/>
        <v>0.11291384781177034</v>
      </c>
      <c r="L30" s="466">
        <f t="shared" si="2"/>
        <v>0.12177893309222423</v>
      </c>
      <c r="M30" s="466">
        <f t="shared" si="3"/>
        <v>0.11711569770495248</v>
      </c>
      <c r="N30" s="466">
        <f t="shared" ref="N30:O39" si="8">N18/N$27</f>
        <v>0.12393640841916705</v>
      </c>
      <c r="O30" s="466">
        <f t="shared" si="8"/>
        <v>0.12700937233740414</v>
      </c>
      <c r="P30" s="466">
        <f t="shared" ref="P30:Q39" si="9">P18/P$27</f>
        <v>0.12517257248044178</v>
      </c>
      <c r="Q30" s="466">
        <f t="shared" si="9"/>
        <v>0.10728971962616822</v>
      </c>
      <c r="R30" s="466">
        <f t="shared" ref="R30:S39" si="10">R18/R$27</f>
        <v>0.11273181912898521</v>
      </c>
      <c r="S30" s="466">
        <f t="shared" si="10"/>
        <v>0.11977321048901489</v>
      </c>
      <c r="T30" s="466">
        <f t="shared" si="5"/>
        <v>0.1096999659052165</v>
      </c>
      <c r="U30" s="466">
        <f t="shared" si="5"/>
        <v>8.9950935853171002E-2</v>
      </c>
      <c r="V30" s="466">
        <f t="shared" si="6"/>
        <v>0.10388420666910957</v>
      </c>
      <c r="W30" s="466">
        <f t="shared" ref="W30" si="11">W18/W$27</f>
        <v>9.2175869828630783E-2</v>
      </c>
      <c r="X30" s="265">
        <f t="shared" si="6"/>
        <v>7.8375619714202385E-2</v>
      </c>
    </row>
    <row r="31" spans="1:24" x14ac:dyDescent="0.2">
      <c r="A31" s="209" t="s">
        <v>67</v>
      </c>
      <c r="B31" s="63">
        <v>3.449961305038491E-2</v>
      </c>
      <c r="C31" s="63">
        <v>2.6223549266519538E-2</v>
      </c>
      <c r="D31" s="63">
        <v>3.7354200501993208E-2</v>
      </c>
      <c r="E31" s="246">
        <v>3.523852385238524E-2</v>
      </c>
      <c r="F31" s="246">
        <v>4.1026271568506904E-2</v>
      </c>
      <c r="G31" s="246">
        <v>4.2437484826414178E-2</v>
      </c>
      <c r="H31" s="246">
        <v>4.1253021963890746E-2</v>
      </c>
      <c r="I31" s="246">
        <v>3.449079468655325E-2</v>
      </c>
      <c r="J31" s="246">
        <v>3.6948066803935024E-2</v>
      </c>
      <c r="K31" s="466">
        <f t="shared" si="1"/>
        <v>2.8438005148775668E-2</v>
      </c>
      <c r="L31" s="466">
        <f t="shared" si="2"/>
        <v>2.4242766726943941E-2</v>
      </c>
      <c r="M31" s="466">
        <f t="shared" si="3"/>
        <v>2.5576387794758678E-2</v>
      </c>
      <c r="N31" s="466">
        <f t="shared" si="8"/>
        <v>2.5582176444245409E-2</v>
      </c>
      <c r="O31" s="466">
        <f t="shared" si="8"/>
        <v>2.4879295654643568E-2</v>
      </c>
      <c r="P31" s="466">
        <f t="shared" si="9"/>
        <v>2.3987574781408193E-2</v>
      </c>
      <c r="Q31" s="466">
        <f t="shared" si="9"/>
        <v>1.968847352024922E-2</v>
      </c>
      <c r="R31" s="466">
        <f t="shared" si="10"/>
        <v>1.7989858998402445E-2</v>
      </c>
      <c r="S31" s="466">
        <f t="shared" si="10"/>
        <v>1.5828017954169618E-2</v>
      </c>
      <c r="T31" s="466">
        <f t="shared" si="5"/>
        <v>1.304125468803273E-2</v>
      </c>
      <c r="U31" s="466">
        <f t="shared" si="5"/>
        <v>1.2992912956569144E-2</v>
      </c>
      <c r="V31" s="466">
        <f t="shared" si="6"/>
        <v>1.942103334554782E-2</v>
      </c>
      <c r="W31" s="466">
        <f t="shared" ref="W31" si="12">W19/W$27</f>
        <v>1.8521724078241302E-2</v>
      </c>
      <c r="X31" s="265">
        <f t="shared" si="6"/>
        <v>4.447360746573345E-2</v>
      </c>
    </row>
    <row r="32" spans="1:24" x14ac:dyDescent="0.2">
      <c r="A32" s="209" t="s">
        <v>66</v>
      </c>
      <c r="B32" s="63">
        <v>0.19518553215754958</v>
      </c>
      <c r="C32" s="63">
        <v>0.20135012332857327</v>
      </c>
      <c r="D32" s="63">
        <v>0.20325803435208425</v>
      </c>
      <c r="E32" s="246">
        <v>0.19653465346534654</v>
      </c>
      <c r="F32" s="246">
        <v>0.22099266363375547</v>
      </c>
      <c r="G32" s="246">
        <v>0.18349113862588007</v>
      </c>
      <c r="H32" s="246">
        <v>0.1783858854997171</v>
      </c>
      <c r="I32" s="246">
        <v>0.20461430901887673</v>
      </c>
      <c r="J32" s="246">
        <v>0.20738961336078701</v>
      </c>
      <c r="K32" s="466">
        <f t="shared" si="1"/>
        <v>0.25157157396874813</v>
      </c>
      <c r="L32" s="466">
        <f t="shared" si="2"/>
        <v>0.23570298372513562</v>
      </c>
      <c r="M32" s="466">
        <f t="shared" si="3"/>
        <v>0.23811774591670606</v>
      </c>
      <c r="N32" s="466">
        <f t="shared" si="8"/>
        <v>0.23046350201522614</v>
      </c>
      <c r="O32" s="466">
        <f t="shared" si="8"/>
        <v>0.25180346492473726</v>
      </c>
      <c r="P32" s="466">
        <f t="shared" si="9"/>
        <v>0.24505292222733549</v>
      </c>
      <c r="Q32" s="466">
        <f t="shared" si="9"/>
        <v>0.27613707165109036</v>
      </c>
      <c r="R32" s="466">
        <f t="shared" si="10"/>
        <v>0.30374383552128914</v>
      </c>
      <c r="S32" s="466">
        <f t="shared" si="10"/>
        <v>0.30970942593905032</v>
      </c>
      <c r="T32" s="466">
        <f t="shared" si="5"/>
        <v>0.34367541766109783</v>
      </c>
      <c r="U32" s="466">
        <f t="shared" si="5"/>
        <v>0.33436307468653464</v>
      </c>
      <c r="V32" s="466">
        <f t="shared" si="6"/>
        <v>0.33629534628068891</v>
      </c>
      <c r="W32" s="466">
        <f t="shared" ref="W32" si="13">W20/W$27</f>
        <v>0.35234550804916048</v>
      </c>
      <c r="X32" s="265">
        <f t="shared" si="6"/>
        <v>0.3590696996208807</v>
      </c>
    </row>
    <row r="33" spans="1:24" x14ac:dyDescent="0.2">
      <c r="A33" s="209" t="s">
        <v>63</v>
      </c>
      <c r="B33" s="63">
        <v>7.4905299173149767E-2</v>
      </c>
      <c r="C33" s="63">
        <v>0.10541347526937557</v>
      </c>
      <c r="D33" s="63">
        <v>6.0189969978837542E-2</v>
      </c>
      <c r="E33" s="246">
        <v>3.316831683168317E-2</v>
      </c>
      <c r="F33" s="246">
        <v>2.8402803393581703E-2</v>
      </c>
      <c r="G33" s="246">
        <v>0.10643360038844379</v>
      </c>
      <c r="H33" s="246">
        <v>0.10688750578673936</v>
      </c>
      <c r="I33" s="246">
        <v>0.11360988114658588</v>
      </c>
      <c r="J33" s="246">
        <v>2.9855868222374744E-2</v>
      </c>
      <c r="K33" s="466">
        <f t="shared" si="1"/>
        <v>2.1253667005927079E-2</v>
      </c>
      <c r="L33" s="466">
        <f t="shared" si="2"/>
        <v>8.4708408679927669E-2</v>
      </c>
      <c r="M33" s="466">
        <f t="shared" si="3"/>
        <v>8.3346462895856316E-2</v>
      </c>
      <c r="N33" s="466">
        <f t="shared" si="8"/>
        <v>9.0181370353784152E-2</v>
      </c>
      <c r="O33" s="466">
        <f t="shared" si="8"/>
        <v>8.23629650667424E-2</v>
      </c>
      <c r="P33" s="466">
        <f t="shared" si="9"/>
        <v>8.6688909341923609E-2</v>
      </c>
      <c r="Q33" s="466">
        <f t="shared" si="9"/>
        <v>8.585669781931464E-2</v>
      </c>
      <c r="R33" s="466">
        <f t="shared" si="10"/>
        <v>8.3420156977148011E-2</v>
      </c>
      <c r="S33" s="466">
        <f t="shared" si="10"/>
        <v>7.7801401685172064E-2</v>
      </c>
      <c r="T33" s="466">
        <f t="shared" si="5"/>
        <v>6.9809069212410507E-2</v>
      </c>
      <c r="U33" s="466">
        <f t="shared" si="5"/>
        <v>7.0325277121570051E-2</v>
      </c>
      <c r="V33" s="466">
        <f t="shared" si="6"/>
        <v>6.1469402711615974E-2</v>
      </c>
      <c r="W33" s="466">
        <f t="shared" ref="W33" si="14">W21/W$27</f>
        <v>5.3661069759390688E-2</v>
      </c>
      <c r="X33" s="265">
        <f t="shared" si="6"/>
        <v>4.294254884806066E-2</v>
      </c>
    </row>
    <row r="34" spans="1:24" x14ac:dyDescent="0.2">
      <c r="A34" s="209" t="s">
        <v>62</v>
      </c>
      <c r="B34" s="63">
        <v>0.32267524744409598</v>
      </c>
      <c r="C34" s="63">
        <v>0.31818771907049204</v>
      </c>
      <c r="D34" s="63">
        <v>0.35395442689108714</v>
      </c>
      <c r="E34" s="246">
        <v>0.33645364536453648</v>
      </c>
      <c r="F34" s="246">
        <v>0.3058731915242428</v>
      </c>
      <c r="G34" s="246">
        <v>0.26234522942461763</v>
      </c>
      <c r="H34" s="246">
        <v>0.26084049174425183</v>
      </c>
      <c r="I34" s="246">
        <v>0.24941738522488929</v>
      </c>
      <c r="J34" s="246">
        <v>0.29524136353237246</v>
      </c>
      <c r="K34" s="466">
        <f t="shared" si="1"/>
        <v>0.26354547087349578</v>
      </c>
      <c r="L34" s="466">
        <f t="shared" si="2"/>
        <v>0.22067133815551537</v>
      </c>
      <c r="M34" s="466">
        <f t="shared" si="3"/>
        <v>0.19337219683840134</v>
      </c>
      <c r="N34" s="466">
        <f t="shared" si="8"/>
        <v>0.19760412001791311</v>
      </c>
      <c r="O34" s="466">
        <f t="shared" si="8"/>
        <v>0.19085487077534791</v>
      </c>
      <c r="P34" s="466">
        <f t="shared" si="9"/>
        <v>0.1795904279797515</v>
      </c>
      <c r="Q34" s="466">
        <f t="shared" si="9"/>
        <v>0.15345794392523365</v>
      </c>
      <c r="R34" s="466">
        <f t="shared" si="10"/>
        <v>0.13273598666388831</v>
      </c>
      <c r="S34" s="466">
        <f t="shared" si="10"/>
        <v>0.12812032443499488</v>
      </c>
      <c r="T34" s="466">
        <f t="shared" si="5"/>
        <v>0.10594953972042277</v>
      </c>
      <c r="U34" s="466">
        <f t="shared" si="5"/>
        <v>9.331273850626931E-2</v>
      </c>
      <c r="V34" s="466">
        <f t="shared" si="6"/>
        <v>8.9135214364235979E-2</v>
      </c>
      <c r="W34" s="466">
        <f t="shared" ref="W34" si="15">W22/W$27</f>
        <v>8.8886965553055225E-2</v>
      </c>
      <c r="X34" s="265">
        <f t="shared" si="6"/>
        <v>7.5167687372411779E-2</v>
      </c>
    </row>
    <row r="35" spans="1:24" x14ac:dyDescent="0.2">
      <c r="A35" s="209" t="s">
        <v>64</v>
      </c>
      <c r="B35" s="63">
        <v>0.10989369068469716</v>
      </c>
      <c r="C35" s="63">
        <v>0.13092301700636116</v>
      </c>
      <c r="D35" s="63">
        <v>0.10217038240070869</v>
      </c>
      <c r="E35" s="246">
        <v>0.11138613861386139</v>
      </c>
      <c r="F35" s="246">
        <v>0.10369277429402844</v>
      </c>
      <c r="G35" s="246">
        <v>0.11978635591162903</v>
      </c>
      <c r="H35" s="246">
        <v>0.12123861941258166</v>
      </c>
      <c r="I35" s="246">
        <v>0.13289443020274994</v>
      </c>
      <c r="J35" s="246">
        <v>0.14098604438343629</v>
      </c>
      <c r="K35" s="466">
        <f t="shared" si="1"/>
        <v>0.12500748368556547</v>
      </c>
      <c r="L35" s="466">
        <f t="shared" si="2"/>
        <v>0.10109629294755877</v>
      </c>
      <c r="M35" s="466">
        <f t="shared" si="3"/>
        <v>0.13281865448243266</v>
      </c>
      <c r="N35" s="466">
        <f t="shared" si="8"/>
        <v>0.12169726824899239</v>
      </c>
      <c r="O35" s="466">
        <f t="shared" si="8"/>
        <v>0.10820789548423743</v>
      </c>
      <c r="P35" s="466">
        <f t="shared" si="9"/>
        <v>9.3304187758858723E-2</v>
      </c>
      <c r="Q35" s="466">
        <f t="shared" si="9"/>
        <v>0.10473520249221184</v>
      </c>
      <c r="R35" s="466">
        <f t="shared" si="10"/>
        <v>0.10335486559699937</v>
      </c>
      <c r="S35" s="466">
        <f t="shared" si="10"/>
        <v>9.3314434207417904E-2</v>
      </c>
      <c r="T35" s="466">
        <f t="shared" si="5"/>
        <v>7.5519945448346407E-2</v>
      </c>
      <c r="U35" s="466">
        <f t="shared" si="5"/>
        <v>7.4232236961657275E-2</v>
      </c>
      <c r="V35" s="466">
        <f t="shared" si="6"/>
        <v>7.5760351777207774E-2</v>
      </c>
      <c r="W35" s="466">
        <f t="shared" ref="W35" si="16">W23/W$27</f>
        <v>5.9806127747966072E-2</v>
      </c>
      <c r="X35" s="265">
        <f t="shared" si="6"/>
        <v>5.2347623213764946E-2</v>
      </c>
    </row>
    <row r="36" spans="1:24" x14ac:dyDescent="0.2">
      <c r="A36" s="209" t="s">
        <v>65</v>
      </c>
      <c r="B36" s="63">
        <v>0.25249480672885016</v>
      </c>
      <c r="C36" s="63">
        <v>0.24879916915487471</v>
      </c>
      <c r="D36" s="63">
        <v>0.22648752399232247</v>
      </c>
      <c r="E36" s="246">
        <v>0.22236723672367237</v>
      </c>
      <c r="F36" s="246">
        <v>0.20595106356817902</v>
      </c>
      <c r="G36" s="246">
        <v>0.21582908472930323</v>
      </c>
      <c r="H36" s="246">
        <v>0.21861015379867291</v>
      </c>
      <c r="I36" s="246">
        <v>0.22116056863202052</v>
      </c>
      <c r="J36" s="246">
        <v>0.18880118965911691</v>
      </c>
      <c r="K36" s="466">
        <f t="shared" si="1"/>
        <v>0.18457762078668502</v>
      </c>
      <c r="L36" s="466">
        <f t="shared" si="2"/>
        <v>0.21931509945750452</v>
      </c>
      <c r="M36" s="466">
        <f t="shared" si="3"/>
        <v>0.21968384013444672</v>
      </c>
      <c r="N36" s="466">
        <f t="shared" si="8"/>
        <v>0.23421406180026869</v>
      </c>
      <c r="O36" s="466">
        <f t="shared" si="8"/>
        <v>0.2382277761999432</v>
      </c>
      <c r="P36" s="466">
        <f t="shared" si="9"/>
        <v>0.25966405890473998</v>
      </c>
      <c r="Q36" s="466">
        <f t="shared" si="9"/>
        <v>0.26654205607476633</v>
      </c>
      <c r="R36" s="466">
        <f t="shared" si="10"/>
        <v>0.25713690352156698</v>
      </c>
      <c r="S36" s="466">
        <f t="shared" si="10"/>
        <v>0.24545239782660053</v>
      </c>
      <c r="T36" s="466">
        <f t="shared" si="5"/>
        <v>0.26738833958404362</v>
      </c>
      <c r="U36" s="466">
        <f t="shared" si="5"/>
        <v>0.30474286752680357</v>
      </c>
      <c r="V36" s="466">
        <f t="shared" si="6"/>
        <v>0.30551484060095274</v>
      </c>
      <c r="W36" s="466">
        <f t="shared" ref="W36" si="17">W24/W$27</f>
        <v>0.31209970572961743</v>
      </c>
      <c r="X36" s="265">
        <f t="shared" si="6"/>
        <v>0.33457276173811606</v>
      </c>
    </row>
    <row r="37" spans="1:24" x14ac:dyDescent="0.2">
      <c r="A37" s="210" t="s">
        <v>68</v>
      </c>
      <c r="B37" s="66">
        <v>4.2442263044275182E-2</v>
      </c>
      <c r="C37" s="66">
        <v>3.8751135921069713E-2</v>
      </c>
      <c r="D37" s="66">
        <v>4.0208671686598751E-2</v>
      </c>
      <c r="E37" s="233">
        <v>4.5274527452745274E-2</v>
      </c>
      <c r="F37" s="233">
        <v>4.114922742735358E-2</v>
      </c>
      <c r="G37" s="233">
        <v>5.1468803107550379E-2</v>
      </c>
      <c r="H37" s="233">
        <v>4.475078442466951E-2</v>
      </c>
      <c r="I37" s="233">
        <v>4.8123980424143557E-2</v>
      </c>
      <c r="J37" s="233">
        <v>5.7481125600549077E-2</v>
      </c>
      <c r="K37" s="467">
        <f t="shared" si="1"/>
        <v>5.2864754834460875E-2</v>
      </c>
      <c r="L37" s="467">
        <f t="shared" si="2"/>
        <v>4.7976943942133816E-2</v>
      </c>
      <c r="M37" s="467">
        <f t="shared" si="3"/>
        <v>5.262328659209075E-2</v>
      </c>
      <c r="N37" s="466">
        <f t="shared" si="8"/>
        <v>4.4950738916256158E-2</v>
      </c>
      <c r="O37" s="467">
        <f t="shared" si="8"/>
        <v>4.623686452712298E-2</v>
      </c>
      <c r="P37" s="467">
        <f t="shared" si="9"/>
        <v>4.8722963644730784E-2</v>
      </c>
      <c r="Q37" s="467">
        <f t="shared" si="9"/>
        <v>4.6168224299065419E-2</v>
      </c>
      <c r="R37" s="467">
        <f t="shared" si="10"/>
        <v>4.6954226574980898E-2</v>
      </c>
      <c r="S37" s="467">
        <f t="shared" si="10"/>
        <v>5.9217261201669424E-2</v>
      </c>
      <c r="T37" s="467">
        <f t="shared" si="5"/>
        <v>5.4551653596999657E-2</v>
      </c>
      <c r="U37" s="467">
        <f t="shared" si="5"/>
        <v>5.6060330728693437E-2</v>
      </c>
      <c r="V37" s="467">
        <f t="shared" si="6"/>
        <v>4.6262367167460607E-2</v>
      </c>
      <c r="W37" s="478">
        <f t="shared" ref="W37" si="18">W25/W$27</f>
        <v>5.9979227972996367E-2</v>
      </c>
      <c r="X37" s="265">
        <f t="shared" si="6"/>
        <v>5.4389034703995337E-2</v>
      </c>
    </row>
    <row r="38" spans="1:24" x14ac:dyDescent="0.2">
      <c r="A38" s="523"/>
      <c r="B38" s="524"/>
      <c r="C38" s="524"/>
      <c r="D38" s="524"/>
      <c r="E38" s="525"/>
      <c r="F38" s="525"/>
      <c r="G38" s="525"/>
      <c r="H38" s="525"/>
      <c r="I38" s="525"/>
      <c r="J38" s="525"/>
      <c r="K38" s="526"/>
      <c r="L38" s="544"/>
      <c r="M38" s="538"/>
      <c r="N38" s="538">
        <f t="shared" si="8"/>
        <v>8.9565606806986115E-4</v>
      </c>
      <c r="O38" s="538"/>
      <c r="P38" s="538"/>
      <c r="Q38" s="538"/>
      <c r="R38" s="538">
        <f t="shared" si="10"/>
        <v>8.3350698062096271E-4</v>
      </c>
      <c r="S38" s="538">
        <f t="shared" si="10"/>
        <v>8.662099377903772E-4</v>
      </c>
      <c r="T38" s="538">
        <f t="shared" si="5"/>
        <v>4.2618479372655982E-4</v>
      </c>
      <c r="U38" s="538">
        <f t="shared" si="5"/>
        <v>0</v>
      </c>
      <c r="V38" s="538">
        <f t="shared" si="6"/>
        <v>1.1909124221326493E-3</v>
      </c>
      <c r="W38" s="538">
        <f t="shared" ref="W38" si="19">W26/W$27</f>
        <v>8.6550112515146273E-4</v>
      </c>
      <c r="X38" s="539">
        <f t="shared" si="6"/>
        <v>8.0198308544765235E-4</v>
      </c>
    </row>
    <row r="39" spans="1:24" ht="13.5" thickBot="1" x14ac:dyDescent="0.25">
      <c r="A39" s="205" t="s">
        <v>20</v>
      </c>
      <c r="B39" s="130">
        <v>1</v>
      </c>
      <c r="C39" s="130">
        <v>1</v>
      </c>
      <c r="D39" s="130">
        <v>1</v>
      </c>
      <c r="E39" s="247">
        <v>1</v>
      </c>
      <c r="F39" s="247">
        <v>1</v>
      </c>
      <c r="G39" s="247">
        <v>1</v>
      </c>
      <c r="H39" s="247">
        <v>1</v>
      </c>
      <c r="I39" s="247">
        <v>1</v>
      </c>
      <c r="J39" s="247">
        <v>1</v>
      </c>
      <c r="K39" s="468">
        <f>K27/$K$27</f>
        <v>1</v>
      </c>
      <c r="L39" s="545">
        <f>L27/$L$27</f>
        <v>1</v>
      </c>
      <c r="M39" s="468">
        <f>M27/$M$27</f>
        <v>1</v>
      </c>
      <c r="N39" s="468">
        <f t="shared" si="8"/>
        <v>1</v>
      </c>
      <c r="O39" s="468">
        <f t="shared" si="8"/>
        <v>1</v>
      </c>
      <c r="P39" s="468">
        <f t="shared" si="9"/>
        <v>1</v>
      </c>
      <c r="Q39" s="468">
        <f t="shared" si="9"/>
        <v>1</v>
      </c>
      <c r="R39" s="468">
        <f t="shared" si="10"/>
        <v>1</v>
      </c>
      <c r="S39" s="468">
        <f t="shared" si="10"/>
        <v>1</v>
      </c>
      <c r="T39" s="468">
        <f t="shared" si="5"/>
        <v>1</v>
      </c>
      <c r="U39" s="468">
        <f t="shared" si="5"/>
        <v>1</v>
      </c>
      <c r="V39" s="468">
        <f t="shared" si="6"/>
        <v>1</v>
      </c>
      <c r="W39" s="468">
        <f t="shared" ref="W39" si="20">W27/W$27</f>
        <v>1</v>
      </c>
      <c r="X39" s="540">
        <f t="shared" si="6"/>
        <v>1</v>
      </c>
    </row>
    <row r="40" spans="1:24" ht="13.5" thickBot="1" x14ac:dyDescent="0.25">
      <c r="A40" s="42" t="s">
        <v>96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8"/>
      <c r="X40" s="470"/>
    </row>
    <row r="41" spans="1:24" x14ac:dyDescent="0.2">
      <c r="A41" s="211" t="s">
        <v>60</v>
      </c>
      <c r="B41" s="155">
        <v>1.0248447204968945</v>
      </c>
      <c r="C41" s="155">
        <v>1.008</v>
      </c>
      <c r="D41" s="155">
        <v>1.0918727915194346</v>
      </c>
      <c r="E41" s="248">
        <v>1.0627450980392157</v>
      </c>
      <c r="F41" s="248">
        <v>1.0338983050847457</v>
      </c>
      <c r="G41" s="248">
        <v>1.0211267605633803</v>
      </c>
      <c r="H41" s="248">
        <v>1.0334728033472804</v>
      </c>
      <c r="I41" s="248">
        <v>1.0133928571428572</v>
      </c>
      <c r="J41" s="248">
        <v>1</v>
      </c>
      <c r="K41" s="248">
        <f t="shared" ref="K41:P41" si="21">K5/K17</f>
        <v>1</v>
      </c>
      <c r="L41" s="248">
        <f t="shared" si="21"/>
        <v>1</v>
      </c>
      <c r="M41" s="248">
        <f t="shared" si="21"/>
        <v>1</v>
      </c>
      <c r="N41" s="548">
        <f t="shared" si="21"/>
        <v>1</v>
      </c>
      <c r="O41" s="548">
        <f t="shared" si="21"/>
        <v>1</v>
      </c>
      <c r="P41" s="548">
        <f t="shared" si="21"/>
        <v>1</v>
      </c>
      <c r="Q41" s="548">
        <f>Q5/Q17</f>
        <v>1</v>
      </c>
      <c r="R41" s="548">
        <f>R5/R17</f>
        <v>1</v>
      </c>
      <c r="S41" s="548">
        <f>S5/S17</f>
        <v>1.0476190476190477</v>
      </c>
      <c r="T41" s="548">
        <f>T5/T17</f>
        <v>1</v>
      </c>
      <c r="U41" s="548" t="s">
        <v>149</v>
      </c>
      <c r="V41" s="548">
        <f t="shared" ref="V41:X51" si="22">V5/V17</f>
        <v>1</v>
      </c>
      <c r="W41" s="548" t="s">
        <v>149</v>
      </c>
      <c r="X41" s="592">
        <f t="shared" si="22"/>
        <v>1</v>
      </c>
    </row>
    <row r="42" spans="1:24" x14ac:dyDescent="0.2">
      <c r="A42" s="203" t="s">
        <v>61</v>
      </c>
      <c r="B42" s="157">
        <v>1.1177849399355406</v>
      </c>
      <c r="C42" s="157">
        <v>1.109478324761205</v>
      </c>
      <c r="D42" s="157">
        <v>1.0752958049480101</v>
      </c>
      <c r="E42" s="249">
        <v>1.0927553804183086</v>
      </c>
      <c r="F42" s="249">
        <v>1.1085481682496607</v>
      </c>
      <c r="G42" s="249">
        <v>1.094224924012158</v>
      </c>
      <c r="H42" s="249">
        <v>1.0654627539503385</v>
      </c>
      <c r="I42" s="249">
        <v>1.0851433536055604</v>
      </c>
      <c r="J42" s="249">
        <v>1.0573028866867729</v>
      </c>
      <c r="K42" s="249">
        <f t="shared" ref="K42:M49" si="23">K6/K18</f>
        <v>1.0270413573700954</v>
      </c>
      <c r="L42" s="249">
        <f t="shared" si="23"/>
        <v>1.0241299303944316</v>
      </c>
      <c r="M42" s="249">
        <f t="shared" si="23"/>
        <v>1.0340807174887892</v>
      </c>
      <c r="N42" s="249">
        <f t="shared" ref="N42:O51" si="24">N6/N18</f>
        <v>1.032520325203252</v>
      </c>
      <c r="O42" s="249">
        <f t="shared" si="24"/>
        <v>1.026386404293381</v>
      </c>
      <c r="P42" s="249">
        <f t="shared" ref="P42:Q49" si="25">P6/P18</f>
        <v>1.0386029411764706</v>
      </c>
      <c r="Q42" s="249">
        <f t="shared" si="25"/>
        <v>1.0238095238095237</v>
      </c>
      <c r="R42" s="249">
        <f t="shared" ref="R42:S51" si="26">R6/R18</f>
        <v>1.0258780036968578</v>
      </c>
      <c r="S42" s="249">
        <f t="shared" si="26"/>
        <v>1.0256410256410255</v>
      </c>
      <c r="T42" s="249">
        <f t="shared" ref="T42:U51" si="27">T6/T18</f>
        <v>1.0450660450660452</v>
      </c>
      <c r="U42" s="249">
        <f t="shared" si="27"/>
        <v>1.0323232323232323</v>
      </c>
      <c r="V42" s="249">
        <f t="shared" si="22"/>
        <v>1.0414462081128748</v>
      </c>
      <c r="W42" s="249">
        <f t="shared" ref="W42" si="28">W6/W18</f>
        <v>1.0629107981220658</v>
      </c>
      <c r="X42" s="158">
        <f t="shared" si="22"/>
        <v>1.0734883720930233</v>
      </c>
    </row>
    <row r="43" spans="1:24" x14ac:dyDescent="0.2">
      <c r="A43" s="203" t="s">
        <v>67</v>
      </c>
      <c r="B43" s="157">
        <v>1.0932703659976388</v>
      </c>
      <c r="C43" s="157">
        <v>1.0693069306930694</v>
      </c>
      <c r="D43" s="157">
        <v>1.0974967061923584</v>
      </c>
      <c r="E43" s="249">
        <v>1.0779054916985951</v>
      </c>
      <c r="F43" s="249">
        <v>1.0679320679320679</v>
      </c>
      <c r="G43" s="249">
        <v>1.0720823798627002</v>
      </c>
      <c r="H43" s="249">
        <v>1.0386533665835411</v>
      </c>
      <c r="I43" s="249">
        <v>1.0388513513513513</v>
      </c>
      <c r="J43" s="249">
        <v>1.0278637770897834</v>
      </c>
      <c r="K43" s="249">
        <f t="shared" si="23"/>
        <v>1.0189473684210526</v>
      </c>
      <c r="L43" s="249">
        <f t="shared" si="23"/>
        <v>1.0256410256410255</v>
      </c>
      <c r="M43" s="249">
        <f t="shared" si="23"/>
        <v>1.0266940451745379</v>
      </c>
      <c r="N43" s="249">
        <f t="shared" si="24"/>
        <v>1.0109409190371992</v>
      </c>
      <c r="O43" s="249">
        <f t="shared" si="24"/>
        <v>1.0091324200913243</v>
      </c>
      <c r="P43" s="249">
        <f t="shared" si="25"/>
        <v>1.0167865707434052</v>
      </c>
      <c r="Q43" s="249">
        <f t="shared" si="25"/>
        <v>1.0063291139240507</v>
      </c>
      <c r="R43" s="249">
        <f t="shared" si="26"/>
        <v>1.0154440154440154</v>
      </c>
      <c r="S43" s="249">
        <f t="shared" si="26"/>
        <v>1.0199004975124377</v>
      </c>
      <c r="T43" s="249">
        <f t="shared" si="27"/>
        <v>1.0130718954248366</v>
      </c>
      <c r="U43" s="249">
        <f t="shared" si="27"/>
        <v>1</v>
      </c>
      <c r="V43" s="249">
        <f t="shared" si="22"/>
        <v>1.0188679245283019</v>
      </c>
      <c r="W43" s="249">
        <f t="shared" ref="W43" si="29">W7/W19</f>
        <v>1.0327102803738317</v>
      </c>
      <c r="X43" s="158">
        <f t="shared" si="22"/>
        <v>1.0278688524590165</v>
      </c>
    </row>
    <row r="44" spans="1:24" x14ac:dyDescent="0.2">
      <c r="A44" s="203" t="s">
        <v>66</v>
      </c>
      <c r="B44" s="157">
        <v>1.3985809682804675</v>
      </c>
      <c r="C44" s="157">
        <v>1.2337201805286913</v>
      </c>
      <c r="D44" s="157">
        <v>1.3152542372881355</v>
      </c>
      <c r="E44" s="249">
        <v>1.2864666819326769</v>
      </c>
      <c r="F44" s="249">
        <v>1.3464391691394659</v>
      </c>
      <c r="G44" s="249">
        <v>1.3294522360412808</v>
      </c>
      <c r="H44" s="249">
        <v>1.2704728950403692</v>
      </c>
      <c r="I44" s="249">
        <v>1.2343394077448746</v>
      </c>
      <c r="J44" s="249">
        <v>1.225868725868726</v>
      </c>
      <c r="K44" s="249">
        <f t="shared" si="23"/>
        <v>1.1611137553545932</v>
      </c>
      <c r="L44" s="249">
        <f t="shared" si="23"/>
        <v>1.2560537041476865</v>
      </c>
      <c r="M44" s="249">
        <f t="shared" si="23"/>
        <v>1.2051168945743274</v>
      </c>
      <c r="N44" s="249">
        <f t="shared" si="24"/>
        <v>1.2688851105173671</v>
      </c>
      <c r="O44" s="249">
        <f t="shared" si="24"/>
        <v>1.2609970674486803</v>
      </c>
      <c r="P44" s="249">
        <f t="shared" si="25"/>
        <v>1.2971830985915493</v>
      </c>
      <c r="Q44" s="249">
        <f t="shared" si="25"/>
        <v>1.3118231046931408</v>
      </c>
      <c r="R44" s="249">
        <f t="shared" si="26"/>
        <v>1.3089412302766978</v>
      </c>
      <c r="S44" s="249">
        <f t="shared" si="26"/>
        <v>1.2657004830917875</v>
      </c>
      <c r="T44" s="249">
        <f t="shared" si="27"/>
        <v>1.2566964285714286</v>
      </c>
      <c r="U44" s="249">
        <f t="shared" si="27"/>
        <v>1.2649456521739131</v>
      </c>
      <c r="V44" s="249">
        <f t="shared" si="22"/>
        <v>1.3252519749387088</v>
      </c>
      <c r="W44" s="249">
        <f t="shared" ref="W44" si="30">W8/W20</f>
        <v>1.3507737656595431</v>
      </c>
      <c r="X44" s="158">
        <f t="shared" si="22"/>
        <v>1.442233502538071</v>
      </c>
    </row>
    <row r="45" spans="1:24" x14ac:dyDescent="0.2">
      <c r="A45" s="203" t="s">
        <v>63</v>
      </c>
      <c r="B45" s="157">
        <v>1.5649809679173463</v>
      </c>
      <c r="C45" s="157">
        <v>1.0197044334975369</v>
      </c>
      <c r="D45" s="157">
        <v>1.017170891251022</v>
      </c>
      <c r="E45" s="249">
        <v>1.016282225237449</v>
      </c>
      <c r="F45" s="249">
        <v>1.0187590187590188</v>
      </c>
      <c r="G45" s="249">
        <v>1.1104014598540146</v>
      </c>
      <c r="H45" s="249">
        <v>1.0803657362848893</v>
      </c>
      <c r="I45" s="249">
        <v>1.078974358974359</v>
      </c>
      <c r="J45" s="249">
        <v>1.0038314176245211</v>
      </c>
      <c r="K45" s="249">
        <f t="shared" si="23"/>
        <v>1.0028169014084507</v>
      </c>
      <c r="L45" s="249">
        <f t="shared" si="23"/>
        <v>1.04869913275517</v>
      </c>
      <c r="M45" s="249">
        <f t="shared" si="23"/>
        <v>1.0321361058601135</v>
      </c>
      <c r="N45" s="249">
        <f t="shared" si="24"/>
        <v>1.0341402855369335</v>
      </c>
      <c r="O45" s="249">
        <f t="shared" si="24"/>
        <v>1.0262068965517241</v>
      </c>
      <c r="P45" s="249">
        <f t="shared" si="25"/>
        <v>1.0232249502322495</v>
      </c>
      <c r="Q45" s="249">
        <f t="shared" si="25"/>
        <v>1.0232220609579099</v>
      </c>
      <c r="R45" s="249">
        <f t="shared" si="26"/>
        <v>1.0208159866777686</v>
      </c>
      <c r="S45" s="249">
        <f t="shared" si="26"/>
        <v>1.0151821862348178</v>
      </c>
      <c r="T45" s="249">
        <f t="shared" si="27"/>
        <v>1.0109890109890109</v>
      </c>
      <c r="U45" s="249">
        <f t="shared" si="27"/>
        <v>1.024547803617571</v>
      </c>
      <c r="V45" s="249">
        <f t="shared" si="22"/>
        <v>1.014903129657228</v>
      </c>
      <c r="W45" s="249">
        <f t="shared" ref="W45" si="31">W9/W21</f>
        <v>1.0354838709677419</v>
      </c>
      <c r="X45" s="158">
        <f t="shared" si="22"/>
        <v>1.0543293718166384</v>
      </c>
    </row>
    <row r="46" spans="1:24" x14ac:dyDescent="0.2">
      <c r="A46" s="203" t="s">
        <v>62</v>
      </c>
      <c r="B46" s="157">
        <v>1.2591517293612724</v>
      </c>
      <c r="C46" s="157">
        <v>1.2490820073439413</v>
      </c>
      <c r="D46" s="157">
        <v>1.1515572858731924</v>
      </c>
      <c r="E46" s="249">
        <v>1.1425896201177099</v>
      </c>
      <c r="F46" s="249">
        <v>1.219616776095404</v>
      </c>
      <c r="G46" s="249">
        <v>1.1319637238571165</v>
      </c>
      <c r="H46" s="249">
        <v>1.1443502267797279</v>
      </c>
      <c r="I46" s="249">
        <v>1.1403877598691894</v>
      </c>
      <c r="J46" s="249">
        <v>1.0889190236342503</v>
      </c>
      <c r="K46" s="249">
        <f t="shared" si="23"/>
        <v>1.0742844161744662</v>
      </c>
      <c r="L46" s="249">
        <f t="shared" si="23"/>
        <v>1.046606914212548</v>
      </c>
      <c r="M46" s="249">
        <f t="shared" si="23"/>
        <v>1.0488864747419882</v>
      </c>
      <c r="N46" s="249">
        <f t="shared" si="24"/>
        <v>1.0753541076487252</v>
      </c>
      <c r="O46" s="249">
        <f t="shared" si="24"/>
        <v>1.0735119047619048</v>
      </c>
      <c r="P46" s="249">
        <f t="shared" si="25"/>
        <v>1.0992953235105702</v>
      </c>
      <c r="Q46" s="249">
        <f t="shared" si="25"/>
        <v>1.0438489646772229</v>
      </c>
      <c r="R46" s="249">
        <f t="shared" si="26"/>
        <v>1.0455259026687598</v>
      </c>
      <c r="S46" s="249">
        <f t="shared" si="26"/>
        <v>1.0442532267977873</v>
      </c>
      <c r="T46" s="249">
        <f t="shared" si="27"/>
        <v>1.0410297666934836</v>
      </c>
      <c r="U46" s="249">
        <f t="shared" si="27"/>
        <v>1.0399221032132424</v>
      </c>
      <c r="V46" s="249">
        <f t="shared" si="22"/>
        <v>1.0298047276464544</v>
      </c>
      <c r="W46" s="249">
        <f t="shared" ref="W46" si="32">W10/W22</f>
        <v>1.0671859785783837</v>
      </c>
      <c r="X46" s="158">
        <f t="shared" si="22"/>
        <v>1.0572259941804074</v>
      </c>
    </row>
    <row r="47" spans="1:24" x14ac:dyDescent="0.2">
      <c r="A47" s="203" t="s">
        <v>64</v>
      </c>
      <c r="B47" s="157">
        <v>0.69458858413639735</v>
      </c>
      <c r="C47" s="157">
        <v>1.0674268715914725</v>
      </c>
      <c r="D47" s="157">
        <v>1.0891136801541426</v>
      </c>
      <c r="E47" s="249">
        <v>1.0674747474747475</v>
      </c>
      <c r="F47" s="249">
        <v>1.0422924901185771</v>
      </c>
      <c r="G47" s="249">
        <v>1.0591811917308471</v>
      </c>
      <c r="H47" s="249">
        <v>1.0572761985574883</v>
      </c>
      <c r="I47" s="249">
        <v>1.0451556334940815</v>
      </c>
      <c r="J47" s="249">
        <v>1.0275862068965518</v>
      </c>
      <c r="K47" s="249">
        <f t="shared" si="23"/>
        <v>1.0129310344827587</v>
      </c>
      <c r="L47" s="249">
        <f t="shared" si="23"/>
        <v>1.0229178311906093</v>
      </c>
      <c r="M47" s="249">
        <f t="shared" si="23"/>
        <v>1.0233293792012654</v>
      </c>
      <c r="N47" s="249">
        <f t="shared" si="24"/>
        <v>1.0252989880404784</v>
      </c>
      <c r="O47" s="249">
        <f t="shared" si="24"/>
        <v>1.0230971128608923</v>
      </c>
      <c r="P47" s="249">
        <f t="shared" si="25"/>
        <v>1.0123304562268804</v>
      </c>
      <c r="Q47" s="249">
        <f t="shared" si="25"/>
        <v>1.024390243902439</v>
      </c>
      <c r="R47" s="249">
        <f t="shared" si="26"/>
        <v>1.0376344086021505</v>
      </c>
      <c r="S47" s="249">
        <f t="shared" si="26"/>
        <v>1.0202531645569621</v>
      </c>
      <c r="T47" s="249">
        <f t="shared" si="27"/>
        <v>1.0158013544018059</v>
      </c>
      <c r="U47" s="249">
        <f t="shared" si="27"/>
        <v>1.02203182374541</v>
      </c>
      <c r="V47" s="249">
        <f t="shared" si="22"/>
        <v>1.0157194679564692</v>
      </c>
      <c r="W47" s="249">
        <f t="shared" ref="W47" si="33">W11/W23</f>
        <v>1.0318379160636759</v>
      </c>
      <c r="X47" s="158">
        <f t="shared" si="22"/>
        <v>1.0362116991643453</v>
      </c>
    </row>
    <row r="48" spans="1:24" x14ac:dyDescent="0.2">
      <c r="A48" s="203" t="s">
        <v>65</v>
      </c>
      <c r="B48" s="157">
        <v>1.3294079690272624</v>
      </c>
      <c r="C48" s="157">
        <v>1.2348030263501173</v>
      </c>
      <c r="D48" s="157">
        <v>1.2909604519774012</v>
      </c>
      <c r="E48" s="249">
        <v>1.2220198340416919</v>
      </c>
      <c r="F48" s="249">
        <v>1.2618905472636817</v>
      </c>
      <c r="G48" s="249">
        <v>1.2292463442069741</v>
      </c>
      <c r="H48" s="249">
        <v>1.207529411764706</v>
      </c>
      <c r="I48" s="249">
        <v>1.2312961011591148</v>
      </c>
      <c r="J48" s="249">
        <v>1.1281429869736443</v>
      </c>
      <c r="K48" s="249">
        <f t="shared" si="23"/>
        <v>1.085306519623743</v>
      </c>
      <c r="L48" s="249">
        <f t="shared" si="23"/>
        <v>1.0832259726874516</v>
      </c>
      <c r="M48" s="249">
        <f t="shared" si="23"/>
        <v>1.0932345206789387</v>
      </c>
      <c r="N48" s="249">
        <f t="shared" si="24"/>
        <v>1.1226099426386233</v>
      </c>
      <c r="O48" s="249">
        <f t="shared" si="24"/>
        <v>1.1137339055793991</v>
      </c>
      <c r="P48" s="249">
        <f t="shared" si="25"/>
        <v>1.1145325653522375</v>
      </c>
      <c r="Q48" s="249">
        <f t="shared" si="25"/>
        <v>1.1276297335203367</v>
      </c>
      <c r="R48" s="249">
        <f t="shared" si="26"/>
        <v>1.119935170178282</v>
      </c>
      <c r="S48" s="249">
        <f t="shared" si="26"/>
        <v>1.1270452358036573</v>
      </c>
      <c r="T48" s="249">
        <f t="shared" si="27"/>
        <v>1.0889384762511953</v>
      </c>
      <c r="U48" s="249">
        <f t="shared" si="27"/>
        <v>1.0906380441264163</v>
      </c>
      <c r="V48" s="249">
        <f t="shared" si="22"/>
        <v>1.0896551724137931</v>
      </c>
      <c r="W48" s="249">
        <f t="shared" ref="W48" si="34">W12/W24</f>
        <v>1.1003882418191901</v>
      </c>
      <c r="X48" s="158">
        <f t="shared" si="22"/>
        <v>1.1300937023316626</v>
      </c>
    </row>
    <row r="49" spans="1:24" x14ac:dyDescent="0.2">
      <c r="A49" s="204" t="s">
        <v>68</v>
      </c>
      <c r="B49" s="159">
        <v>1.1142034548944337</v>
      </c>
      <c r="C49" s="159">
        <v>1.1055276381909547</v>
      </c>
      <c r="D49" s="159">
        <v>1.1138310893512853</v>
      </c>
      <c r="E49" s="250">
        <v>1.1341948310139165</v>
      </c>
      <c r="F49" s="250">
        <v>1.1025896414342629</v>
      </c>
      <c r="G49" s="250">
        <v>1.1783018867924528</v>
      </c>
      <c r="H49" s="250">
        <v>1.1298850574712644</v>
      </c>
      <c r="I49" s="250">
        <v>1.0920096852300243</v>
      </c>
      <c r="J49" s="250">
        <v>1.1124378109452737</v>
      </c>
      <c r="K49" s="250">
        <f t="shared" si="23"/>
        <v>1.0939977349943375</v>
      </c>
      <c r="L49" s="250">
        <f t="shared" si="23"/>
        <v>1.1012956419316844</v>
      </c>
      <c r="M49" s="250">
        <f t="shared" si="23"/>
        <v>1.1067864271457086</v>
      </c>
      <c r="N49" s="250">
        <f t="shared" si="24"/>
        <v>1.1145703611457036</v>
      </c>
      <c r="O49" s="250">
        <f t="shared" si="24"/>
        <v>1.1105651105651106</v>
      </c>
      <c r="P49" s="250">
        <f t="shared" si="25"/>
        <v>1.1334120425029517</v>
      </c>
      <c r="Q49" s="250">
        <f t="shared" si="25"/>
        <v>1.1282051282051282</v>
      </c>
      <c r="R49" s="250">
        <f t="shared" si="26"/>
        <v>1.1227810650887573</v>
      </c>
      <c r="S49" s="250">
        <f t="shared" si="26"/>
        <v>1.1117021276595744</v>
      </c>
      <c r="T49" s="250">
        <f t="shared" si="27"/>
        <v>1.109375</v>
      </c>
      <c r="U49" s="250">
        <f t="shared" si="27"/>
        <v>1.0956239870340356</v>
      </c>
      <c r="V49" s="250">
        <f t="shared" si="22"/>
        <v>1.1366336633663365</v>
      </c>
      <c r="W49" s="250">
        <f t="shared" ref="W49" si="35">W13/W25</f>
        <v>1.3246753246753247</v>
      </c>
      <c r="X49" s="160">
        <f t="shared" si="22"/>
        <v>1.2345844504021448</v>
      </c>
    </row>
    <row r="50" spans="1:24" x14ac:dyDescent="0.2">
      <c r="A50" s="518"/>
      <c r="B50" s="527"/>
      <c r="C50" s="527"/>
      <c r="D50" s="527"/>
      <c r="E50" s="528"/>
      <c r="F50" s="528"/>
      <c r="G50" s="528"/>
      <c r="H50" s="528"/>
      <c r="I50" s="528"/>
      <c r="J50" s="528"/>
      <c r="K50" s="528"/>
      <c r="L50" s="528"/>
      <c r="M50" s="528"/>
      <c r="N50" s="528">
        <f t="shared" si="24"/>
        <v>1</v>
      </c>
      <c r="O50" s="528"/>
      <c r="P50" s="528"/>
      <c r="Q50" s="528"/>
      <c r="R50" s="528">
        <f t="shared" si="26"/>
        <v>1</v>
      </c>
      <c r="S50" s="528">
        <f t="shared" si="26"/>
        <v>1</v>
      </c>
      <c r="T50" s="528">
        <f t="shared" si="27"/>
        <v>1</v>
      </c>
      <c r="U50" s="528">
        <v>0</v>
      </c>
      <c r="V50" s="528">
        <f t="shared" si="22"/>
        <v>1</v>
      </c>
      <c r="W50" s="528">
        <f t="shared" ref="W50" si="36">W14/W26</f>
        <v>1</v>
      </c>
      <c r="X50" s="593">
        <f t="shared" si="22"/>
        <v>1</v>
      </c>
    </row>
    <row r="51" spans="1:24" ht="13.5" thickBot="1" x14ac:dyDescent="0.25">
      <c r="A51" s="205" t="s">
        <v>20</v>
      </c>
      <c r="B51" s="161">
        <v>1.4623436927212741</v>
      </c>
      <c r="C51" s="161">
        <v>1.3773854342463976</v>
      </c>
      <c r="D51" s="161">
        <v>1.3884049411880506</v>
      </c>
      <c r="E51" s="251">
        <v>1.3253825382538253</v>
      </c>
      <c r="F51" s="251">
        <v>1.3424134105756194</v>
      </c>
      <c r="G51" s="251">
        <v>1.31133770332605</v>
      </c>
      <c r="H51" s="251">
        <v>1.284553263721002</v>
      </c>
      <c r="I51" s="251">
        <v>1.3179328827779073</v>
      </c>
      <c r="J51" s="251">
        <v>1.2147105925417525</v>
      </c>
      <c r="K51" s="251">
        <f>K15/K27</f>
        <v>1.1313536490450817</v>
      </c>
      <c r="L51" s="251">
        <f>L15/L27</f>
        <v>1.1654046112115732</v>
      </c>
      <c r="M51" s="251">
        <f>M15/M27</f>
        <v>1.163069166535371</v>
      </c>
      <c r="N51" s="549">
        <f t="shared" si="24"/>
        <v>1.1955888938647559</v>
      </c>
      <c r="O51" s="549">
        <f t="shared" si="24"/>
        <v>1.1923317239420619</v>
      </c>
      <c r="P51" s="549">
        <f>P15/P27</f>
        <v>1.2011044638748274</v>
      </c>
      <c r="Q51" s="549">
        <f>Q15/Q27</f>
        <v>1.203613707165109</v>
      </c>
      <c r="R51" s="549">
        <f t="shared" si="26"/>
        <v>1.2075432381746196</v>
      </c>
      <c r="S51" s="549">
        <f t="shared" si="26"/>
        <v>1.1840302386014647</v>
      </c>
      <c r="T51" s="549">
        <f t="shared" si="27"/>
        <v>1.1714115240368224</v>
      </c>
      <c r="U51" s="549">
        <f t="shared" si="27"/>
        <v>1.1675449754679266</v>
      </c>
      <c r="V51" s="549">
        <f t="shared" si="22"/>
        <v>1.1954012458776109</v>
      </c>
      <c r="W51" s="549">
        <f t="shared" ref="W51" si="37">W15/W27</f>
        <v>1.2289250476025619</v>
      </c>
      <c r="X51" s="156">
        <f t="shared" si="22"/>
        <v>1.2763925342665501</v>
      </c>
    </row>
    <row r="52" spans="1:24" ht="13.5" thickBot="1" x14ac:dyDescent="0.25">
      <c r="A52" s="42" t="s">
        <v>58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508"/>
      <c r="W52" s="508"/>
      <c r="X52" s="470"/>
    </row>
    <row r="53" spans="1:24" x14ac:dyDescent="0.2">
      <c r="A53" s="211" t="s">
        <v>60</v>
      </c>
      <c r="B53" s="162" t="s">
        <v>73</v>
      </c>
      <c r="C53" s="162" t="s">
        <v>73</v>
      </c>
      <c r="D53" s="162" t="s">
        <v>73</v>
      </c>
      <c r="E53" s="252" t="s">
        <v>73</v>
      </c>
      <c r="F53" s="122" t="s">
        <v>73</v>
      </c>
      <c r="G53" s="122">
        <v>216</v>
      </c>
      <c r="H53" s="122">
        <v>165</v>
      </c>
      <c r="I53" s="240">
        <v>198</v>
      </c>
      <c r="J53" s="240">
        <v>117</v>
      </c>
      <c r="K53" s="240">
        <v>85</v>
      </c>
      <c r="L53" s="240">
        <v>106</v>
      </c>
      <c r="M53" s="240">
        <v>106</v>
      </c>
      <c r="N53" s="240">
        <v>79</v>
      </c>
      <c r="O53" s="240">
        <v>40</v>
      </c>
      <c r="P53" s="240">
        <v>63</v>
      </c>
      <c r="Q53" s="240">
        <v>60</v>
      </c>
      <c r="R53" s="240">
        <v>42</v>
      </c>
      <c r="S53" s="240">
        <v>15</v>
      </c>
      <c r="T53" s="240">
        <v>23</v>
      </c>
      <c r="U53" s="240">
        <v>0</v>
      </c>
      <c r="V53" s="240">
        <v>43</v>
      </c>
      <c r="W53" s="599">
        <v>0</v>
      </c>
      <c r="X53" s="164">
        <v>50</v>
      </c>
    </row>
    <row r="54" spans="1:24" x14ac:dyDescent="0.2">
      <c r="A54" s="203" t="s">
        <v>61</v>
      </c>
      <c r="B54" s="91" t="s">
        <v>73</v>
      </c>
      <c r="C54" s="91" t="s">
        <v>73</v>
      </c>
      <c r="D54" s="91" t="s">
        <v>73</v>
      </c>
      <c r="E54" s="241" t="s">
        <v>73</v>
      </c>
      <c r="F54" s="91" t="s">
        <v>73</v>
      </c>
      <c r="G54" s="91">
        <v>2205</v>
      </c>
      <c r="H54" s="91">
        <v>2151</v>
      </c>
      <c r="I54" s="241">
        <v>1805</v>
      </c>
      <c r="J54" s="241">
        <v>1909</v>
      </c>
      <c r="K54" s="241">
        <v>1690</v>
      </c>
      <c r="L54" s="241">
        <v>2004</v>
      </c>
      <c r="M54" s="241">
        <v>2127</v>
      </c>
      <c r="N54" s="241">
        <v>2128</v>
      </c>
      <c r="O54" s="241">
        <v>2108</v>
      </c>
      <c r="P54" s="241">
        <v>2049</v>
      </c>
      <c r="Q54" s="241">
        <v>1639</v>
      </c>
      <c r="R54" s="241">
        <v>1553</v>
      </c>
      <c r="S54" s="241">
        <v>1446</v>
      </c>
      <c r="T54" s="241">
        <v>1241</v>
      </c>
      <c r="U54" s="241">
        <v>991</v>
      </c>
      <c r="V54" s="241">
        <v>1081</v>
      </c>
      <c r="W54" s="241">
        <v>1047</v>
      </c>
      <c r="X54" s="150">
        <v>1058</v>
      </c>
    </row>
    <row r="55" spans="1:24" x14ac:dyDescent="0.2">
      <c r="A55" s="203" t="s">
        <v>67</v>
      </c>
      <c r="B55" s="91" t="s">
        <v>73</v>
      </c>
      <c r="C55" s="93" t="s">
        <v>73</v>
      </c>
      <c r="D55" s="93" t="s">
        <v>73</v>
      </c>
      <c r="E55" s="242" t="s">
        <v>73</v>
      </c>
      <c r="F55" s="93" t="s">
        <v>73</v>
      </c>
      <c r="G55" s="93">
        <v>685</v>
      </c>
      <c r="H55" s="93">
        <v>661</v>
      </c>
      <c r="I55" s="242">
        <v>530</v>
      </c>
      <c r="J55" s="242">
        <v>557</v>
      </c>
      <c r="K55" s="241">
        <v>448</v>
      </c>
      <c r="L55" s="241">
        <v>414</v>
      </c>
      <c r="M55" s="241">
        <v>484</v>
      </c>
      <c r="N55" s="241">
        <v>446</v>
      </c>
      <c r="O55" s="241">
        <v>428</v>
      </c>
      <c r="P55" s="241">
        <v>402</v>
      </c>
      <c r="Q55" s="241">
        <v>301</v>
      </c>
      <c r="R55" s="241">
        <v>254</v>
      </c>
      <c r="S55" s="241">
        <v>196</v>
      </c>
      <c r="T55" s="241">
        <v>151</v>
      </c>
      <c r="U55" s="241">
        <v>141</v>
      </c>
      <c r="V55" s="241">
        <v>206</v>
      </c>
      <c r="W55" s="241">
        <v>214</v>
      </c>
      <c r="X55" s="150">
        <v>610</v>
      </c>
    </row>
    <row r="56" spans="1:24" x14ac:dyDescent="0.2">
      <c r="A56" s="203" t="s">
        <v>66</v>
      </c>
      <c r="B56" s="91" t="s">
        <v>73</v>
      </c>
      <c r="C56" s="93" t="s">
        <v>73</v>
      </c>
      <c r="D56" s="93" t="s">
        <v>73</v>
      </c>
      <c r="E56" s="242" t="s">
        <v>73</v>
      </c>
      <c r="F56" s="93" t="s">
        <v>73</v>
      </c>
      <c r="G56" s="93">
        <v>3242</v>
      </c>
      <c r="H56" s="93">
        <v>2919</v>
      </c>
      <c r="I56" s="242">
        <v>3054</v>
      </c>
      <c r="J56" s="242">
        <v>3279</v>
      </c>
      <c r="K56" s="241">
        <v>3641</v>
      </c>
      <c r="L56" s="241">
        <v>3782</v>
      </c>
      <c r="M56" s="241">
        <v>4102</v>
      </c>
      <c r="N56" s="241">
        <v>3780</v>
      </c>
      <c r="O56" s="241">
        <v>4060</v>
      </c>
      <c r="P56" s="241">
        <v>3958</v>
      </c>
      <c r="Q56" s="241">
        <v>4095</v>
      </c>
      <c r="R56" s="241">
        <v>3978</v>
      </c>
      <c r="S56" s="241">
        <v>3620</v>
      </c>
      <c r="T56" s="241">
        <v>3579</v>
      </c>
      <c r="U56" s="241">
        <v>3758</v>
      </c>
      <c r="V56" s="241">
        <v>3357</v>
      </c>
      <c r="W56" s="241">
        <v>3818</v>
      </c>
      <c r="X56" s="150">
        <v>4469</v>
      </c>
    </row>
    <row r="57" spans="1:24" x14ac:dyDescent="0.2">
      <c r="A57" s="203" t="s">
        <v>63</v>
      </c>
      <c r="B57" s="91" t="s">
        <v>73</v>
      </c>
      <c r="C57" s="93" t="s">
        <v>73</v>
      </c>
      <c r="D57" s="93" t="s">
        <v>73</v>
      </c>
      <c r="E57" s="242" t="s">
        <v>73</v>
      </c>
      <c r="F57" s="93" t="s">
        <v>73</v>
      </c>
      <c r="G57" s="93">
        <v>1890</v>
      </c>
      <c r="H57" s="93">
        <v>1647</v>
      </c>
      <c r="I57" s="242">
        <v>1661</v>
      </c>
      <c r="J57" s="242">
        <v>455</v>
      </c>
      <c r="K57" s="241">
        <v>350</v>
      </c>
      <c r="L57" s="241">
        <v>1469</v>
      </c>
      <c r="M57" s="241">
        <v>1552</v>
      </c>
      <c r="N57" s="241">
        <v>1581</v>
      </c>
      <c r="O57" s="241">
        <v>1432</v>
      </c>
      <c r="P57" s="241">
        <v>1489</v>
      </c>
      <c r="Q57" s="241">
        <v>1310</v>
      </c>
      <c r="R57" s="241">
        <v>1154</v>
      </c>
      <c r="S57" s="241">
        <v>953</v>
      </c>
      <c r="T57" s="241">
        <v>785</v>
      </c>
      <c r="U57" s="241">
        <v>761</v>
      </c>
      <c r="V57" s="241">
        <v>617</v>
      </c>
      <c r="W57" s="241">
        <v>594</v>
      </c>
      <c r="X57" s="150">
        <v>576</v>
      </c>
    </row>
    <row r="58" spans="1:24" x14ac:dyDescent="0.2">
      <c r="A58" s="203" t="s">
        <v>62</v>
      </c>
      <c r="B58" s="91" t="s">
        <v>73</v>
      </c>
      <c r="C58" s="93" t="s">
        <v>73</v>
      </c>
      <c r="D58" s="93" t="s">
        <v>73</v>
      </c>
      <c r="E58" s="242" t="s">
        <v>73</v>
      </c>
      <c r="F58" s="93" t="s">
        <v>73</v>
      </c>
      <c r="G58" s="93">
        <v>4566</v>
      </c>
      <c r="H58" s="93">
        <v>4131</v>
      </c>
      <c r="I58" s="242">
        <v>3505</v>
      </c>
      <c r="J58" s="242">
        <v>4521</v>
      </c>
      <c r="K58" s="241">
        <v>3745</v>
      </c>
      <c r="L58" s="241">
        <v>3360</v>
      </c>
      <c r="M58" s="241">
        <v>3322</v>
      </c>
      <c r="N58" s="241">
        <v>3206</v>
      </c>
      <c r="O58" s="241">
        <v>2983</v>
      </c>
      <c r="P58" s="241">
        <v>2872</v>
      </c>
      <c r="Q58" s="241">
        <v>2233</v>
      </c>
      <c r="R58" s="241">
        <v>1752</v>
      </c>
      <c r="S58" s="241">
        <v>1494</v>
      </c>
      <c r="T58" s="241">
        <v>1158</v>
      </c>
      <c r="U58" s="241">
        <v>981</v>
      </c>
      <c r="V58" s="241">
        <v>903</v>
      </c>
      <c r="W58" s="241">
        <v>959</v>
      </c>
      <c r="X58" s="150">
        <v>974</v>
      </c>
    </row>
    <row r="59" spans="1:24" x14ac:dyDescent="0.2">
      <c r="A59" s="203" t="s">
        <v>64</v>
      </c>
      <c r="B59" s="91" t="s">
        <v>73</v>
      </c>
      <c r="C59" s="93" t="s">
        <v>73</v>
      </c>
      <c r="D59" s="93" t="s">
        <v>73</v>
      </c>
      <c r="E59" s="242" t="s">
        <v>73</v>
      </c>
      <c r="F59" s="93" t="s">
        <v>73</v>
      </c>
      <c r="G59" s="93">
        <v>1667</v>
      </c>
      <c r="H59" s="93">
        <v>1699</v>
      </c>
      <c r="I59" s="242">
        <v>1619</v>
      </c>
      <c r="J59" s="242">
        <v>1832</v>
      </c>
      <c r="K59" s="241">
        <v>1650</v>
      </c>
      <c r="L59" s="241">
        <v>1341</v>
      </c>
      <c r="M59" s="241">
        <v>2055</v>
      </c>
      <c r="N59" s="241">
        <v>1840</v>
      </c>
      <c r="O59" s="241">
        <v>1637</v>
      </c>
      <c r="P59" s="241">
        <v>1448</v>
      </c>
      <c r="Q59" s="241">
        <v>1454</v>
      </c>
      <c r="R59" s="241">
        <v>1303</v>
      </c>
      <c r="S59" s="241">
        <v>1016</v>
      </c>
      <c r="T59" s="241">
        <v>782</v>
      </c>
      <c r="U59" s="241">
        <v>746</v>
      </c>
      <c r="V59" s="241">
        <v>711</v>
      </c>
      <c r="W59" s="241">
        <v>626</v>
      </c>
      <c r="X59" s="150">
        <v>674</v>
      </c>
    </row>
    <row r="60" spans="1:24" x14ac:dyDescent="0.2">
      <c r="A60" s="203" t="s">
        <v>65</v>
      </c>
      <c r="B60" s="91" t="s">
        <v>73</v>
      </c>
      <c r="C60" s="93" t="s">
        <v>73</v>
      </c>
      <c r="D60" s="93" t="s">
        <v>73</v>
      </c>
      <c r="E60" s="242" t="s">
        <v>73</v>
      </c>
      <c r="F60" s="93" t="s">
        <v>73</v>
      </c>
      <c r="G60" s="93">
        <v>3600</v>
      </c>
      <c r="H60" s="93">
        <v>3369</v>
      </c>
      <c r="I60" s="242">
        <v>3105</v>
      </c>
      <c r="J60" s="242">
        <v>2890</v>
      </c>
      <c r="K60" s="241">
        <v>2688</v>
      </c>
      <c r="L60" s="241">
        <v>3474</v>
      </c>
      <c r="M60" s="241">
        <v>3706</v>
      </c>
      <c r="N60" s="241">
        <v>3657</v>
      </c>
      <c r="O60" s="241">
        <v>3707</v>
      </c>
      <c r="P60" s="241">
        <v>4132</v>
      </c>
      <c r="Q60" s="241">
        <v>3686</v>
      </c>
      <c r="R60" s="241">
        <v>3138</v>
      </c>
      <c r="S60" s="241">
        <v>2588</v>
      </c>
      <c r="T60" s="241">
        <v>2621</v>
      </c>
      <c r="U60" s="241">
        <v>3045</v>
      </c>
      <c r="V60" s="241">
        <v>2873</v>
      </c>
      <c r="W60" s="241">
        <v>3049</v>
      </c>
      <c r="X60" s="150">
        <v>3909</v>
      </c>
    </row>
    <row r="61" spans="1:24" x14ac:dyDescent="0.2">
      <c r="A61" s="204" t="s">
        <v>68</v>
      </c>
      <c r="B61" s="127" t="s">
        <v>73</v>
      </c>
      <c r="C61" s="151" t="s">
        <v>73</v>
      </c>
      <c r="D61" s="151" t="s">
        <v>73</v>
      </c>
      <c r="E61" s="243" t="s">
        <v>73</v>
      </c>
      <c r="F61" s="151" t="s">
        <v>73</v>
      </c>
      <c r="G61" s="151">
        <v>975</v>
      </c>
      <c r="H61" s="151">
        <v>784</v>
      </c>
      <c r="I61" s="243">
        <v>749</v>
      </c>
      <c r="J61" s="243">
        <v>890</v>
      </c>
      <c r="K61" s="465">
        <v>793</v>
      </c>
      <c r="L61" s="465">
        <v>771</v>
      </c>
      <c r="M61" s="465">
        <v>891</v>
      </c>
      <c r="N61" s="465">
        <v>721</v>
      </c>
      <c r="O61" s="465">
        <v>703</v>
      </c>
      <c r="P61" s="465">
        <v>751</v>
      </c>
      <c r="Q61" s="465">
        <v>665</v>
      </c>
      <c r="R61" s="465">
        <v>594</v>
      </c>
      <c r="S61" s="465">
        <v>670</v>
      </c>
      <c r="T61" s="465">
        <v>588</v>
      </c>
      <c r="U61" s="465">
        <v>593</v>
      </c>
      <c r="V61" s="465">
        <v>459</v>
      </c>
      <c r="W61" s="465">
        <v>650</v>
      </c>
      <c r="X61" s="152">
        <v>678</v>
      </c>
    </row>
    <row r="62" spans="1:24" x14ac:dyDescent="0.2">
      <c r="A62" s="518"/>
      <c r="B62" s="519"/>
      <c r="C62" s="520"/>
      <c r="D62" s="520"/>
      <c r="E62" s="521"/>
      <c r="F62" s="520"/>
      <c r="G62" s="520"/>
      <c r="H62" s="520"/>
      <c r="I62" s="521"/>
      <c r="J62" s="521"/>
      <c r="K62" s="522"/>
      <c r="L62" s="522"/>
      <c r="M62" s="522"/>
      <c r="N62" s="522">
        <v>16</v>
      </c>
      <c r="O62" s="522"/>
      <c r="P62" s="522"/>
      <c r="Q62" s="522"/>
      <c r="R62" s="522">
        <v>12</v>
      </c>
      <c r="S62" s="522">
        <v>8</v>
      </c>
      <c r="T62" s="522">
        <v>5</v>
      </c>
      <c r="U62" s="522">
        <v>0</v>
      </c>
      <c r="V62" s="522">
        <v>13</v>
      </c>
      <c r="W62" s="522">
        <v>10</v>
      </c>
      <c r="X62" s="164">
        <v>11</v>
      </c>
    </row>
    <row r="63" spans="1:24" ht="13.5" thickBot="1" x14ac:dyDescent="0.25">
      <c r="A63" s="205" t="s">
        <v>20</v>
      </c>
      <c r="B63" s="129" t="s">
        <v>73</v>
      </c>
      <c r="C63" s="129" t="s">
        <v>73</v>
      </c>
      <c r="D63" s="129" t="s">
        <v>73</v>
      </c>
      <c r="E63" s="244" t="s">
        <v>73</v>
      </c>
      <c r="F63" s="129" t="s">
        <v>73</v>
      </c>
      <c r="G63" s="129">
        <v>17577</v>
      </c>
      <c r="H63" s="129">
        <v>16309</v>
      </c>
      <c r="I63" s="244">
        <v>14989</v>
      </c>
      <c r="J63" s="244">
        <v>15600</v>
      </c>
      <c r="K63" s="244">
        <v>14593</v>
      </c>
      <c r="L63" s="244">
        <v>15972</v>
      </c>
      <c r="M63" s="244">
        <v>17418</v>
      </c>
      <c r="N63" s="244">
        <v>16458</v>
      </c>
      <c r="O63" s="244">
        <f>+'voš_druh studia '!G59</f>
        <v>16196</v>
      </c>
      <c r="P63" s="244">
        <f>+'voš_druh studia '!G63</f>
        <v>16264</v>
      </c>
      <c r="Q63" s="244">
        <f>+'voš_druh studia '!G67</f>
        <v>14740</v>
      </c>
      <c r="R63" s="244">
        <f>+'voš_druh studia '!G71</f>
        <v>13149</v>
      </c>
      <c r="S63" s="244">
        <f>+'voš_druh studia '!G75</f>
        <v>11550</v>
      </c>
      <c r="T63" s="244">
        <f>+'voš_druh studia '!G79</f>
        <v>10614</v>
      </c>
      <c r="U63" s="244">
        <f>+'voš_druh studia '!G83</f>
        <v>10154</v>
      </c>
      <c r="V63" s="244">
        <f>+'voš_druh studia '!G87</f>
        <v>9930</v>
      </c>
      <c r="W63" s="244">
        <f>+'voš_druh studia '!G91</f>
        <v>10637</v>
      </c>
      <c r="X63" s="153">
        <f>+'voš_druh studia '!G95</f>
        <v>12466</v>
      </c>
    </row>
    <row r="64" spans="1:24" ht="13.5" thickBot="1" x14ac:dyDescent="0.25">
      <c r="A64" s="42" t="s">
        <v>23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508"/>
      <c r="M64" s="508"/>
      <c r="N64" s="508"/>
      <c r="O64" s="508"/>
      <c r="P64" s="508"/>
      <c r="Q64" s="508"/>
      <c r="R64" s="508"/>
      <c r="S64" s="508"/>
      <c r="T64" s="508"/>
      <c r="U64" s="508"/>
      <c r="V64" s="508"/>
      <c r="W64" s="508"/>
      <c r="X64" s="470"/>
    </row>
    <row r="65" spans="1:24" x14ac:dyDescent="0.2">
      <c r="A65" s="211" t="s">
        <v>60</v>
      </c>
      <c r="B65" s="162">
        <v>170</v>
      </c>
      <c r="C65" s="162">
        <v>85</v>
      </c>
      <c r="D65" s="162">
        <v>174</v>
      </c>
      <c r="E65" s="252">
        <v>187</v>
      </c>
      <c r="F65" s="252">
        <v>207</v>
      </c>
      <c r="G65" s="252">
        <v>171</v>
      </c>
      <c r="H65" s="252">
        <v>153</v>
      </c>
      <c r="I65" s="252">
        <v>185</v>
      </c>
      <c r="J65" s="252">
        <v>117</v>
      </c>
      <c r="K65" s="252">
        <v>79</v>
      </c>
      <c r="L65" s="252">
        <v>106</v>
      </c>
      <c r="M65" s="252">
        <v>103</v>
      </c>
      <c r="N65" s="252">
        <v>79</v>
      </c>
      <c r="O65" s="252">
        <v>40</v>
      </c>
      <c r="P65" s="252">
        <v>63</v>
      </c>
      <c r="Q65" s="252">
        <v>58</v>
      </c>
      <c r="R65" s="252">
        <v>42</v>
      </c>
      <c r="S65" s="252">
        <v>13</v>
      </c>
      <c r="T65" s="252">
        <v>17</v>
      </c>
      <c r="U65" s="252">
        <v>0</v>
      </c>
      <c r="V65" s="252">
        <v>43</v>
      </c>
      <c r="W65" s="252">
        <v>0</v>
      </c>
      <c r="X65" s="164">
        <v>49</v>
      </c>
    </row>
    <row r="66" spans="1:24" x14ac:dyDescent="0.2">
      <c r="A66" s="203" t="s">
        <v>61</v>
      </c>
      <c r="B66" s="91">
        <v>2252</v>
      </c>
      <c r="C66" s="91">
        <v>1044</v>
      </c>
      <c r="D66" s="91">
        <v>2059</v>
      </c>
      <c r="E66" s="241">
        <v>2379</v>
      </c>
      <c r="F66" s="241">
        <v>2544</v>
      </c>
      <c r="G66" s="241">
        <v>1961</v>
      </c>
      <c r="H66" s="241">
        <v>1989</v>
      </c>
      <c r="I66" s="241">
        <v>1649</v>
      </c>
      <c r="J66" s="241">
        <v>1757</v>
      </c>
      <c r="K66" s="241">
        <v>1524</v>
      </c>
      <c r="L66" s="241">
        <v>1767</v>
      </c>
      <c r="M66" s="241">
        <v>1965</v>
      </c>
      <c r="N66" s="241">
        <v>1915</v>
      </c>
      <c r="O66" s="241">
        <v>1928</v>
      </c>
      <c r="P66" s="241">
        <v>1857</v>
      </c>
      <c r="Q66" s="241">
        <v>1571</v>
      </c>
      <c r="R66" s="241">
        <v>1467</v>
      </c>
      <c r="S66" s="241">
        <v>1364</v>
      </c>
      <c r="T66" s="241">
        <v>1175</v>
      </c>
      <c r="U66" s="241">
        <v>936</v>
      </c>
      <c r="V66" s="241">
        <v>1012</v>
      </c>
      <c r="W66" s="241">
        <v>991</v>
      </c>
      <c r="X66" s="150">
        <v>984</v>
      </c>
    </row>
    <row r="67" spans="1:24" x14ac:dyDescent="0.2">
      <c r="A67" s="203" t="s">
        <v>67</v>
      </c>
      <c r="B67" s="91">
        <v>590</v>
      </c>
      <c r="C67" s="93">
        <v>282</v>
      </c>
      <c r="D67" s="93">
        <v>506</v>
      </c>
      <c r="E67" s="242">
        <v>534</v>
      </c>
      <c r="F67" s="242">
        <v>600</v>
      </c>
      <c r="G67" s="242">
        <v>548</v>
      </c>
      <c r="H67" s="242">
        <v>584</v>
      </c>
      <c r="I67" s="242">
        <v>467</v>
      </c>
      <c r="J67" s="242">
        <v>469</v>
      </c>
      <c r="K67" s="241">
        <v>384</v>
      </c>
      <c r="L67" s="241">
        <v>344</v>
      </c>
      <c r="M67" s="241">
        <v>444</v>
      </c>
      <c r="N67" s="241">
        <v>407</v>
      </c>
      <c r="O67" s="241">
        <v>407</v>
      </c>
      <c r="P67" s="241">
        <v>384</v>
      </c>
      <c r="Q67" s="241">
        <v>276</v>
      </c>
      <c r="R67" s="241">
        <v>250</v>
      </c>
      <c r="S67" s="241">
        <v>192</v>
      </c>
      <c r="T67" s="241">
        <v>149</v>
      </c>
      <c r="U67" s="241">
        <v>140</v>
      </c>
      <c r="V67" s="241">
        <v>205</v>
      </c>
      <c r="W67" s="241">
        <v>198</v>
      </c>
      <c r="X67" s="150">
        <v>430</v>
      </c>
    </row>
    <row r="68" spans="1:24" x14ac:dyDescent="0.2">
      <c r="A68" s="203" t="s">
        <v>66</v>
      </c>
      <c r="B68" s="91">
        <v>3177</v>
      </c>
      <c r="C68" s="93">
        <v>2268</v>
      </c>
      <c r="D68" s="93">
        <v>2993</v>
      </c>
      <c r="E68" s="242">
        <v>3109</v>
      </c>
      <c r="F68" s="242">
        <v>3455</v>
      </c>
      <c r="G68" s="242">
        <v>2520</v>
      </c>
      <c r="H68" s="242">
        <v>2410</v>
      </c>
      <c r="I68" s="242">
        <v>2538</v>
      </c>
      <c r="J68" s="242">
        <v>2567</v>
      </c>
      <c r="K68" s="241">
        <v>2902</v>
      </c>
      <c r="L68" s="241">
        <v>3031</v>
      </c>
      <c r="M68" s="241">
        <v>3077</v>
      </c>
      <c r="N68" s="241">
        <v>3085</v>
      </c>
      <c r="O68" s="241">
        <v>3405</v>
      </c>
      <c r="P68" s="241">
        <v>3218</v>
      </c>
      <c r="Q68" s="241">
        <v>3221</v>
      </c>
      <c r="R68" s="241">
        <v>3205</v>
      </c>
      <c r="S68" s="241">
        <v>2978</v>
      </c>
      <c r="T68" s="241">
        <v>3003</v>
      </c>
      <c r="U68" s="241">
        <v>2846</v>
      </c>
      <c r="V68" s="241">
        <v>2779</v>
      </c>
      <c r="W68" s="241">
        <v>3033</v>
      </c>
      <c r="X68" s="150">
        <v>3575</v>
      </c>
    </row>
    <row r="69" spans="1:24" x14ac:dyDescent="0.2">
      <c r="A69" s="203" t="s">
        <v>63</v>
      </c>
      <c r="B69" s="91">
        <v>668</v>
      </c>
      <c r="C69" s="93">
        <v>566</v>
      </c>
      <c r="D69" s="93">
        <v>567</v>
      </c>
      <c r="E69" s="242">
        <v>343</v>
      </c>
      <c r="F69" s="242">
        <v>372</v>
      </c>
      <c r="G69" s="242">
        <v>1381</v>
      </c>
      <c r="H69" s="242">
        <v>1365</v>
      </c>
      <c r="I69" s="242">
        <v>1421</v>
      </c>
      <c r="J69" s="242">
        <v>436</v>
      </c>
      <c r="K69" s="241">
        <v>348</v>
      </c>
      <c r="L69" s="241">
        <v>1291</v>
      </c>
      <c r="M69" s="241">
        <v>1373</v>
      </c>
      <c r="N69" s="241">
        <v>1376</v>
      </c>
      <c r="O69" s="241">
        <v>1290</v>
      </c>
      <c r="P69" s="241">
        <v>1432</v>
      </c>
      <c r="Q69" s="241">
        <v>1284</v>
      </c>
      <c r="R69" s="241">
        <v>1116</v>
      </c>
      <c r="S69" s="241">
        <v>926</v>
      </c>
      <c r="T69" s="241">
        <v>762</v>
      </c>
      <c r="U69" s="241">
        <v>744</v>
      </c>
      <c r="V69" s="241">
        <v>613</v>
      </c>
      <c r="W69" s="241">
        <v>586</v>
      </c>
      <c r="X69" s="150">
        <v>562</v>
      </c>
    </row>
    <row r="70" spans="1:24" x14ac:dyDescent="0.2">
      <c r="A70" s="203" t="s">
        <v>62</v>
      </c>
      <c r="B70" s="91">
        <v>5218</v>
      </c>
      <c r="C70" s="93">
        <v>3286</v>
      </c>
      <c r="D70" s="93">
        <v>4670</v>
      </c>
      <c r="E70" s="242">
        <v>4783</v>
      </c>
      <c r="F70" s="242">
        <v>4888</v>
      </c>
      <c r="G70" s="242">
        <v>3642</v>
      </c>
      <c r="H70" s="242">
        <v>3399</v>
      </c>
      <c r="I70" s="242">
        <v>2996</v>
      </c>
      <c r="J70" s="242">
        <v>4226</v>
      </c>
      <c r="K70" s="241">
        <v>3387</v>
      </c>
      <c r="L70" s="241">
        <v>3018</v>
      </c>
      <c r="M70" s="241">
        <v>2922</v>
      </c>
      <c r="N70" s="241">
        <v>2813</v>
      </c>
      <c r="O70" s="241">
        <v>2643</v>
      </c>
      <c r="P70" s="241">
        <v>2492</v>
      </c>
      <c r="Q70" s="241">
        <v>2020</v>
      </c>
      <c r="R70" s="241">
        <v>1645</v>
      </c>
      <c r="S70" s="241">
        <v>1420</v>
      </c>
      <c r="T70" s="241">
        <v>1103</v>
      </c>
      <c r="U70" s="241">
        <v>907</v>
      </c>
      <c r="V70" s="241">
        <v>854</v>
      </c>
      <c r="W70" s="241">
        <v>870</v>
      </c>
      <c r="X70" s="150">
        <v>920</v>
      </c>
    </row>
    <row r="71" spans="1:24" x14ac:dyDescent="0.2">
      <c r="A71" s="203" t="s">
        <v>64</v>
      </c>
      <c r="B71" s="91">
        <v>1724</v>
      </c>
      <c r="C71" s="93">
        <v>1322</v>
      </c>
      <c r="D71" s="93">
        <v>1212</v>
      </c>
      <c r="E71" s="242">
        <v>1556</v>
      </c>
      <c r="F71" s="242">
        <v>1426</v>
      </c>
      <c r="G71" s="242">
        <v>1200</v>
      </c>
      <c r="H71" s="242">
        <v>1302</v>
      </c>
      <c r="I71" s="242">
        <v>1251</v>
      </c>
      <c r="J71" s="242">
        <v>1671</v>
      </c>
      <c r="K71" s="241">
        <v>1499</v>
      </c>
      <c r="L71" s="241">
        <v>1244</v>
      </c>
      <c r="M71" s="241">
        <v>1607</v>
      </c>
      <c r="N71" s="241">
        <v>1413</v>
      </c>
      <c r="O71" s="241">
        <v>1303</v>
      </c>
      <c r="P71" s="241">
        <v>1258</v>
      </c>
      <c r="Q71" s="241">
        <v>1249</v>
      </c>
      <c r="R71" s="241">
        <v>1147</v>
      </c>
      <c r="S71" s="241">
        <v>898</v>
      </c>
      <c r="T71" s="241">
        <v>696</v>
      </c>
      <c r="U71" s="241">
        <v>635</v>
      </c>
      <c r="V71" s="241">
        <v>644</v>
      </c>
      <c r="W71" s="241">
        <v>568</v>
      </c>
      <c r="X71" s="150">
        <v>596</v>
      </c>
    </row>
    <row r="72" spans="1:24" x14ac:dyDescent="0.2">
      <c r="A72" s="203" t="s">
        <v>65</v>
      </c>
      <c r="B72" s="91">
        <v>1766</v>
      </c>
      <c r="C72" s="93">
        <v>1640</v>
      </c>
      <c r="D72" s="93">
        <v>1812</v>
      </c>
      <c r="E72" s="242">
        <v>1924</v>
      </c>
      <c r="F72" s="242">
        <v>1956</v>
      </c>
      <c r="G72" s="242">
        <v>1821</v>
      </c>
      <c r="H72" s="242">
        <v>1981</v>
      </c>
      <c r="I72" s="242">
        <v>2062</v>
      </c>
      <c r="J72" s="242">
        <v>2152</v>
      </c>
      <c r="K72" s="241">
        <v>2246</v>
      </c>
      <c r="L72" s="241">
        <v>2863</v>
      </c>
      <c r="M72" s="241">
        <v>2817</v>
      </c>
      <c r="N72" s="241">
        <v>2664</v>
      </c>
      <c r="O72" s="241">
        <v>2719</v>
      </c>
      <c r="P72" s="241">
        <v>2883</v>
      </c>
      <c r="Q72" s="241">
        <v>2768</v>
      </c>
      <c r="R72" s="241">
        <v>2644</v>
      </c>
      <c r="S72" s="241">
        <v>2333</v>
      </c>
      <c r="T72" s="241">
        <v>2391</v>
      </c>
      <c r="U72" s="241">
        <v>2589</v>
      </c>
      <c r="V72" s="241">
        <v>2574</v>
      </c>
      <c r="W72" s="241">
        <v>2610</v>
      </c>
      <c r="X72" s="150">
        <v>3344</v>
      </c>
    </row>
    <row r="73" spans="1:24" x14ac:dyDescent="0.2">
      <c r="A73" s="204" t="s">
        <v>68</v>
      </c>
      <c r="B73" s="127">
        <v>366</v>
      </c>
      <c r="C73" s="151">
        <v>297</v>
      </c>
      <c r="D73" s="151">
        <v>374</v>
      </c>
      <c r="E73" s="243">
        <v>450</v>
      </c>
      <c r="F73" s="243">
        <v>387</v>
      </c>
      <c r="G73" s="243">
        <v>493</v>
      </c>
      <c r="H73" s="243">
        <v>489</v>
      </c>
      <c r="I73" s="243">
        <v>519</v>
      </c>
      <c r="J73" s="243">
        <v>579</v>
      </c>
      <c r="K73" s="465">
        <v>526</v>
      </c>
      <c r="L73" s="465">
        <v>513</v>
      </c>
      <c r="M73" s="465">
        <v>576</v>
      </c>
      <c r="N73" s="465">
        <v>502</v>
      </c>
      <c r="O73" s="465">
        <v>507</v>
      </c>
      <c r="P73" s="465">
        <v>553</v>
      </c>
      <c r="Q73" s="465">
        <v>475</v>
      </c>
      <c r="R73" s="465">
        <v>461</v>
      </c>
      <c r="S73" s="465">
        <v>545</v>
      </c>
      <c r="T73" s="465">
        <v>465</v>
      </c>
      <c r="U73" s="465">
        <v>442</v>
      </c>
      <c r="V73" s="465">
        <v>388</v>
      </c>
      <c r="W73" s="465">
        <v>539</v>
      </c>
      <c r="X73" s="152">
        <v>577</v>
      </c>
    </row>
    <row r="74" spans="1:24" x14ac:dyDescent="0.2">
      <c r="A74" s="518"/>
      <c r="B74" s="519"/>
      <c r="C74" s="520"/>
      <c r="D74" s="520"/>
      <c r="E74" s="521"/>
      <c r="F74" s="521"/>
      <c r="G74" s="521"/>
      <c r="H74" s="521"/>
      <c r="I74" s="521"/>
      <c r="J74" s="521"/>
      <c r="K74" s="522"/>
      <c r="L74" s="522"/>
      <c r="M74" s="522"/>
      <c r="N74" s="522">
        <v>16</v>
      </c>
      <c r="O74" s="522"/>
      <c r="P74" s="522"/>
      <c r="Q74" s="522"/>
      <c r="R74" s="522">
        <v>10</v>
      </c>
      <c r="S74" s="522">
        <v>8</v>
      </c>
      <c r="T74" s="522">
        <v>3</v>
      </c>
      <c r="U74" s="522">
        <v>0</v>
      </c>
      <c r="V74" s="522">
        <v>13</v>
      </c>
      <c r="W74" s="522">
        <v>10</v>
      </c>
      <c r="X74" s="164">
        <v>11</v>
      </c>
    </row>
    <row r="75" spans="1:24" ht="13.5" thickBot="1" x14ac:dyDescent="0.25">
      <c r="A75" s="205" t="s">
        <v>20</v>
      </c>
      <c r="B75" s="129">
        <v>15398</v>
      </c>
      <c r="C75" s="129">
        <v>10446</v>
      </c>
      <c r="D75" s="129">
        <v>13870</v>
      </c>
      <c r="E75" s="244">
        <v>14823</v>
      </c>
      <c r="F75" s="244">
        <v>15507</v>
      </c>
      <c r="G75" s="244">
        <v>13361</v>
      </c>
      <c r="H75" s="244">
        <v>13203</v>
      </c>
      <c r="I75" s="244">
        <v>12645</v>
      </c>
      <c r="J75" s="244">
        <v>13629</v>
      </c>
      <c r="K75" s="244">
        <v>12593</v>
      </c>
      <c r="L75" s="244">
        <v>13741</v>
      </c>
      <c r="M75" s="244">
        <v>14447</v>
      </c>
      <c r="N75" s="244">
        <v>13820</v>
      </c>
      <c r="O75" s="244">
        <f>+'voš_druh studia '!H59</f>
        <v>13798</v>
      </c>
      <c r="P75" s="244">
        <f>+'voš_druh studia '!H63</f>
        <v>13740</v>
      </c>
      <c r="Q75" s="244">
        <f>+'voš_druh studia '!H67</f>
        <v>12482</v>
      </c>
      <c r="R75" s="244">
        <f>+'voš_druh studia '!H71</f>
        <v>11580</v>
      </c>
      <c r="S75" s="244">
        <f>+'voš_druh studia '!H75</f>
        <v>10362</v>
      </c>
      <c r="T75" s="244">
        <f>+'voš_druh studia '!H79</f>
        <v>9825</v>
      </c>
      <c r="U75" s="244">
        <f>+'voš_druh studia '!H83</f>
        <v>9028</v>
      </c>
      <c r="V75" s="244">
        <f>+'voš_druh studia '!H87</f>
        <v>8900</v>
      </c>
      <c r="W75" s="244">
        <f>+'voš_druh studia '!H91</f>
        <v>9212</v>
      </c>
      <c r="X75" s="153">
        <f>+'voš_druh studia '!H95</f>
        <v>10793</v>
      </c>
    </row>
    <row r="76" spans="1:24" ht="13.5" thickBot="1" x14ac:dyDescent="0.25">
      <c r="A76" s="42" t="s">
        <v>79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470"/>
    </row>
    <row r="77" spans="1:24" x14ac:dyDescent="0.2">
      <c r="A77" s="208" t="s">
        <v>60</v>
      </c>
      <c r="B77" s="154">
        <v>0.52795031055900621</v>
      </c>
      <c r="C77" s="154">
        <v>0.68</v>
      </c>
      <c r="D77" s="154">
        <v>0.61484098939929333</v>
      </c>
      <c r="E77" s="245">
        <v>0.73333333333333328</v>
      </c>
      <c r="F77" s="124">
        <v>0.5847457627118644</v>
      </c>
      <c r="G77" s="124">
        <v>0.79166666666666663</v>
      </c>
      <c r="H77" s="124">
        <v>0.92727272727272725</v>
      </c>
      <c r="I77" s="359">
        <v>0.93434343434343436</v>
      </c>
      <c r="J77" s="359">
        <v>1</v>
      </c>
      <c r="K77" s="359">
        <f t="shared" ref="K77:P77" si="38">K65/K53</f>
        <v>0.92941176470588238</v>
      </c>
      <c r="L77" s="359">
        <f t="shared" si="38"/>
        <v>1</v>
      </c>
      <c r="M77" s="359">
        <f t="shared" si="38"/>
        <v>0.97169811320754718</v>
      </c>
      <c r="N77" s="359">
        <f t="shared" si="38"/>
        <v>1</v>
      </c>
      <c r="O77" s="359">
        <f t="shared" si="38"/>
        <v>1</v>
      </c>
      <c r="P77" s="359">
        <f t="shared" si="38"/>
        <v>1</v>
      </c>
      <c r="Q77" s="359">
        <f>Q65/Q53</f>
        <v>0.96666666666666667</v>
      </c>
      <c r="R77" s="359">
        <f>R65/R53</f>
        <v>1</v>
      </c>
      <c r="S77" s="359">
        <f>S65/S53</f>
        <v>0.8666666666666667</v>
      </c>
      <c r="T77" s="359">
        <f>T65/T53</f>
        <v>0.73913043478260865</v>
      </c>
      <c r="U77" s="359" t="s">
        <v>149</v>
      </c>
      <c r="V77" s="359">
        <f t="shared" ref="V77:X87" si="39">V65/V53</f>
        <v>1</v>
      </c>
      <c r="W77" s="359" t="s">
        <v>149</v>
      </c>
      <c r="X77" s="125" t="s">
        <v>149</v>
      </c>
    </row>
    <row r="78" spans="1:24" x14ac:dyDescent="0.2">
      <c r="A78" s="209" t="s">
        <v>61</v>
      </c>
      <c r="B78" s="63">
        <v>0.65983006152944623</v>
      </c>
      <c r="C78" s="63">
        <v>0.76708302718589272</v>
      </c>
      <c r="D78" s="63">
        <v>0.73825743994263182</v>
      </c>
      <c r="E78" s="246">
        <v>0.72112761442861473</v>
      </c>
      <c r="F78" s="63">
        <v>0.69036635006784264</v>
      </c>
      <c r="G78" s="63">
        <v>0.88934240362811789</v>
      </c>
      <c r="H78" s="63">
        <v>0.92468619246861927</v>
      </c>
      <c r="I78" s="246">
        <v>0.91357340720221603</v>
      </c>
      <c r="J78" s="246">
        <v>0.92037716081718179</v>
      </c>
      <c r="K78" s="246">
        <f t="shared" ref="K78:M85" si="40">K66/K54</f>
        <v>0.90177514792899405</v>
      </c>
      <c r="L78" s="246">
        <f t="shared" si="40"/>
        <v>0.88173652694610782</v>
      </c>
      <c r="M78" s="246">
        <f t="shared" si="40"/>
        <v>0.92383638928067702</v>
      </c>
      <c r="N78" s="246">
        <f t="shared" ref="N78:O87" si="41">N66/N54</f>
        <v>0.89990601503759393</v>
      </c>
      <c r="O78" s="246">
        <f t="shared" si="41"/>
        <v>0.91461100569259957</v>
      </c>
      <c r="P78" s="246">
        <f t="shared" ref="P78:Q85" si="42">P66/P54</f>
        <v>0.90629575402635432</v>
      </c>
      <c r="Q78" s="246">
        <f t="shared" si="42"/>
        <v>0.95851128737034774</v>
      </c>
      <c r="R78" s="246">
        <f t="shared" ref="R78:S87" si="43">R66/R54</f>
        <v>0.94462330972311659</v>
      </c>
      <c r="S78" s="246">
        <f t="shared" si="43"/>
        <v>0.9432918395573997</v>
      </c>
      <c r="T78" s="246">
        <f t="shared" ref="T78:U87" si="44">T66/T54</f>
        <v>0.9468170829975826</v>
      </c>
      <c r="U78" s="246">
        <f t="shared" si="44"/>
        <v>0.94450050454086776</v>
      </c>
      <c r="V78" s="246">
        <f t="shared" si="39"/>
        <v>0.93617021276595747</v>
      </c>
      <c r="W78" s="246">
        <f t="shared" ref="W78" si="45">W66/W54</f>
        <v>0.94651384909264569</v>
      </c>
      <c r="X78" s="64">
        <f t="shared" si="39"/>
        <v>0.93005671077504726</v>
      </c>
    </row>
    <row r="79" spans="1:24" x14ac:dyDescent="0.2">
      <c r="A79" s="209" t="s">
        <v>67</v>
      </c>
      <c r="B79" s="63">
        <v>0.69657615112160565</v>
      </c>
      <c r="C79" s="63">
        <v>0.69801980198019797</v>
      </c>
      <c r="D79" s="63">
        <v>0.66666666666666663</v>
      </c>
      <c r="E79" s="246">
        <v>0.68199233716475094</v>
      </c>
      <c r="F79" s="63">
        <v>0.59940059940059942</v>
      </c>
      <c r="G79" s="63">
        <v>0.8</v>
      </c>
      <c r="H79" s="63">
        <v>0.88350983358547652</v>
      </c>
      <c r="I79" s="246">
        <v>0.88113207547169814</v>
      </c>
      <c r="J79" s="246">
        <v>0.84201077199281871</v>
      </c>
      <c r="K79" s="246">
        <f t="shared" si="40"/>
        <v>0.8571428571428571</v>
      </c>
      <c r="L79" s="246">
        <f t="shared" si="40"/>
        <v>0.83091787439613529</v>
      </c>
      <c r="M79" s="246">
        <f t="shared" si="40"/>
        <v>0.9173553719008265</v>
      </c>
      <c r="N79" s="246">
        <f t="shared" si="41"/>
        <v>0.91255605381165916</v>
      </c>
      <c r="O79" s="246">
        <f t="shared" si="41"/>
        <v>0.9509345794392523</v>
      </c>
      <c r="P79" s="246">
        <f t="shared" si="42"/>
        <v>0.95522388059701491</v>
      </c>
      <c r="Q79" s="246">
        <f t="shared" si="42"/>
        <v>0.9169435215946844</v>
      </c>
      <c r="R79" s="246">
        <f t="shared" si="43"/>
        <v>0.98425196850393704</v>
      </c>
      <c r="S79" s="246">
        <f t="shared" si="43"/>
        <v>0.97959183673469385</v>
      </c>
      <c r="T79" s="246">
        <f t="shared" si="44"/>
        <v>0.98675496688741726</v>
      </c>
      <c r="U79" s="246">
        <f t="shared" si="44"/>
        <v>0.99290780141843971</v>
      </c>
      <c r="V79" s="246">
        <f t="shared" si="39"/>
        <v>0.99514563106796117</v>
      </c>
      <c r="W79" s="246">
        <f t="shared" ref="W79" si="46">W67/W55</f>
        <v>0.92523364485981308</v>
      </c>
      <c r="X79" s="64">
        <f t="shared" si="39"/>
        <v>0.70491803278688525</v>
      </c>
    </row>
    <row r="80" spans="1:24" ht="13.7" customHeight="1" x14ac:dyDescent="0.2">
      <c r="A80" s="209" t="s">
        <v>66</v>
      </c>
      <c r="B80" s="63">
        <v>0.66297996661101832</v>
      </c>
      <c r="C80" s="63">
        <v>0.7311411992263056</v>
      </c>
      <c r="D80" s="63">
        <v>0.72469733656174329</v>
      </c>
      <c r="E80" s="246">
        <v>0.71193038699335931</v>
      </c>
      <c r="F80" s="63">
        <v>0.64076409495548958</v>
      </c>
      <c r="G80" s="63">
        <v>0.7772979642196175</v>
      </c>
      <c r="H80" s="63">
        <v>0.8256252141144228</v>
      </c>
      <c r="I80" s="246">
        <v>0.83104125736738699</v>
      </c>
      <c r="J80" s="246">
        <v>0.78286062824031721</v>
      </c>
      <c r="K80" s="246">
        <f t="shared" si="40"/>
        <v>0.79703378192804175</v>
      </c>
      <c r="L80" s="246">
        <f t="shared" si="40"/>
        <v>0.80142781597038604</v>
      </c>
      <c r="M80" s="246">
        <f t="shared" si="40"/>
        <v>0.75012189176011701</v>
      </c>
      <c r="N80" s="246">
        <f t="shared" si="41"/>
        <v>0.81613756613756616</v>
      </c>
      <c r="O80" s="246">
        <f t="shared" si="41"/>
        <v>0.83866995073891626</v>
      </c>
      <c r="P80" s="246">
        <f t="shared" si="42"/>
        <v>0.81303688731682666</v>
      </c>
      <c r="Q80" s="246">
        <f t="shared" si="42"/>
        <v>0.78656898656898655</v>
      </c>
      <c r="R80" s="246">
        <f t="shared" si="43"/>
        <v>0.80568124685771747</v>
      </c>
      <c r="S80" s="246">
        <f t="shared" si="43"/>
        <v>0.82265193370165746</v>
      </c>
      <c r="T80" s="246">
        <f t="shared" si="44"/>
        <v>0.83906119027661363</v>
      </c>
      <c r="U80" s="246">
        <f t="shared" si="44"/>
        <v>0.7573177221926557</v>
      </c>
      <c r="V80" s="246">
        <f t="shared" si="39"/>
        <v>0.82782246053023534</v>
      </c>
      <c r="W80" s="246">
        <f t="shared" ref="W80" si="47">W68/W56</f>
        <v>0.79439497118910429</v>
      </c>
      <c r="X80" s="64">
        <f t="shared" si="39"/>
        <v>0.79995524725889455</v>
      </c>
    </row>
    <row r="81" spans="1:24" x14ac:dyDescent="0.2">
      <c r="A81" s="209" t="s">
        <v>63</v>
      </c>
      <c r="B81" s="63">
        <v>0.36324089178901575</v>
      </c>
      <c r="C81" s="63">
        <v>0.34852216748768472</v>
      </c>
      <c r="D81" s="63">
        <v>0.46361406377759606</v>
      </c>
      <c r="E81" s="246">
        <v>0.46540027137042062</v>
      </c>
      <c r="F81" s="63">
        <v>0.53679653679653683</v>
      </c>
      <c r="G81" s="63">
        <v>0.73068783068783072</v>
      </c>
      <c r="H81" s="63">
        <v>0.82877959927140255</v>
      </c>
      <c r="I81" s="246">
        <v>0.85550872968091507</v>
      </c>
      <c r="J81" s="246">
        <v>0.95824175824175828</v>
      </c>
      <c r="K81" s="246">
        <f t="shared" si="40"/>
        <v>0.99428571428571433</v>
      </c>
      <c r="L81" s="246">
        <f t="shared" si="40"/>
        <v>0.87882913546630359</v>
      </c>
      <c r="M81" s="246">
        <f t="shared" si="40"/>
        <v>0.88466494845360821</v>
      </c>
      <c r="N81" s="246">
        <f t="shared" si="41"/>
        <v>0.87033523086654019</v>
      </c>
      <c r="O81" s="246">
        <f t="shared" si="41"/>
        <v>0.90083798882681565</v>
      </c>
      <c r="P81" s="246">
        <f t="shared" si="42"/>
        <v>0.96171927468099394</v>
      </c>
      <c r="Q81" s="246">
        <f t="shared" si="42"/>
        <v>0.98015267175572518</v>
      </c>
      <c r="R81" s="246">
        <f t="shared" si="43"/>
        <v>0.96707105719237429</v>
      </c>
      <c r="S81" s="246">
        <f t="shared" si="43"/>
        <v>0.97166841552990557</v>
      </c>
      <c r="T81" s="246">
        <f t="shared" si="44"/>
        <v>0.97070063694267517</v>
      </c>
      <c r="U81" s="246">
        <f t="shared" si="44"/>
        <v>0.9776609724047306</v>
      </c>
      <c r="V81" s="246">
        <f t="shared" si="39"/>
        <v>0.99351701782820101</v>
      </c>
      <c r="W81" s="246">
        <f t="shared" ref="W81" si="48">W69/W57</f>
        <v>0.98653198653198648</v>
      </c>
      <c r="X81" s="64">
        <f t="shared" si="39"/>
        <v>0.97569444444444442</v>
      </c>
    </row>
    <row r="82" spans="1:24" x14ac:dyDescent="0.2">
      <c r="A82" s="209" t="s">
        <v>62</v>
      </c>
      <c r="B82" s="63">
        <v>0.6586720525119919</v>
      </c>
      <c r="C82" s="63">
        <v>0.67033863729090171</v>
      </c>
      <c r="D82" s="63">
        <v>0.64933259176863178</v>
      </c>
      <c r="E82" s="246">
        <v>0.63978063135366503</v>
      </c>
      <c r="F82" s="63">
        <v>0.65496449149135738</v>
      </c>
      <c r="G82" s="63">
        <v>0.797634691195795</v>
      </c>
      <c r="H82" s="63">
        <v>0.82280319535221491</v>
      </c>
      <c r="I82" s="246">
        <v>0.85477888730385165</v>
      </c>
      <c r="J82" s="246">
        <v>0.93474894934748953</v>
      </c>
      <c r="K82" s="246">
        <f t="shared" si="40"/>
        <v>0.90440587449933241</v>
      </c>
      <c r="L82" s="246">
        <f t="shared" si="40"/>
        <v>0.89821428571428574</v>
      </c>
      <c r="M82" s="246">
        <f t="shared" si="40"/>
        <v>0.87959060806742928</v>
      </c>
      <c r="N82" s="246">
        <f t="shared" si="41"/>
        <v>0.87741734248284464</v>
      </c>
      <c r="O82" s="246">
        <f t="shared" si="41"/>
        <v>0.88602078444518939</v>
      </c>
      <c r="P82" s="246">
        <f t="shared" si="42"/>
        <v>0.86768802228412256</v>
      </c>
      <c r="Q82" s="246">
        <f t="shared" si="42"/>
        <v>0.90461262875055981</v>
      </c>
      <c r="R82" s="246">
        <f t="shared" si="43"/>
        <v>0.9389269406392694</v>
      </c>
      <c r="S82" s="246">
        <f t="shared" si="43"/>
        <v>0.95046854082998666</v>
      </c>
      <c r="T82" s="246">
        <f t="shared" si="44"/>
        <v>0.9525043177892919</v>
      </c>
      <c r="U82" s="246">
        <f t="shared" si="44"/>
        <v>0.92456676860346587</v>
      </c>
      <c r="V82" s="246">
        <f t="shared" si="39"/>
        <v>0.94573643410852715</v>
      </c>
      <c r="W82" s="246">
        <f t="shared" ref="W82" si="49">W70/W58</f>
        <v>0.90719499478623566</v>
      </c>
      <c r="X82" s="64">
        <f t="shared" si="39"/>
        <v>0.94455852156057496</v>
      </c>
    </row>
    <row r="83" spans="1:24" x14ac:dyDescent="0.2">
      <c r="A83" s="209" t="s">
        <v>64</v>
      </c>
      <c r="B83" s="63">
        <v>0.63899184581171242</v>
      </c>
      <c r="C83" s="63">
        <v>0.65542885473475454</v>
      </c>
      <c r="D83" s="63">
        <v>0.58381502890173409</v>
      </c>
      <c r="E83" s="246">
        <v>0.62868686868686874</v>
      </c>
      <c r="F83" s="63">
        <v>0.5636363636363636</v>
      </c>
      <c r="G83" s="63">
        <v>0.71985602879424115</v>
      </c>
      <c r="H83" s="63">
        <v>0.7663331371394938</v>
      </c>
      <c r="I83" s="246">
        <v>0.77269919703520695</v>
      </c>
      <c r="J83" s="246">
        <v>0.91211790393013104</v>
      </c>
      <c r="K83" s="246">
        <f t="shared" si="40"/>
        <v>0.90848484848484845</v>
      </c>
      <c r="L83" s="246">
        <f t="shared" si="40"/>
        <v>0.92766592095451161</v>
      </c>
      <c r="M83" s="246">
        <f t="shared" si="40"/>
        <v>0.78199513381995134</v>
      </c>
      <c r="N83" s="246">
        <f t="shared" si="41"/>
        <v>0.76793478260869563</v>
      </c>
      <c r="O83" s="246">
        <f t="shared" si="41"/>
        <v>0.79596823457544286</v>
      </c>
      <c r="P83" s="246">
        <f t="shared" si="42"/>
        <v>0.86878453038674031</v>
      </c>
      <c r="Q83" s="246">
        <f t="shared" si="42"/>
        <v>0.85900962861072905</v>
      </c>
      <c r="R83" s="246">
        <f t="shared" si="43"/>
        <v>0.88027628549501147</v>
      </c>
      <c r="S83" s="246">
        <f t="shared" si="43"/>
        <v>0.88385826771653542</v>
      </c>
      <c r="T83" s="246">
        <f t="shared" si="44"/>
        <v>0.89002557544757033</v>
      </c>
      <c r="U83" s="246">
        <f t="shared" si="44"/>
        <v>0.8512064343163539</v>
      </c>
      <c r="V83" s="246">
        <f t="shared" si="39"/>
        <v>0.90576652601969054</v>
      </c>
      <c r="W83" s="246">
        <f t="shared" ref="W83" si="50">W71/W59</f>
        <v>0.90734824281150162</v>
      </c>
      <c r="X83" s="64">
        <f t="shared" si="39"/>
        <v>0.88427299703264095</v>
      </c>
    </row>
    <row r="84" spans="1:24" x14ac:dyDescent="0.2">
      <c r="A84" s="203" t="s">
        <v>65</v>
      </c>
      <c r="B84" s="63">
        <v>0.28488465881593805</v>
      </c>
      <c r="C84" s="63">
        <v>0.42786329246021393</v>
      </c>
      <c r="D84" s="63">
        <v>0.39374185136897</v>
      </c>
      <c r="E84" s="246">
        <v>0.38939485934021451</v>
      </c>
      <c r="F84" s="63">
        <v>0.38925373134328356</v>
      </c>
      <c r="G84" s="63">
        <v>0.50583333333333336</v>
      </c>
      <c r="H84" s="63">
        <v>0.58800831107153462</v>
      </c>
      <c r="I84" s="246">
        <v>0.66409017713365537</v>
      </c>
      <c r="J84" s="246">
        <v>0.74463667820069201</v>
      </c>
      <c r="K84" s="246">
        <f t="shared" si="40"/>
        <v>0.83556547619047616</v>
      </c>
      <c r="L84" s="246">
        <f t="shared" si="40"/>
        <v>0.8241220495106506</v>
      </c>
      <c r="M84" s="246">
        <f t="shared" si="40"/>
        <v>0.7601187263896384</v>
      </c>
      <c r="N84" s="246">
        <f t="shared" si="41"/>
        <v>0.72846595570139461</v>
      </c>
      <c r="O84" s="246">
        <f t="shared" si="41"/>
        <v>0.73347720528729432</v>
      </c>
      <c r="P84" s="246">
        <f t="shared" si="42"/>
        <v>0.6977250726040658</v>
      </c>
      <c r="Q84" s="246">
        <f t="shared" si="42"/>
        <v>0.75094953879544224</v>
      </c>
      <c r="R84" s="246">
        <f t="shared" si="43"/>
        <v>0.84257488846398976</v>
      </c>
      <c r="S84" s="246">
        <f t="shared" si="43"/>
        <v>0.90146831530139104</v>
      </c>
      <c r="T84" s="246">
        <f t="shared" si="44"/>
        <v>0.91224723388019835</v>
      </c>
      <c r="U84" s="246">
        <f t="shared" si="44"/>
        <v>0.85024630541871926</v>
      </c>
      <c r="V84" s="246">
        <f t="shared" si="39"/>
        <v>0.89592760180995479</v>
      </c>
      <c r="W84" s="246">
        <f t="shared" ref="W84" si="51">W72/W60</f>
        <v>0.85601836667759923</v>
      </c>
      <c r="X84" s="64">
        <f t="shared" si="39"/>
        <v>0.85546175492453314</v>
      </c>
    </row>
    <row r="85" spans="1:24" x14ac:dyDescent="0.2">
      <c r="A85" s="210" t="s">
        <v>68</v>
      </c>
      <c r="B85" s="66">
        <v>0.3512476007677543</v>
      </c>
      <c r="C85" s="66">
        <v>0.49748743718592964</v>
      </c>
      <c r="D85" s="66">
        <v>0.45777233782129745</v>
      </c>
      <c r="E85" s="233">
        <v>0.44731610337972166</v>
      </c>
      <c r="F85" s="66">
        <v>0.38545816733067728</v>
      </c>
      <c r="G85" s="66">
        <v>0.50564102564102564</v>
      </c>
      <c r="H85" s="66">
        <v>0.62372448979591832</v>
      </c>
      <c r="I85" s="233">
        <v>0.69292389853137515</v>
      </c>
      <c r="J85" s="233">
        <v>0.65056179775280898</v>
      </c>
      <c r="K85" s="233">
        <f t="shared" si="40"/>
        <v>0.6633039092055486</v>
      </c>
      <c r="L85" s="233">
        <f t="shared" si="40"/>
        <v>0.66536964980544744</v>
      </c>
      <c r="M85" s="233">
        <f t="shared" si="40"/>
        <v>0.64646464646464652</v>
      </c>
      <c r="N85" s="233">
        <f t="shared" si="41"/>
        <v>0.69625520110957007</v>
      </c>
      <c r="O85" s="233">
        <f t="shared" si="41"/>
        <v>0.72119487908961588</v>
      </c>
      <c r="P85" s="233">
        <f t="shared" si="42"/>
        <v>0.73635153129161124</v>
      </c>
      <c r="Q85" s="233">
        <f t="shared" si="42"/>
        <v>0.7142857142857143</v>
      </c>
      <c r="R85" s="233">
        <f t="shared" si="43"/>
        <v>0.77609427609427606</v>
      </c>
      <c r="S85" s="233">
        <f t="shared" si="43"/>
        <v>0.81343283582089554</v>
      </c>
      <c r="T85" s="233">
        <f t="shared" si="44"/>
        <v>0.79081632653061229</v>
      </c>
      <c r="U85" s="233">
        <f t="shared" si="44"/>
        <v>0.74536256323777406</v>
      </c>
      <c r="V85" s="233">
        <f t="shared" si="39"/>
        <v>0.84531590413943358</v>
      </c>
      <c r="W85" s="233">
        <f t="shared" ref="W85" si="52">W73/W61</f>
        <v>0.82923076923076922</v>
      </c>
      <c r="X85" s="67">
        <f t="shared" si="39"/>
        <v>0.85103244837758107</v>
      </c>
    </row>
    <row r="86" spans="1:24" x14ac:dyDescent="0.2">
      <c r="A86" s="523"/>
      <c r="B86" s="524"/>
      <c r="C86" s="524"/>
      <c r="D86" s="524"/>
      <c r="E86" s="525"/>
      <c r="F86" s="524"/>
      <c r="G86" s="524"/>
      <c r="H86" s="524"/>
      <c r="I86" s="525"/>
      <c r="J86" s="525"/>
      <c r="K86" s="525"/>
      <c r="L86" s="525"/>
      <c r="M86" s="541"/>
      <c r="N86" s="541">
        <f t="shared" si="41"/>
        <v>1</v>
      </c>
      <c r="O86" s="541"/>
      <c r="P86" s="541"/>
      <c r="Q86" s="541"/>
      <c r="R86" s="541">
        <f t="shared" si="43"/>
        <v>0.83333333333333337</v>
      </c>
      <c r="S86" s="541">
        <f t="shared" si="43"/>
        <v>1</v>
      </c>
      <c r="T86" s="541">
        <f t="shared" si="44"/>
        <v>0.6</v>
      </c>
      <c r="U86" s="541">
        <v>0</v>
      </c>
      <c r="V86" s="541">
        <f t="shared" si="39"/>
        <v>1</v>
      </c>
      <c r="W86" s="600">
        <f t="shared" ref="W86" si="53">W74/W62</f>
        <v>1</v>
      </c>
      <c r="X86" s="594">
        <f t="shared" si="39"/>
        <v>1</v>
      </c>
    </row>
    <row r="87" spans="1:24" ht="13.5" thickBot="1" x14ac:dyDescent="0.25">
      <c r="A87" s="205" t="s">
        <v>20</v>
      </c>
      <c r="B87" s="130">
        <v>0.62718422874831981</v>
      </c>
      <c r="C87" s="130">
        <v>0.6780475139556017</v>
      </c>
      <c r="D87" s="130">
        <v>0.6826123332841183</v>
      </c>
      <c r="E87" s="130">
        <v>0.66710171017101705</v>
      </c>
      <c r="F87" s="130">
        <v>0.63712560088746462</v>
      </c>
      <c r="G87" s="130">
        <v>0.76014109347442682</v>
      </c>
      <c r="H87" s="130">
        <v>0.80955300754184811</v>
      </c>
      <c r="I87" s="247">
        <v>0.84361865367936484</v>
      </c>
      <c r="J87" s="247">
        <v>0.87365384615384611</v>
      </c>
      <c r="K87" s="247">
        <f>K75/K63</f>
        <v>0.86294798876173506</v>
      </c>
      <c r="L87" s="247">
        <f>L75/L63</f>
        <v>0.86031805659904836</v>
      </c>
      <c r="M87" s="247">
        <f>M75/M63</f>
        <v>0.82942932598461361</v>
      </c>
      <c r="N87" s="247">
        <f t="shared" si="41"/>
        <v>0.83971320938145577</v>
      </c>
      <c r="O87" s="247">
        <f t="shared" si="41"/>
        <v>0.85193875030871824</v>
      </c>
      <c r="P87" s="247">
        <f>P75/P63</f>
        <v>0.84481062469257251</v>
      </c>
      <c r="Q87" s="247">
        <f>Q75/Q63</f>
        <v>0.84681139755766621</v>
      </c>
      <c r="R87" s="247">
        <f t="shared" si="43"/>
        <v>0.88067533652749264</v>
      </c>
      <c r="S87" s="247">
        <f t="shared" si="43"/>
        <v>0.89714285714285713</v>
      </c>
      <c r="T87" s="247">
        <f t="shared" si="44"/>
        <v>0.92566421707179203</v>
      </c>
      <c r="U87" s="247">
        <f t="shared" si="44"/>
        <v>0.88910774079180621</v>
      </c>
      <c r="V87" s="247">
        <f t="shared" si="39"/>
        <v>0.89627391742195373</v>
      </c>
      <c r="W87" s="247">
        <f t="shared" ref="W87" si="54">W75/W63</f>
        <v>0.86603365610604499</v>
      </c>
      <c r="X87" s="131">
        <f t="shared" si="39"/>
        <v>0.86579496229744901</v>
      </c>
    </row>
    <row r="88" spans="1:24" ht="13.5" thickBot="1" x14ac:dyDescent="0.25">
      <c r="A88" s="42" t="s">
        <v>74</v>
      </c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508"/>
      <c r="M88" s="508"/>
      <c r="N88" s="508"/>
      <c r="O88" s="508"/>
      <c r="P88" s="508"/>
      <c r="Q88" s="508"/>
      <c r="R88" s="508"/>
      <c r="S88" s="508"/>
      <c r="T88" s="508"/>
      <c r="U88" s="508"/>
      <c r="V88" s="508"/>
      <c r="W88" s="508"/>
      <c r="X88" s="470"/>
    </row>
    <row r="89" spans="1:24" x14ac:dyDescent="0.2">
      <c r="A89" s="208" t="s">
        <v>60</v>
      </c>
      <c r="B89" s="275">
        <v>1.3115555374526496E-2</v>
      </c>
      <c r="C89" s="275">
        <v>8.1137219265221341E-3</v>
      </c>
      <c r="D89" s="275">
        <v>1.3927850780058074E-2</v>
      </c>
      <c r="E89" s="276">
        <v>1.1476147614761477E-2</v>
      </c>
      <c r="F89" s="276">
        <v>1.3348810214741729E-2</v>
      </c>
      <c r="G89" s="276">
        <v>1.2798443230297133E-2</v>
      </c>
      <c r="H89" s="276">
        <v>1.1588275391956374E-2</v>
      </c>
      <c r="I89" s="276">
        <v>1.4630288651640965E-2</v>
      </c>
      <c r="J89" s="276">
        <v>8.5846357032797714E-3</v>
      </c>
      <c r="K89" s="276">
        <f t="shared" ref="K89:K97" si="55">K65/$K$75</f>
        <v>6.273326451203049E-3</v>
      </c>
      <c r="L89" s="509">
        <f t="shared" ref="L89:L97" si="56">L65/$L$75</f>
        <v>7.7141401644712903E-3</v>
      </c>
      <c r="M89" s="509">
        <f t="shared" ref="M89:M97" si="57">M65/$M$75</f>
        <v>7.1295078563023461E-3</v>
      </c>
      <c r="N89" s="509">
        <f t="shared" ref="N89:S89" si="58">N65/N$75</f>
        <v>5.7163531114327064E-3</v>
      </c>
      <c r="O89" s="509">
        <f t="shared" si="58"/>
        <v>2.8989708653428033E-3</v>
      </c>
      <c r="P89" s="509">
        <f t="shared" si="58"/>
        <v>4.5851528384279472E-3</v>
      </c>
      <c r="Q89" s="509">
        <f t="shared" si="58"/>
        <v>4.646691235378946E-3</v>
      </c>
      <c r="R89" s="509">
        <f t="shared" si="58"/>
        <v>3.6269430051813472E-3</v>
      </c>
      <c r="S89" s="509">
        <f t="shared" si="58"/>
        <v>1.2545840571318279E-3</v>
      </c>
      <c r="T89" s="509">
        <f t="shared" ref="T89:U99" si="59">T65/T$75</f>
        <v>1.7302798982188295E-3</v>
      </c>
      <c r="U89" s="509">
        <f t="shared" si="59"/>
        <v>0</v>
      </c>
      <c r="V89" s="509">
        <f t="shared" ref="V89:X99" si="60">V65/V$75</f>
        <v>4.831460674157303E-3</v>
      </c>
      <c r="W89" s="509">
        <f t="shared" ref="W89" si="61">W65/W$75</f>
        <v>0</v>
      </c>
      <c r="X89" s="262">
        <f t="shared" si="60"/>
        <v>4.539979616418049E-3</v>
      </c>
    </row>
    <row r="90" spans="1:24" x14ac:dyDescent="0.2">
      <c r="A90" s="209" t="s">
        <v>61</v>
      </c>
      <c r="B90" s="278">
        <v>0.1390167406622948</v>
      </c>
      <c r="C90" s="278">
        <v>8.8342204335972993E-2</v>
      </c>
      <c r="D90" s="278">
        <v>0.13726069196318716</v>
      </c>
      <c r="E90" s="279">
        <v>0.14846984698469848</v>
      </c>
      <c r="F90" s="279">
        <v>0.1640549429289998</v>
      </c>
      <c r="G90" s="279">
        <v>0.14677045131352442</v>
      </c>
      <c r="H90" s="279">
        <v>0.15064758009543286</v>
      </c>
      <c r="I90" s="279">
        <v>0.13040727560300513</v>
      </c>
      <c r="J90" s="279">
        <v>0.12891628145865433</v>
      </c>
      <c r="K90" s="279">
        <f t="shared" si="55"/>
        <v>0.12101961407130946</v>
      </c>
      <c r="L90" s="279">
        <f t="shared" si="56"/>
        <v>0.12859326104359217</v>
      </c>
      <c r="M90" s="279">
        <f t="shared" si="57"/>
        <v>0.13601439745275837</v>
      </c>
      <c r="N90" s="279">
        <f t="shared" ref="N90:O99" si="62">N66/N$75</f>
        <v>0.13856729377713459</v>
      </c>
      <c r="O90" s="279">
        <f t="shared" si="62"/>
        <v>0.13973039570952311</v>
      </c>
      <c r="P90" s="279">
        <f t="shared" ref="P90:Q99" si="63">P66/P$75</f>
        <v>0.13515283842794759</v>
      </c>
      <c r="Q90" s="279">
        <f t="shared" si="63"/>
        <v>0.12586124018586764</v>
      </c>
      <c r="R90" s="279">
        <f t="shared" ref="R90:S99" si="64">R66/R$75</f>
        <v>0.12668393782383419</v>
      </c>
      <c r="S90" s="279">
        <f t="shared" si="64"/>
        <v>0.1316348195329087</v>
      </c>
      <c r="T90" s="279">
        <f t="shared" si="59"/>
        <v>0.11959287531806616</v>
      </c>
      <c r="U90" s="279">
        <f t="shared" si="59"/>
        <v>0.10367744793974303</v>
      </c>
      <c r="V90" s="279">
        <f t="shared" si="60"/>
        <v>0.11370786516853933</v>
      </c>
      <c r="W90" s="279">
        <f t="shared" ref="W90" si="65">W66/W$75</f>
        <v>0.10757707338254451</v>
      </c>
      <c r="X90" s="261">
        <f t="shared" si="60"/>
        <v>9.1170202909293063E-2</v>
      </c>
    </row>
    <row r="91" spans="1:24" x14ac:dyDescent="0.2">
      <c r="A91" s="209" t="s">
        <v>67</v>
      </c>
      <c r="B91" s="278">
        <v>3.449961305038491E-2</v>
      </c>
      <c r="C91" s="278">
        <v>2.6223549266519538E-2</v>
      </c>
      <c r="D91" s="278">
        <v>3.7354200501993208E-2</v>
      </c>
      <c r="E91" s="279">
        <v>3.523852385238524E-2</v>
      </c>
      <c r="F91" s="279">
        <v>3.8692203520990523E-2</v>
      </c>
      <c r="G91" s="279">
        <v>4.1014894094753389E-2</v>
      </c>
      <c r="H91" s="279">
        <v>4.423237143073544E-2</v>
      </c>
      <c r="I91" s="279">
        <v>3.6931593515223411E-2</v>
      </c>
      <c r="J91" s="279">
        <v>3.4411915767847974E-2</v>
      </c>
      <c r="K91" s="279">
        <f t="shared" si="55"/>
        <v>3.0493131104581912E-2</v>
      </c>
      <c r="L91" s="279">
        <f t="shared" si="56"/>
        <v>2.5034568080925697E-2</v>
      </c>
      <c r="M91" s="279">
        <f t="shared" si="57"/>
        <v>3.0733024157264484E-2</v>
      </c>
      <c r="N91" s="279">
        <f t="shared" si="62"/>
        <v>2.9450072358900143E-2</v>
      </c>
      <c r="O91" s="279">
        <f t="shared" si="62"/>
        <v>2.9497028554863025E-2</v>
      </c>
      <c r="P91" s="279">
        <f t="shared" si="63"/>
        <v>2.794759825327511E-2</v>
      </c>
      <c r="Q91" s="279">
        <f t="shared" si="63"/>
        <v>2.2111841051113603E-2</v>
      </c>
      <c r="R91" s="279">
        <f t="shared" si="64"/>
        <v>2.158894645941278E-2</v>
      </c>
      <c r="S91" s="279">
        <f t="shared" si="64"/>
        <v>1.8529241459177764E-2</v>
      </c>
      <c r="T91" s="279">
        <f t="shared" si="59"/>
        <v>1.5165394402035624E-2</v>
      </c>
      <c r="U91" s="279">
        <f t="shared" si="59"/>
        <v>1.5507310589277802E-2</v>
      </c>
      <c r="V91" s="279">
        <f t="shared" si="60"/>
        <v>2.3033707865168538E-2</v>
      </c>
      <c r="W91" s="279">
        <f t="shared" ref="W91" si="66">W67/W$75</f>
        <v>2.1493703864524535E-2</v>
      </c>
      <c r="X91" s="261">
        <f t="shared" si="60"/>
        <v>3.9840637450199202E-2</v>
      </c>
    </row>
    <row r="92" spans="1:24" x14ac:dyDescent="0.2">
      <c r="A92" s="209" t="s">
        <v>66</v>
      </c>
      <c r="B92" s="278">
        <v>0.19518553215754958</v>
      </c>
      <c r="C92" s="278">
        <v>0.20135012332857327</v>
      </c>
      <c r="D92" s="278">
        <v>0.20325803435208425</v>
      </c>
      <c r="E92" s="279">
        <v>0.19653465346534654</v>
      </c>
      <c r="F92" s="279">
        <v>0.22280260527503709</v>
      </c>
      <c r="G92" s="279">
        <v>0.18860863707806302</v>
      </c>
      <c r="H92" s="279">
        <v>0.18253427251382262</v>
      </c>
      <c r="I92" s="279">
        <v>0.20071174377224199</v>
      </c>
      <c r="J92" s="279">
        <v>0.18834837478905275</v>
      </c>
      <c r="K92" s="279">
        <f t="shared" si="55"/>
        <v>0.23044548558723099</v>
      </c>
      <c r="L92" s="279">
        <f t="shared" si="56"/>
        <v>0.2205807437595517</v>
      </c>
      <c r="M92" s="279">
        <f t="shared" si="57"/>
        <v>0.21298539489167301</v>
      </c>
      <c r="N92" s="279">
        <f t="shared" si="62"/>
        <v>0.22322720694645443</v>
      </c>
      <c r="O92" s="279">
        <f t="shared" si="62"/>
        <v>0.24677489491230614</v>
      </c>
      <c r="P92" s="279">
        <f t="shared" si="63"/>
        <v>0.23420669577874817</v>
      </c>
      <c r="Q92" s="279">
        <f t="shared" si="63"/>
        <v>0.25805159429578595</v>
      </c>
      <c r="R92" s="279">
        <f t="shared" si="64"/>
        <v>0.27677029360967187</v>
      </c>
      <c r="S92" s="279">
        <f t="shared" si="64"/>
        <v>0.28739625554912179</v>
      </c>
      <c r="T92" s="279">
        <f t="shared" si="59"/>
        <v>0.30564885496183208</v>
      </c>
      <c r="U92" s="279">
        <f t="shared" si="59"/>
        <v>0.31524147097917588</v>
      </c>
      <c r="V92" s="279">
        <f t="shared" si="60"/>
        <v>0.31224719101123594</v>
      </c>
      <c r="W92" s="279">
        <f t="shared" ref="W92" si="67">W68/W$75</f>
        <v>0.32924446374294397</v>
      </c>
      <c r="X92" s="261">
        <f t="shared" si="60"/>
        <v>0.33123320670805151</v>
      </c>
    </row>
    <row r="93" spans="1:24" x14ac:dyDescent="0.2">
      <c r="A93" s="209" t="s">
        <v>63</v>
      </c>
      <c r="B93" s="278">
        <v>7.4905299173149767E-2</v>
      </c>
      <c r="C93" s="278">
        <v>0.10541347526937557</v>
      </c>
      <c r="D93" s="278">
        <v>6.0189969978837542E-2</v>
      </c>
      <c r="E93" s="279">
        <v>3.316831683168317E-2</v>
      </c>
      <c r="F93" s="279">
        <v>2.3989166183014124E-2</v>
      </c>
      <c r="G93" s="279">
        <v>0.10336052690666866</v>
      </c>
      <c r="H93" s="279">
        <v>0.10338559418314019</v>
      </c>
      <c r="I93" s="279">
        <v>0.11237643337287466</v>
      </c>
      <c r="J93" s="279">
        <v>3.1990608261794701E-2</v>
      </c>
      <c r="K93" s="279">
        <f t="shared" si="55"/>
        <v>2.7634400063527357E-2</v>
      </c>
      <c r="L93" s="279">
        <f t="shared" si="56"/>
        <v>9.3952405210683362E-2</v>
      </c>
      <c r="M93" s="279">
        <f t="shared" si="57"/>
        <v>9.5037031909739042E-2</v>
      </c>
      <c r="N93" s="279">
        <f t="shared" si="62"/>
        <v>9.9565846599131688E-2</v>
      </c>
      <c r="O93" s="279">
        <f t="shared" si="62"/>
        <v>9.3491810407305406E-2</v>
      </c>
      <c r="P93" s="279">
        <f t="shared" si="63"/>
        <v>0.10422125181950509</v>
      </c>
      <c r="Q93" s="279">
        <f t="shared" si="63"/>
        <v>0.10286813010735459</v>
      </c>
      <c r="R93" s="279">
        <f t="shared" si="64"/>
        <v>9.6373056994818657E-2</v>
      </c>
      <c r="S93" s="279">
        <f t="shared" si="64"/>
        <v>8.9364987454159425E-2</v>
      </c>
      <c r="T93" s="279">
        <f t="shared" si="59"/>
        <v>7.7557251908396949E-2</v>
      </c>
      <c r="U93" s="279">
        <f t="shared" si="59"/>
        <v>8.2410279131590602E-2</v>
      </c>
      <c r="V93" s="279">
        <f t="shared" si="60"/>
        <v>6.8876404494382024E-2</v>
      </c>
      <c r="W93" s="279">
        <f t="shared" ref="W93" si="68">W69/W$75</f>
        <v>6.3612679114198878E-2</v>
      </c>
      <c r="X93" s="261">
        <f t="shared" si="60"/>
        <v>5.2070786620958029E-2</v>
      </c>
    </row>
    <row r="94" spans="1:24" x14ac:dyDescent="0.2">
      <c r="A94" s="209" t="s">
        <v>62</v>
      </c>
      <c r="B94" s="278">
        <v>0.32267524744409598</v>
      </c>
      <c r="C94" s="278">
        <v>0.31818771907049204</v>
      </c>
      <c r="D94" s="278">
        <v>0.22648752399232247</v>
      </c>
      <c r="E94" s="279">
        <v>0.22236723672367237</v>
      </c>
      <c r="F94" s="279">
        <v>0.3152124846843361</v>
      </c>
      <c r="G94" s="279">
        <v>0.27258438739615298</v>
      </c>
      <c r="H94" s="279">
        <v>0.25744149057032495</v>
      </c>
      <c r="I94" s="279">
        <v>0.23693159351522342</v>
      </c>
      <c r="J94" s="279">
        <v>0.31007410668427615</v>
      </c>
      <c r="K94" s="279">
        <f t="shared" si="55"/>
        <v>0.26895894544588261</v>
      </c>
      <c r="L94" s="279">
        <f t="shared" si="56"/>
        <v>0.21963466996579578</v>
      </c>
      <c r="M94" s="279">
        <f t="shared" si="57"/>
        <v>0.20225652384578113</v>
      </c>
      <c r="N94" s="279">
        <f t="shared" si="62"/>
        <v>0.20354558610709117</v>
      </c>
      <c r="O94" s="279">
        <f t="shared" si="62"/>
        <v>0.19154949992752573</v>
      </c>
      <c r="P94" s="279">
        <f t="shared" si="63"/>
        <v>0.18136826783114993</v>
      </c>
      <c r="Q94" s="279">
        <f t="shared" si="63"/>
        <v>0.16183303957699086</v>
      </c>
      <c r="R94" s="279">
        <f t="shared" si="64"/>
        <v>0.14205526770293608</v>
      </c>
      <c r="S94" s="279">
        <f t="shared" si="64"/>
        <v>0.1370391816251689</v>
      </c>
      <c r="T94" s="279">
        <f t="shared" si="59"/>
        <v>0.112264631043257</v>
      </c>
      <c r="U94" s="279">
        <f t="shared" si="59"/>
        <v>0.10046521931767834</v>
      </c>
      <c r="V94" s="279">
        <f t="shared" si="60"/>
        <v>9.5955056179775275E-2</v>
      </c>
      <c r="W94" s="279">
        <f t="shared" ref="W94" si="69">W70/W$75</f>
        <v>9.4442032132001738E-2</v>
      </c>
      <c r="X94" s="261">
        <f t="shared" si="60"/>
        <v>8.524043361437969E-2</v>
      </c>
    </row>
    <row r="95" spans="1:24" x14ac:dyDescent="0.2">
      <c r="A95" s="209" t="s">
        <v>64</v>
      </c>
      <c r="B95" s="278">
        <v>0.10989369068469716</v>
      </c>
      <c r="C95" s="278">
        <v>0.13092301700636116</v>
      </c>
      <c r="D95" s="278">
        <v>0.10217038240070869</v>
      </c>
      <c r="E95" s="279">
        <v>0.11138613861386139</v>
      </c>
      <c r="F95" s="279">
        <v>9.1958470368220802E-2</v>
      </c>
      <c r="G95" s="279">
        <v>8.9813636703839531E-2</v>
      </c>
      <c r="H95" s="279">
        <v>9.8613951374687578E-2</v>
      </c>
      <c r="I95" s="279">
        <v>9.8932384341637009E-2</v>
      </c>
      <c r="J95" s="279">
        <v>0.12260620735197006</v>
      </c>
      <c r="K95" s="279">
        <f t="shared" si="55"/>
        <v>0.11903438418168824</v>
      </c>
      <c r="L95" s="279">
        <f t="shared" si="56"/>
        <v>9.0531984571719668E-2</v>
      </c>
      <c r="M95" s="279">
        <f t="shared" si="57"/>
        <v>0.11123416626289195</v>
      </c>
      <c r="N95" s="279">
        <f t="shared" si="62"/>
        <v>0.10224312590448625</v>
      </c>
      <c r="O95" s="279">
        <f t="shared" si="62"/>
        <v>9.4433975938541817E-2</v>
      </c>
      <c r="P95" s="279">
        <f t="shared" si="63"/>
        <v>9.155749636098981E-2</v>
      </c>
      <c r="Q95" s="279">
        <f t="shared" si="63"/>
        <v>0.10006409229290178</v>
      </c>
      <c r="R95" s="279">
        <f t="shared" si="64"/>
        <v>9.9050086355785841E-2</v>
      </c>
      <c r="S95" s="279">
        <f t="shared" si="64"/>
        <v>8.6662806408029341E-2</v>
      </c>
      <c r="T95" s="279">
        <f t="shared" si="59"/>
        <v>7.0839694656488553E-2</v>
      </c>
      <c r="U95" s="279">
        <f t="shared" si="59"/>
        <v>7.033673017279575E-2</v>
      </c>
      <c r="V95" s="279">
        <f t="shared" si="60"/>
        <v>7.2359550561797756E-2</v>
      </c>
      <c r="W95" s="279">
        <f t="shared" ref="W95" si="70">W71/W$75</f>
        <v>6.1658706035605734E-2</v>
      </c>
      <c r="X95" s="261">
        <f t="shared" si="60"/>
        <v>5.5220976558880759E-2</v>
      </c>
    </row>
    <row r="96" spans="1:24" x14ac:dyDescent="0.2">
      <c r="A96" s="203" t="s">
        <v>65</v>
      </c>
      <c r="B96" s="278">
        <v>0.25249480672885016</v>
      </c>
      <c r="C96" s="278">
        <v>0.24879916915487471</v>
      </c>
      <c r="D96" s="278">
        <v>0.22648752399232247</v>
      </c>
      <c r="E96" s="279">
        <v>0.22236723672367237</v>
      </c>
      <c r="F96" s="279">
        <v>0.1261365834784291</v>
      </c>
      <c r="G96" s="279">
        <v>0.13629219369807649</v>
      </c>
      <c r="H96" s="279">
        <v>0.15004165719912141</v>
      </c>
      <c r="I96" s="279">
        <v>0.16306840648477658</v>
      </c>
      <c r="J96" s="279">
        <v>0.15789859857656469</v>
      </c>
      <c r="K96" s="279">
        <f t="shared" si="55"/>
        <v>0.17835305328357023</v>
      </c>
      <c r="L96" s="279">
        <f t="shared" si="56"/>
        <v>0.20835455934793684</v>
      </c>
      <c r="M96" s="279">
        <f t="shared" si="57"/>
        <v>0.19498857894372534</v>
      </c>
      <c r="N96" s="279">
        <f t="shared" si="62"/>
        <v>0.19276410998552823</v>
      </c>
      <c r="O96" s="279">
        <f t="shared" si="62"/>
        <v>0.19705754457167707</v>
      </c>
      <c r="P96" s="279">
        <f t="shared" si="63"/>
        <v>0.20982532751091704</v>
      </c>
      <c r="Q96" s="279">
        <f t="shared" si="63"/>
        <v>0.22175933344015383</v>
      </c>
      <c r="R96" s="279">
        <f t="shared" si="64"/>
        <v>0.22832469775474956</v>
      </c>
      <c r="S96" s="279">
        <f t="shared" si="64"/>
        <v>0.22514958502219648</v>
      </c>
      <c r="T96" s="279">
        <f t="shared" si="59"/>
        <v>0.2433587786259542</v>
      </c>
      <c r="U96" s="279">
        <f t="shared" si="59"/>
        <v>0.28677447939743023</v>
      </c>
      <c r="V96" s="279">
        <f t="shared" si="60"/>
        <v>0.28921348314606743</v>
      </c>
      <c r="W96" s="279">
        <f t="shared" ref="W96" si="71">W72/W$75</f>
        <v>0.2833260963960052</v>
      </c>
      <c r="X96" s="261">
        <f t="shared" si="60"/>
        <v>0.30983044565922357</v>
      </c>
    </row>
    <row r="97" spans="1:24" x14ac:dyDescent="0.2">
      <c r="A97" s="210" t="s">
        <v>68</v>
      </c>
      <c r="B97" s="281">
        <v>4.2442263044275182E-2</v>
      </c>
      <c r="C97" s="281">
        <v>3.8751135921069713E-2</v>
      </c>
      <c r="D97" s="281">
        <v>4.0208671686598751E-2</v>
      </c>
      <c r="E97" s="282">
        <v>4.5274527452745274E-2</v>
      </c>
      <c r="F97" s="282">
        <v>2.4956471271038887E-2</v>
      </c>
      <c r="G97" s="282">
        <v>3.6898435745827407E-2</v>
      </c>
      <c r="H97" s="282">
        <v>3.7037037037037035E-2</v>
      </c>
      <c r="I97" s="282">
        <v>4.1043890865954925E-2</v>
      </c>
      <c r="J97" s="282">
        <v>4.2482940788025531E-2</v>
      </c>
      <c r="K97" s="282">
        <f t="shared" si="55"/>
        <v>4.1769236877630428E-2</v>
      </c>
      <c r="L97" s="281">
        <f t="shared" si="56"/>
        <v>3.7333527399752563E-2</v>
      </c>
      <c r="M97" s="282">
        <f t="shared" si="57"/>
        <v>3.9869869176991764E-2</v>
      </c>
      <c r="N97" s="282">
        <f t="shared" si="62"/>
        <v>3.6324167872648333E-2</v>
      </c>
      <c r="O97" s="282">
        <f t="shared" si="62"/>
        <v>3.6744455718220034E-2</v>
      </c>
      <c r="P97" s="282">
        <f t="shared" si="63"/>
        <v>4.0247452692867537E-2</v>
      </c>
      <c r="Q97" s="282">
        <f t="shared" si="63"/>
        <v>3.8054798910431023E-2</v>
      </c>
      <c r="R97" s="282">
        <f t="shared" si="64"/>
        <v>3.9810017271157169E-2</v>
      </c>
      <c r="S97" s="282">
        <f t="shared" si="64"/>
        <v>5.2596023933603554E-2</v>
      </c>
      <c r="T97" s="282">
        <f t="shared" si="59"/>
        <v>4.732824427480916E-2</v>
      </c>
      <c r="U97" s="282">
        <f t="shared" si="59"/>
        <v>4.8958794860434203E-2</v>
      </c>
      <c r="V97" s="282">
        <f t="shared" si="60"/>
        <v>4.359550561797753E-2</v>
      </c>
      <c r="W97" s="282">
        <f t="shared" ref="W97" si="72">W73/W$75</f>
        <v>5.8510638297872342E-2</v>
      </c>
      <c r="X97" s="114">
        <f t="shared" si="60"/>
        <v>5.3460576299453347E-2</v>
      </c>
    </row>
    <row r="98" spans="1:24" x14ac:dyDescent="0.2">
      <c r="A98" s="523"/>
      <c r="B98" s="530"/>
      <c r="C98" s="530"/>
      <c r="D98" s="530"/>
      <c r="E98" s="531"/>
      <c r="F98" s="531"/>
      <c r="G98" s="531"/>
      <c r="H98" s="531"/>
      <c r="I98" s="531"/>
      <c r="J98" s="531"/>
      <c r="K98" s="531"/>
      <c r="L98" s="546"/>
      <c r="M98" s="542"/>
      <c r="N98" s="542">
        <f t="shared" si="62"/>
        <v>1.1577424023154848E-3</v>
      </c>
      <c r="O98" s="542"/>
      <c r="P98" s="542"/>
      <c r="Q98" s="542"/>
      <c r="R98" s="542">
        <f t="shared" si="64"/>
        <v>8.6355785837651119E-4</v>
      </c>
      <c r="S98" s="542">
        <f t="shared" si="64"/>
        <v>7.7205172746574015E-4</v>
      </c>
      <c r="T98" s="542">
        <f t="shared" si="59"/>
        <v>3.0534351145038169E-4</v>
      </c>
      <c r="U98" s="542">
        <f t="shared" si="59"/>
        <v>0</v>
      </c>
      <c r="V98" s="542">
        <f t="shared" si="60"/>
        <v>1.4606741573033708E-3</v>
      </c>
      <c r="W98" s="542">
        <f t="shared" ref="W98" si="73">W74/W$75</f>
        <v>1.0855405992184109E-3</v>
      </c>
      <c r="X98" s="543">
        <f t="shared" si="60"/>
        <v>1.0191790975632355E-3</v>
      </c>
    </row>
    <row r="99" spans="1:24" ht="13.5" thickBot="1" x14ac:dyDescent="0.25">
      <c r="A99" s="205" t="s">
        <v>20</v>
      </c>
      <c r="B99" s="283">
        <v>1</v>
      </c>
      <c r="C99" s="283">
        <v>1</v>
      </c>
      <c r="D99" s="283">
        <v>1</v>
      </c>
      <c r="E99" s="284">
        <v>1</v>
      </c>
      <c r="F99" s="284">
        <v>1</v>
      </c>
      <c r="G99" s="284">
        <v>1</v>
      </c>
      <c r="H99" s="284">
        <v>1</v>
      </c>
      <c r="I99" s="284">
        <v>1</v>
      </c>
      <c r="J99" s="284">
        <v>1</v>
      </c>
      <c r="K99" s="284">
        <f>K75/$K$75</f>
        <v>1</v>
      </c>
      <c r="L99" s="284">
        <f>L75/$L$75</f>
        <v>1</v>
      </c>
      <c r="M99" s="284">
        <f>M75/$M$75</f>
        <v>1</v>
      </c>
      <c r="N99" s="284">
        <f t="shared" si="62"/>
        <v>1</v>
      </c>
      <c r="O99" s="284">
        <f t="shared" si="62"/>
        <v>1</v>
      </c>
      <c r="P99" s="284">
        <f t="shared" si="63"/>
        <v>1</v>
      </c>
      <c r="Q99" s="284">
        <f t="shared" si="63"/>
        <v>1</v>
      </c>
      <c r="R99" s="284">
        <f t="shared" si="64"/>
        <v>1</v>
      </c>
      <c r="S99" s="284">
        <f t="shared" si="64"/>
        <v>1</v>
      </c>
      <c r="T99" s="284">
        <f t="shared" si="59"/>
        <v>1</v>
      </c>
      <c r="U99" s="284">
        <f t="shared" si="59"/>
        <v>1</v>
      </c>
      <c r="V99" s="284">
        <f t="shared" si="60"/>
        <v>1</v>
      </c>
      <c r="W99" s="284">
        <f t="shared" ref="W99" si="74">W75/W$75</f>
        <v>1</v>
      </c>
      <c r="X99" s="285">
        <f t="shared" si="60"/>
        <v>1</v>
      </c>
    </row>
    <row r="100" spans="1:24" ht="13.5" thickBot="1" x14ac:dyDescent="0.25">
      <c r="A100" s="42" t="s">
        <v>120</v>
      </c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508"/>
      <c r="M100" s="508"/>
      <c r="N100" s="508"/>
      <c r="O100" s="508"/>
      <c r="P100" s="508"/>
      <c r="Q100" s="508"/>
      <c r="R100" s="508"/>
      <c r="S100" s="508"/>
      <c r="T100" s="508"/>
      <c r="U100" s="508"/>
      <c r="V100" s="508"/>
      <c r="W100" s="508"/>
      <c r="X100" s="470"/>
    </row>
    <row r="101" spans="1:24" x14ac:dyDescent="0.2">
      <c r="A101" s="208" t="s">
        <v>60</v>
      </c>
      <c r="B101" s="163">
        <v>140</v>
      </c>
      <c r="C101" s="163">
        <v>68</v>
      </c>
      <c r="D101" s="163">
        <v>149</v>
      </c>
      <c r="E101" s="253">
        <v>136</v>
      </c>
      <c r="F101" s="253">
        <v>163</v>
      </c>
      <c r="G101" s="253">
        <v>127</v>
      </c>
      <c r="H101" s="253">
        <v>118</v>
      </c>
      <c r="I101" s="253">
        <v>145</v>
      </c>
      <c r="J101" s="253">
        <v>89</v>
      </c>
      <c r="K101" s="253">
        <v>70</v>
      </c>
      <c r="L101" s="253">
        <v>95</v>
      </c>
      <c r="M101" s="253">
        <v>74</v>
      </c>
      <c r="N101" s="253">
        <v>53</v>
      </c>
      <c r="O101" s="253">
        <v>34</v>
      </c>
      <c r="P101" s="253">
        <v>58</v>
      </c>
      <c r="Q101" s="253">
        <v>53</v>
      </c>
      <c r="R101" s="253">
        <v>31</v>
      </c>
      <c r="S101" s="253">
        <v>11</v>
      </c>
      <c r="T101" s="253">
        <v>17</v>
      </c>
      <c r="U101" s="253">
        <v>0</v>
      </c>
      <c r="V101" s="253">
        <v>43</v>
      </c>
      <c r="W101" s="253">
        <v>0</v>
      </c>
      <c r="X101" s="164">
        <v>41</v>
      </c>
    </row>
    <row r="102" spans="1:24" x14ac:dyDescent="0.2">
      <c r="A102" s="209" t="s">
        <v>61</v>
      </c>
      <c r="B102" s="165">
        <v>1848</v>
      </c>
      <c r="C102" s="165">
        <v>866</v>
      </c>
      <c r="D102" s="165">
        <v>1569</v>
      </c>
      <c r="E102" s="254">
        <v>1869</v>
      </c>
      <c r="F102" s="254">
        <v>2045</v>
      </c>
      <c r="G102" s="254">
        <v>1545</v>
      </c>
      <c r="H102" s="254">
        <v>1567</v>
      </c>
      <c r="I102" s="254">
        <v>1395</v>
      </c>
      <c r="J102" s="254">
        <v>1547</v>
      </c>
      <c r="K102" s="254">
        <v>1327</v>
      </c>
      <c r="L102" s="254">
        <v>1516</v>
      </c>
      <c r="M102" s="254">
        <v>1700</v>
      </c>
      <c r="N102" s="254">
        <v>1664</v>
      </c>
      <c r="O102" s="254">
        <v>1689</v>
      </c>
      <c r="P102" s="254">
        <v>1595</v>
      </c>
      <c r="Q102" s="254">
        <v>1368</v>
      </c>
      <c r="R102" s="254">
        <v>1229</v>
      </c>
      <c r="S102" s="254">
        <v>1186</v>
      </c>
      <c r="T102" s="254">
        <v>977</v>
      </c>
      <c r="U102" s="254">
        <v>804</v>
      </c>
      <c r="V102" s="254">
        <v>886</v>
      </c>
      <c r="W102" s="254">
        <v>881</v>
      </c>
      <c r="X102" s="166">
        <v>861</v>
      </c>
    </row>
    <row r="103" spans="1:24" x14ac:dyDescent="0.2">
      <c r="A103" s="209" t="s">
        <v>67</v>
      </c>
      <c r="B103" s="165">
        <v>513</v>
      </c>
      <c r="C103" s="167">
        <v>233</v>
      </c>
      <c r="D103" s="167">
        <v>406</v>
      </c>
      <c r="E103" s="255">
        <v>428</v>
      </c>
      <c r="F103" s="255">
        <v>520</v>
      </c>
      <c r="G103" s="255">
        <v>434</v>
      </c>
      <c r="H103" s="255">
        <v>458</v>
      </c>
      <c r="I103" s="255">
        <v>374</v>
      </c>
      <c r="J103" s="255">
        <v>344</v>
      </c>
      <c r="K103" s="254">
        <v>273</v>
      </c>
      <c r="L103" s="254">
        <v>259</v>
      </c>
      <c r="M103" s="254">
        <v>339</v>
      </c>
      <c r="N103" s="254">
        <v>312</v>
      </c>
      <c r="O103" s="254">
        <v>352</v>
      </c>
      <c r="P103" s="254">
        <v>332</v>
      </c>
      <c r="Q103" s="254">
        <v>219</v>
      </c>
      <c r="R103" s="254">
        <v>219</v>
      </c>
      <c r="S103" s="254">
        <v>171</v>
      </c>
      <c r="T103" s="254">
        <v>127</v>
      </c>
      <c r="U103" s="254">
        <v>132</v>
      </c>
      <c r="V103" s="254">
        <v>175</v>
      </c>
      <c r="W103" s="254">
        <v>173</v>
      </c>
      <c r="X103" s="166">
        <v>369</v>
      </c>
    </row>
    <row r="104" spans="1:24" x14ac:dyDescent="0.2">
      <c r="A104" s="209" t="s">
        <v>66</v>
      </c>
      <c r="B104" s="165">
        <v>2755</v>
      </c>
      <c r="C104" s="167">
        <v>1936</v>
      </c>
      <c r="D104" s="167">
        <v>2729</v>
      </c>
      <c r="E104" s="255">
        <v>2736</v>
      </c>
      <c r="F104" s="255">
        <v>3123</v>
      </c>
      <c r="G104" s="255">
        <v>2211</v>
      </c>
      <c r="H104" s="255">
        <v>2039</v>
      </c>
      <c r="I104" s="255">
        <v>2056</v>
      </c>
      <c r="J104" s="255">
        <v>2063</v>
      </c>
      <c r="K104" s="254">
        <v>2355</v>
      </c>
      <c r="L104" s="254">
        <v>2471</v>
      </c>
      <c r="M104" s="254">
        <v>2680</v>
      </c>
      <c r="N104" s="254">
        <v>2555</v>
      </c>
      <c r="O104" s="254">
        <v>2842</v>
      </c>
      <c r="P104" s="254">
        <v>2689</v>
      </c>
      <c r="Q104" s="254">
        <v>2733</v>
      </c>
      <c r="R104" s="254">
        <v>2666</v>
      </c>
      <c r="S104" s="254">
        <v>2447</v>
      </c>
      <c r="T104" s="254">
        <v>2515</v>
      </c>
      <c r="U104" s="254">
        <v>2403</v>
      </c>
      <c r="V104" s="254">
        <v>2275</v>
      </c>
      <c r="W104" s="254">
        <v>2435</v>
      </c>
      <c r="X104" s="166">
        <v>2879</v>
      </c>
    </row>
    <row r="105" spans="1:24" x14ac:dyDescent="0.2">
      <c r="A105" s="209" t="s">
        <v>63</v>
      </c>
      <c r="B105" s="165">
        <v>535</v>
      </c>
      <c r="C105" s="167">
        <v>442</v>
      </c>
      <c r="D105" s="167">
        <v>468</v>
      </c>
      <c r="E105" s="255">
        <v>272</v>
      </c>
      <c r="F105" s="255">
        <v>336</v>
      </c>
      <c r="G105" s="255">
        <v>1103</v>
      </c>
      <c r="H105" s="255">
        <v>1082</v>
      </c>
      <c r="I105" s="255">
        <v>1150</v>
      </c>
      <c r="J105" s="255">
        <v>337</v>
      </c>
      <c r="K105" s="254">
        <v>262</v>
      </c>
      <c r="L105" s="254">
        <v>990</v>
      </c>
      <c r="M105" s="254">
        <v>1113</v>
      </c>
      <c r="N105" s="254">
        <v>1102</v>
      </c>
      <c r="O105" s="254">
        <v>1022</v>
      </c>
      <c r="P105" s="254">
        <v>1137</v>
      </c>
      <c r="Q105" s="254">
        <v>1045</v>
      </c>
      <c r="R105" s="254">
        <v>938</v>
      </c>
      <c r="S105" s="254">
        <v>772</v>
      </c>
      <c r="T105" s="254">
        <v>666</v>
      </c>
      <c r="U105" s="254">
        <v>652</v>
      </c>
      <c r="V105" s="254">
        <v>568</v>
      </c>
      <c r="W105" s="254">
        <v>541</v>
      </c>
      <c r="X105" s="166">
        <v>502</v>
      </c>
    </row>
    <row r="106" spans="1:24" x14ac:dyDescent="0.2">
      <c r="A106" s="209" t="s">
        <v>62</v>
      </c>
      <c r="B106" s="165">
        <v>4508</v>
      </c>
      <c r="C106" s="167">
        <v>2701</v>
      </c>
      <c r="D106" s="167">
        <v>3707</v>
      </c>
      <c r="E106" s="255">
        <v>3992</v>
      </c>
      <c r="F106" s="255">
        <v>4090</v>
      </c>
      <c r="G106" s="255">
        <v>2959</v>
      </c>
      <c r="H106" s="255">
        <v>2811</v>
      </c>
      <c r="I106" s="255">
        <v>2548</v>
      </c>
      <c r="J106" s="255">
        <v>3410</v>
      </c>
      <c r="K106" s="254">
        <v>2803</v>
      </c>
      <c r="L106" s="254">
        <v>2417</v>
      </c>
      <c r="M106" s="254">
        <v>2377</v>
      </c>
      <c r="N106" s="254">
        <v>2277</v>
      </c>
      <c r="O106" s="254">
        <v>2290</v>
      </c>
      <c r="P106" s="254">
        <v>2093</v>
      </c>
      <c r="Q106" s="254">
        <v>1809</v>
      </c>
      <c r="R106" s="254">
        <v>1420</v>
      </c>
      <c r="S106" s="254">
        <v>1307</v>
      </c>
      <c r="T106" s="254">
        <v>975</v>
      </c>
      <c r="U106" s="254">
        <v>840</v>
      </c>
      <c r="V106" s="254">
        <v>759</v>
      </c>
      <c r="W106" s="254">
        <v>772</v>
      </c>
      <c r="X106" s="166">
        <v>813</v>
      </c>
    </row>
    <row r="107" spans="1:24" x14ac:dyDescent="0.2">
      <c r="A107" s="209" t="s">
        <v>64</v>
      </c>
      <c r="B107" s="165">
        <v>1411</v>
      </c>
      <c r="C107" s="167">
        <v>938</v>
      </c>
      <c r="D107" s="167">
        <v>1022</v>
      </c>
      <c r="E107" s="255">
        <v>1277</v>
      </c>
      <c r="F107" s="255">
        <v>1281</v>
      </c>
      <c r="G107" s="255">
        <v>1047</v>
      </c>
      <c r="H107" s="255">
        <v>1142</v>
      </c>
      <c r="I107" s="255">
        <v>1107</v>
      </c>
      <c r="J107" s="255">
        <v>1386</v>
      </c>
      <c r="K107" s="254">
        <v>1285</v>
      </c>
      <c r="L107" s="254">
        <v>1060</v>
      </c>
      <c r="M107" s="254">
        <v>1398</v>
      </c>
      <c r="N107" s="254">
        <v>1171</v>
      </c>
      <c r="O107" s="254">
        <v>1120</v>
      </c>
      <c r="P107" s="254">
        <v>1065</v>
      </c>
      <c r="Q107" s="254">
        <v>1031</v>
      </c>
      <c r="R107" s="254">
        <v>952</v>
      </c>
      <c r="S107" s="254">
        <v>802</v>
      </c>
      <c r="T107" s="254">
        <v>609</v>
      </c>
      <c r="U107" s="254">
        <v>514</v>
      </c>
      <c r="V107" s="254">
        <v>579</v>
      </c>
      <c r="W107" s="254">
        <v>501</v>
      </c>
      <c r="X107" s="166">
        <v>548</v>
      </c>
    </row>
    <row r="108" spans="1:24" x14ac:dyDescent="0.2">
      <c r="A108" s="203" t="s">
        <v>65</v>
      </c>
      <c r="B108" s="165">
        <v>1515</v>
      </c>
      <c r="C108" s="167">
        <v>1370</v>
      </c>
      <c r="D108" s="167">
        <v>1472</v>
      </c>
      <c r="E108" s="255">
        <v>1534</v>
      </c>
      <c r="F108" s="255">
        <v>1595</v>
      </c>
      <c r="G108" s="255">
        <v>1480</v>
      </c>
      <c r="H108" s="255">
        <v>1602</v>
      </c>
      <c r="I108" s="255">
        <v>1680</v>
      </c>
      <c r="J108" s="255">
        <v>1685</v>
      </c>
      <c r="K108" s="254">
        <v>1853</v>
      </c>
      <c r="L108" s="254">
        <v>2347</v>
      </c>
      <c r="M108" s="254">
        <v>2357</v>
      </c>
      <c r="N108" s="254">
        <v>2255</v>
      </c>
      <c r="O108" s="254">
        <v>2332</v>
      </c>
      <c r="P108" s="254">
        <v>2384</v>
      </c>
      <c r="Q108" s="254">
        <v>2335</v>
      </c>
      <c r="R108" s="254">
        <v>2229</v>
      </c>
      <c r="S108" s="254">
        <v>1908</v>
      </c>
      <c r="T108" s="254">
        <v>2049</v>
      </c>
      <c r="U108" s="254">
        <v>2139</v>
      </c>
      <c r="V108" s="254">
        <v>2235</v>
      </c>
      <c r="W108" s="254">
        <v>2255</v>
      </c>
      <c r="X108" s="166">
        <v>2862</v>
      </c>
    </row>
    <row r="109" spans="1:24" x14ac:dyDescent="0.2">
      <c r="A109" s="210" t="s">
        <v>68</v>
      </c>
      <c r="B109" s="168">
        <v>339</v>
      </c>
      <c r="C109" s="169">
        <v>269</v>
      </c>
      <c r="D109" s="169">
        <v>341</v>
      </c>
      <c r="E109" s="256">
        <v>416</v>
      </c>
      <c r="F109" s="256">
        <v>342</v>
      </c>
      <c r="G109" s="256">
        <v>453</v>
      </c>
      <c r="H109" s="256">
        <v>435</v>
      </c>
      <c r="I109" s="256">
        <v>465</v>
      </c>
      <c r="J109" s="256">
        <v>527</v>
      </c>
      <c r="K109" s="471">
        <v>482</v>
      </c>
      <c r="L109" s="471">
        <v>487</v>
      </c>
      <c r="M109" s="471">
        <v>540</v>
      </c>
      <c r="N109" s="471">
        <v>453</v>
      </c>
      <c r="O109" s="471">
        <v>473</v>
      </c>
      <c r="P109" s="471">
        <v>514</v>
      </c>
      <c r="Q109" s="471">
        <v>435</v>
      </c>
      <c r="R109" s="471">
        <v>416</v>
      </c>
      <c r="S109" s="471">
        <v>504</v>
      </c>
      <c r="T109" s="471">
        <v>431</v>
      </c>
      <c r="U109" s="471">
        <v>415</v>
      </c>
      <c r="V109" s="471">
        <v>346</v>
      </c>
      <c r="W109" s="471">
        <v>508</v>
      </c>
      <c r="X109" s="170">
        <v>540</v>
      </c>
    </row>
    <row r="110" spans="1:24" x14ac:dyDescent="0.2">
      <c r="A110" s="523"/>
      <c r="B110" s="532"/>
      <c r="C110" s="533"/>
      <c r="D110" s="533"/>
      <c r="E110" s="534"/>
      <c r="F110" s="534"/>
      <c r="G110" s="534"/>
      <c r="H110" s="534"/>
      <c r="I110" s="534"/>
      <c r="J110" s="534"/>
      <c r="K110" s="535"/>
      <c r="L110" s="535"/>
      <c r="M110" s="535"/>
      <c r="N110" s="535">
        <v>12</v>
      </c>
      <c r="O110" s="535"/>
      <c r="P110" s="535"/>
      <c r="Q110" s="535"/>
      <c r="R110" s="535">
        <v>7</v>
      </c>
      <c r="S110" s="535">
        <v>6</v>
      </c>
      <c r="T110" s="535">
        <v>0</v>
      </c>
      <c r="U110" s="535">
        <v>0</v>
      </c>
      <c r="V110" s="535">
        <v>9</v>
      </c>
      <c r="W110" s="535">
        <v>9</v>
      </c>
      <c r="X110" s="536">
        <v>9</v>
      </c>
    </row>
    <row r="111" spans="1:24" ht="13.5" thickBot="1" x14ac:dyDescent="0.25">
      <c r="A111" s="205" t="s">
        <v>20</v>
      </c>
      <c r="B111" s="171">
        <v>13456</v>
      </c>
      <c r="C111" s="171">
        <v>8797</v>
      </c>
      <c r="D111" s="171">
        <v>11816</v>
      </c>
      <c r="E111" s="257">
        <v>12602</v>
      </c>
      <c r="F111" s="257">
        <v>13434</v>
      </c>
      <c r="G111" s="257">
        <v>11300</v>
      </c>
      <c r="H111" s="257">
        <v>11149</v>
      </c>
      <c r="I111" s="257">
        <v>10858</v>
      </c>
      <c r="J111" s="257">
        <v>11342</v>
      </c>
      <c r="K111" s="257">
        <v>10658</v>
      </c>
      <c r="L111" s="257">
        <v>11563</v>
      </c>
      <c r="M111" s="257">
        <v>12515</v>
      </c>
      <c r="N111" s="257">
        <v>11804</v>
      </c>
      <c r="O111" s="257">
        <f>+'voš_druh studia '!I59</f>
        <v>12043</v>
      </c>
      <c r="P111" s="257">
        <f>+'voš_druh studia '!I63</f>
        <v>11877</v>
      </c>
      <c r="Q111" s="257">
        <f>+'voš_druh studia '!I67</f>
        <v>10951</v>
      </c>
      <c r="R111" s="257">
        <f>+'voš_druh studia '!I71</f>
        <v>10032</v>
      </c>
      <c r="S111" s="257">
        <f>+'voš_druh studia '!I75</f>
        <v>9025</v>
      </c>
      <c r="T111" s="257">
        <f>+'voš_druh studia '!I79</f>
        <v>8304</v>
      </c>
      <c r="U111" s="257">
        <f>+'voš_druh studia '!I83</f>
        <v>7844</v>
      </c>
      <c r="V111" s="257">
        <f>+'voš_druh studia '!I87</f>
        <v>7833</v>
      </c>
      <c r="W111" s="257">
        <f>+'voš_druh studia '!I91</f>
        <v>8074.9999999999991</v>
      </c>
      <c r="X111" s="172">
        <f>+'voš_druh studia '!I95</f>
        <v>9369</v>
      </c>
    </row>
    <row r="112" spans="1:24" ht="13.5" thickBot="1" x14ac:dyDescent="0.25">
      <c r="A112" s="42" t="s">
        <v>24</v>
      </c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508"/>
      <c r="M112" s="508"/>
      <c r="N112" s="508"/>
      <c r="O112" s="508"/>
      <c r="P112" s="508"/>
      <c r="Q112" s="508"/>
      <c r="R112" s="508"/>
      <c r="S112" s="508"/>
      <c r="T112" s="508"/>
      <c r="U112" s="508"/>
      <c r="V112" s="508"/>
      <c r="W112" s="508"/>
      <c r="X112" s="470"/>
    </row>
    <row r="113" spans="1:24" x14ac:dyDescent="0.2">
      <c r="A113" s="208" t="s">
        <v>60</v>
      </c>
      <c r="B113" s="154">
        <v>1.0404280618311534E-2</v>
      </c>
      <c r="C113" s="154">
        <v>7.7299079231556217E-3</v>
      </c>
      <c r="D113" s="154">
        <v>1.2610020311442113E-2</v>
      </c>
      <c r="E113" s="245">
        <v>1.0791937787652753E-2</v>
      </c>
      <c r="F113" s="124">
        <v>1.2133392883727855E-2</v>
      </c>
      <c r="G113" s="124">
        <v>1.1238938053097345E-2</v>
      </c>
      <c r="H113" s="124">
        <v>1.058390887075074E-2</v>
      </c>
      <c r="I113" s="359">
        <v>1.3354208878246454E-2</v>
      </c>
      <c r="J113" s="359">
        <v>7.8469405748545235E-3</v>
      </c>
      <c r="K113" s="359">
        <f t="shared" ref="K113:K121" si="75">K101/$K$111</f>
        <v>6.5678363670482265E-3</v>
      </c>
      <c r="L113" s="359">
        <f t="shared" ref="L113:L121" si="76">L101/$L$111</f>
        <v>8.2158609357433198E-3</v>
      </c>
      <c r="M113" s="359">
        <f t="shared" ref="M113:M121" si="77">M101/$M$111</f>
        <v>5.9129045145825008E-3</v>
      </c>
      <c r="N113" s="359">
        <f t="shared" ref="N113:S113" si="78">N101/N$111</f>
        <v>4.4900033886818031E-3</v>
      </c>
      <c r="O113" s="359">
        <f t="shared" si="78"/>
        <v>2.8232168064435772E-3</v>
      </c>
      <c r="P113" s="359">
        <f t="shared" si="78"/>
        <v>4.8833880609581541E-3</v>
      </c>
      <c r="Q113" s="359">
        <f t="shared" si="78"/>
        <v>4.8397406629531545E-3</v>
      </c>
      <c r="R113" s="359">
        <f t="shared" si="78"/>
        <v>3.0901116427432215E-3</v>
      </c>
      <c r="S113" s="359">
        <f t="shared" si="78"/>
        <v>1.218836565096953E-3</v>
      </c>
      <c r="T113" s="359">
        <f t="shared" ref="T113:U123" si="79">T101/T$111</f>
        <v>2.0472061657032755E-3</v>
      </c>
      <c r="U113" s="359">
        <f t="shared" si="79"/>
        <v>0</v>
      </c>
      <c r="V113" s="359">
        <f t="shared" ref="V113:X123" si="80">V101/V$111</f>
        <v>5.4895953019277414E-3</v>
      </c>
      <c r="W113" s="359">
        <f t="shared" ref="W113" si="81">W101/W$111</f>
        <v>0</v>
      </c>
      <c r="X113" s="125">
        <f t="shared" si="80"/>
        <v>4.3761340591311777E-3</v>
      </c>
    </row>
    <row r="114" spans="1:24" x14ac:dyDescent="0.2">
      <c r="A114" s="209" t="s">
        <v>61</v>
      </c>
      <c r="B114" s="63">
        <v>0.13733650416171225</v>
      </c>
      <c r="C114" s="63">
        <v>9.8442650903717177E-2</v>
      </c>
      <c r="D114" s="63">
        <v>0.13278605280974951</v>
      </c>
      <c r="E114" s="246">
        <v>0.14830979209649262</v>
      </c>
      <c r="F114" s="63">
        <v>0.15222569599523597</v>
      </c>
      <c r="G114" s="63">
        <v>0.13672566371681416</v>
      </c>
      <c r="H114" s="63">
        <v>0.14055072203785093</v>
      </c>
      <c r="I114" s="246">
        <v>0.12847669920795726</v>
      </c>
      <c r="J114" s="246">
        <v>0.13639569740786459</v>
      </c>
      <c r="K114" s="246">
        <f t="shared" si="75"/>
        <v>0.12450741227247138</v>
      </c>
      <c r="L114" s="246">
        <f t="shared" si="76"/>
        <v>0.13110784398512496</v>
      </c>
      <c r="M114" s="246">
        <f t="shared" si="77"/>
        <v>0.13583699560527368</v>
      </c>
      <c r="N114" s="246">
        <f t="shared" ref="N114:O123" si="82">N102/N$111</f>
        <v>0.14096916299559473</v>
      </c>
      <c r="O114" s="246">
        <f t="shared" si="82"/>
        <v>0.14024744664950595</v>
      </c>
      <c r="P114" s="246">
        <f t="shared" ref="P114:Q123" si="83">P102/P$111</f>
        <v>0.13429317167634924</v>
      </c>
      <c r="Q114" s="246">
        <f t="shared" si="83"/>
        <v>0.12492009862113049</v>
      </c>
      <c r="R114" s="246">
        <f t="shared" ref="R114:S123" si="84">R102/R$111</f>
        <v>0.12250797448165869</v>
      </c>
      <c r="S114" s="246">
        <f t="shared" si="84"/>
        <v>0.13141274238227146</v>
      </c>
      <c r="T114" s="246">
        <f t="shared" si="79"/>
        <v>0.11765414258188825</v>
      </c>
      <c r="U114" s="246">
        <f t="shared" si="79"/>
        <v>0.10249872514023457</v>
      </c>
      <c r="V114" s="246">
        <f t="shared" si="80"/>
        <v>0.11311119622111579</v>
      </c>
      <c r="W114" s="246">
        <f t="shared" ref="W114" si="85">W102/W$111</f>
        <v>0.10910216718266255</v>
      </c>
      <c r="X114" s="64">
        <f t="shared" si="80"/>
        <v>9.1898815241754722E-2</v>
      </c>
    </row>
    <row r="115" spans="1:24" x14ac:dyDescent="0.2">
      <c r="A115" s="209" t="s">
        <v>67</v>
      </c>
      <c r="B115" s="63">
        <v>3.8124256837098691E-2</v>
      </c>
      <c r="C115" s="63">
        <v>2.6486302148459703E-2</v>
      </c>
      <c r="D115" s="63">
        <v>3.4360189573459717E-2</v>
      </c>
      <c r="E115" s="246">
        <v>3.3962863037613075E-2</v>
      </c>
      <c r="F115" s="63">
        <v>3.8707756438886409E-2</v>
      </c>
      <c r="G115" s="63">
        <v>3.8407079646017701E-2</v>
      </c>
      <c r="H115" s="63">
        <v>4.1079917481388464E-2</v>
      </c>
      <c r="I115" s="246">
        <v>3.4444649106649475E-2</v>
      </c>
      <c r="J115" s="246">
        <v>3.0329747839887147E-2</v>
      </c>
      <c r="K115" s="246">
        <f t="shared" si="75"/>
        <v>2.5614561831488084E-2</v>
      </c>
      <c r="L115" s="246">
        <f t="shared" si="76"/>
        <v>2.239903139323705E-2</v>
      </c>
      <c r="M115" s="246">
        <f t="shared" si="77"/>
        <v>2.708749500599281E-2</v>
      </c>
      <c r="N115" s="246">
        <f t="shared" si="82"/>
        <v>2.643171806167401E-2</v>
      </c>
      <c r="O115" s="246">
        <f t="shared" si="82"/>
        <v>2.9228597525533504E-2</v>
      </c>
      <c r="P115" s="246">
        <f t="shared" si="83"/>
        <v>2.7953186831691505E-2</v>
      </c>
      <c r="Q115" s="246">
        <f t="shared" si="83"/>
        <v>1.9998173682768697E-2</v>
      </c>
      <c r="R115" s="246">
        <f t="shared" si="84"/>
        <v>2.1830143540669856E-2</v>
      </c>
      <c r="S115" s="246">
        <f t="shared" si="84"/>
        <v>1.8947368421052633E-2</v>
      </c>
      <c r="T115" s="246">
        <f t="shared" si="79"/>
        <v>1.5293834296724471E-2</v>
      </c>
      <c r="U115" s="246">
        <f t="shared" si="79"/>
        <v>1.6828148903620603E-2</v>
      </c>
      <c r="V115" s="246">
        <f t="shared" si="80"/>
        <v>2.2341376228775692E-2</v>
      </c>
      <c r="W115" s="246">
        <f t="shared" ref="W115" si="86">W103/W$111</f>
        <v>2.1424148606811147E-2</v>
      </c>
      <c r="X115" s="64">
        <f t="shared" si="80"/>
        <v>3.9385206532180597E-2</v>
      </c>
    </row>
    <row r="116" spans="1:24" x14ac:dyDescent="0.2">
      <c r="A116" s="209" t="s">
        <v>66</v>
      </c>
      <c r="B116" s="63">
        <v>0.20474137931034483</v>
      </c>
      <c r="C116" s="63">
        <v>0.22007502557690123</v>
      </c>
      <c r="D116" s="63">
        <v>0.23095802301963439</v>
      </c>
      <c r="E116" s="246">
        <v>0.21710839549277891</v>
      </c>
      <c r="F116" s="63">
        <v>0.23246985261277356</v>
      </c>
      <c r="G116" s="63">
        <v>0.19566371681415928</v>
      </c>
      <c r="H116" s="63">
        <v>0.18288635752085389</v>
      </c>
      <c r="I116" s="246">
        <v>0.18935347209430833</v>
      </c>
      <c r="J116" s="246">
        <v>0.1818903191676953</v>
      </c>
      <c r="K116" s="246">
        <f t="shared" si="75"/>
        <v>0.22096078063426533</v>
      </c>
      <c r="L116" s="246">
        <f t="shared" si="76"/>
        <v>0.21369886707601835</v>
      </c>
      <c r="M116" s="246">
        <f t="shared" si="77"/>
        <v>0.21414302836596086</v>
      </c>
      <c r="N116" s="246">
        <f t="shared" si="82"/>
        <v>0.21645205015249069</v>
      </c>
      <c r="O116" s="246">
        <f t="shared" si="82"/>
        <v>0.23598771070331312</v>
      </c>
      <c r="P116" s="246">
        <f t="shared" si="83"/>
        <v>0.22640397406752547</v>
      </c>
      <c r="Q116" s="246">
        <f t="shared" si="83"/>
        <v>0.24956624965756552</v>
      </c>
      <c r="R116" s="246">
        <f t="shared" si="84"/>
        <v>0.26574960127591707</v>
      </c>
      <c r="S116" s="246">
        <f t="shared" si="84"/>
        <v>0.27113573407202218</v>
      </c>
      <c r="T116" s="246">
        <f t="shared" si="79"/>
        <v>0.30286608863198461</v>
      </c>
      <c r="U116" s="246">
        <f t="shared" si="79"/>
        <v>0.30634880163182049</v>
      </c>
      <c r="V116" s="246">
        <f t="shared" si="80"/>
        <v>0.29043789097408401</v>
      </c>
      <c r="W116" s="246">
        <f t="shared" ref="W116" si="87">W104/W$111</f>
        <v>0.30154798761609908</v>
      </c>
      <c r="X116" s="64">
        <f t="shared" si="80"/>
        <v>0.30728999893265024</v>
      </c>
    </row>
    <row r="117" spans="1:24" x14ac:dyDescent="0.2">
      <c r="A117" s="209" t="s">
        <v>63</v>
      </c>
      <c r="B117" s="63">
        <v>3.9759215219976218E-2</v>
      </c>
      <c r="C117" s="63">
        <v>5.0244401500511536E-2</v>
      </c>
      <c r="D117" s="63">
        <v>3.9607312119160458E-2</v>
      </c>
      <c r="E117" s="246">
        <v>2.1583875575305507E-2</v>
      </c>
      <c r="F117" s="63">
        <v>2.5011165698972757E-2</v>
      </c>
      <c r="G117" s="63">
        <v>9.7610619469026549E-2</v>
      </c>
      <c r="H117" s="63">
        <v>9.7049062696205932E-2</v>
      </c>
      <c r="I117" s="246">
        <v>0.10591269110333394</v>
      </c>
      <c r="J117" s="246">
        <v>2.9712572738494092E-2</v>
      </c>
      <c r="K117" s="246">
        <f t="shared" si="75"/>
        <v>2.4582473259523362E-2</v>
      </c>
      <c r="L117" s="246">
        <f t="shared" si="76"/>
        <v>8.5617919225114594E-2</v>
      </c>
      <c r="M117" s="246">
        <f t="shared" si="77"/>
        <v>8.8933280063923287E-2</v>
      </c>
      <c r="N117" s="246">
        <f t="shared" si="82"/>
        <v>9.3358183666553712E-2</v>
      </c>
      <c r="O117" s="246">
        <f t="shared" si="82"/>
        <v>8.4862575770156934E-2</v>
      </c>
      <c r="P117" s="246">
        <f t="shared" si="83"/>
        <v>9.5731245263955544E-2</v>
      </c>
      <c r="Q117" s="246">
        <f t="shared" si="83"/>
        <v>9.5425075335585793E-2</v>
      </c>
      <c r="R117" s="246">
        <f t="shared" si="84"/>
        <v>9.3500797448165876E-2</v>
      </c>
      <c r="S117" s="246">
        <f t="shared" si="84"/>
        <v>8.5540166204986154E-2</v>
      </c>
      <c r="T117" s="246">
        <f t="shared" si="79"/>
        <v>8.0202312138728318E-2</v>
      </c>
      <c r="U117" s="246">
        <f t="shared" si="79"/>
        <v>8.3120856705762372E-2</v>
      </c>
      <c r="V117" s="246">
        <f t="shared" si="80"/>
        <v>7.2513723988254813E-2</v>
      </c>
      <c r="W117" s="246">
        <f t="shared" ref="W117" si="88">W105/W$111</f>
        <v>6.6996904024767809E-2</v>
      </c>
      <c r="X117" s="64">
        <f t="shared" si="80"/>
        <v>5.3580958480093928E-2</v>
      </c>
    </row>
    <row r="118" spans="1:24" x14ac:dyDescent="0.2">
      <c r="A118" s="209" t="s">
        <v>62</v>
      </c>
      <c r="B118" s="63">
        <v>0.33501783590963141</v>
      </c>
      <c r="C118" s="63">
        <v>0.30703648971240194</v>
      </c>
      <c r="D118" s="63">
        <v>0.31372714962762355</v>
      </c>
      <c r="E118" s="246">
        <v>0.3167751150611014</v>
      </c>
      <c r="F118" s="63">
        <v>0.30445139199047194</v>
      </c>
      <c r="G118" s="63">
        <v>0.26185840707964603</v>
      </c>
      <c r="H118" s="63">
        <v>0.25213023589559602</v>
      </c>
      <c r="I118" s="246">
        <v>0.23466568428808252</v>
      </c>
      <c r="J118" s="246">
        <v>0.30065244225004406</v>
      </c>
      <c r="K118" s="246">
        <f t="shared" si="75"/>
        <v>0.26299493338337399</v>
      </c>
      <c r="L118" s="246">
        <f t="shared" si="76"/>
        <v>0.20902879875464844</v>
      </c>
      <c r="M118" s="246">
        <f t="shared" si="77"/>
        <v>0.18993208150219737</v>
      </c>
      <c r="N118" s="246">
        <f t="shared" si="82"/>
        <v>0.19290071162317859</v>
      </c>
      <c r="O118" s="246">
        <f t="shared" si="82"/>
        <v>0.19015195549281741</v>
      </c>
      <c r="P118" s="246">
        <f t="shared" si="83"/>
        <v>0.17622295192388651</v>
      </c>
      <c r="Q118" s="246">
        <f t="shared" si="83"/>
        <v>0.16519039357136334</v>
      </c>
      <c r="R118" s="246">
        <f t="shared" si="84"/>
        <v>0.14154704944178628</v>
      </c>
      <c r="S118" s="246">
        <f t="shared" si="84"/>
        <v>0.14481994459833794</v>
      </c>
      <c r="T118" s="246">
        <f t="shared" si="79"/>
        <v>0.11741329479768786</v>
      </c>
      <c r="U118" s="246">
        <f t="shared" si="79"/>
        <v>0.10708822029576746</v>
      </c>
      <c r="V118" s="246">
        <f t="shared" si="80"/>
        <v>9.6897740329375717E-2</v>
      </c>
      <c r="W118" s="246">
        <f t="shared" ref="W118" si="89">W106/W$111</f>
        <v>9.5603715170278644E-2</v>
      </c>
      <c r="X118" s="64">
        <f t="shared" si="80"/>
        <v>8.6775536343259685E-2</v>
      </c>
    </row>
    <row r="119" spans="1:24" x14ac:dyDescent="0.2">
      <c r="A119" s="209" t="s">
        <v>64</v>
      </c>
      <c r="B119" s="63">
        <v>0.10486028537455411</v>
      </c>
      <c r="C119" s="63">
        <v>0.10662725929294077</v>
      </c>
      <c r="D119" s="63">
        <v>8.6492890995260668E-2</v>
      </c>
      <c r="E119" s="246">
        <v>0.10133312172671005</v>
      </c>
      <c r="F119" s="63">
        <v>9.5355069227333625E-2</v>
      </c>
      <c r="G119" s="63">
        <v>9.2654867256637172E-2</v>
      </c>
      <c r="H119" s="63">
        <v>0.10243071127455378</v>
      </c>
      <c r="I119" s="246">
        <v>0.1019524774359919</v>
      </c>
      <c r="J119" s="246">
        <v>0.12220067007582437</v>
      </c>
      <c r="K119" s="246">
        <f t="shared" si="75"/>
        <v>0.12056671045224245</v>
      </c>
      <c r="L119" s="246">
        <f t="shared" si="76"/>
        <v>9.1671711493557032E-2</v>
      </c>
      <c r="M119" s="246">
        <f t="shared" si="77"/>
        <v>0.11170595285657212</v>
      </c>
      <c r="N119" s="246">
        <f t="shared" si="82"/>
        <v>9.9203659776347E-2</v>
      </c>
      <c r="O119" s="246">
        <f t="shared" si="82"/>
        <v>9.3000083035788425E-2</v>
      </c>
      <c r="P119" s="246">
        <f t="shared" si="83"/>
        <v>8.966910836069715E-2</v>
      </c>
      <c r="Q119" s="246">
        <f t="shared" si="83"/>
        <v>9.4146653273673636E-2</v>
      </c>
      <c r="R119" s="246">
        <f t="shared" si="84"/>
        <v>9.4896331738437006E-2</v>
      </c>
      <c r="S119" s="246">
        <f t="shared" si="84"/>
        <v>8.8864265927977845E-2</v>
      </c>
      <c r="T119" s="246">
        <f t="shared" si="79"/>
        <v>7.3338150289017343E-2</v>
      </c>
      <c r="U119" s="246">
        <f t="shared" si="79"/>
        <v>6.5527791942886285E-2</v>
      </c>
      <c r="V119" s="246">
        <f t="shared" si="80"/>
        <v>7.3918039065492144E-2</v>
      </c>
      <c r="W119" s="246">
        <f t="shared" ref="W119" si="90">W107/W$111</f>
        <v>6.2043343653250781E-2</v>
      </c>
      <c r="X119" s="64">
        <f t="shared" si="80"/>
        <v>5.8490767424485002E-2</v>
      </c>
    </row>
    <row r="120" spans="1:24" x14ac:dyDescent="0.2">
      <c r="A120" s="203" t="s">
        <v>65</v>
      </c>
      <c r="B120" s="63">
        <v>0.11258917954815696</v>
      </c>
      <c r="C120" s="63">
        <v>0.15573490962828238</v>
      </c>
      <c r="D120" s="63">
        <v>0.12457684495599188</v>
      </c>
      <c r="E120" s="246">
        <v>0.12172671004602444</v>
      </c>
      <c r="F120" s="63">
        <v>0.11872859907696888</v>
      </c>
      <c r="G120" s="63">
        <v>0.13097345132743363</v>
      </c>
      <c r="H120" s="63">
        <v>0.14369001704188716</v>
      </c>
      <c r="I120" s="246">
        <v>0.15472462700313133</v>
      </c>
      <c r="J120" s="246">
        <v>0.14856286369247046</v>
      </c>
      <c r="K120" s="246">
        <f t="shared" si="75"/>
        <v>0.17386001125914805</v>
      </c>
      <c r="L120" s="246">
        <f t="shared" si="76"/>
        <v>0.20297500648620601</v>
      </c>
      <c r="M120" s="246">
        <f t="shared" si="77"/>
        <v>0.18833399920095886</v>
      </c>
      <c r="N120" s="246">
        <f t="shared" si="82"/>
        <v>0.19103693663165028</v>
      </c>
      <c r="O120" s="246">
        <f t="shared" si="82"/>
        <v>0.19363945860665946</v>
      </c>
      <c r="P120" s="246">
        <f t="shared" si="83"/>
        <v>0.20072408857455587</v>
      </c>
      <c r="Q120" s="246">
        <f t="shared" si="83"/>
        <v>0.21322253675463429</v>
      </c>
      <c r="R120" s="246">
        <f t="shared" si="84"/>
        <v>0.22218899521531099</v>
      </c>
      <c r="S120" s="246">
        <f t="shared" si="84"/>
        <v>0.21141274238227148</v>
      </c>
      <c r="T120" s="246">
        <f t="shared" si="79"/>
        <v>0.24674855491329481</v>
      </c>
      <c r="U120" s="246">
        <f t="shared" si="79"/>
        <v>0.27269250382457927</v>
      </c>
      <c r="V120" s="246">
        <f t="shared" si="80"/>
        <v>0.285331290693221</v>
      </c>
      <c r="W120" s="246">
        <f t="shared" ref="W120" si="91">W108/W$111</f>
        <v>0.27925696594427246</v>
      </c>
      <c r="X120" s="64">
        <f t="shared" si="80"/>
        <v>0.30547550432276654</v>
      </c>
    </row>
    <row r="121" spans="1:24" x14ac:dyDescent="0.2">
      <c r="A121" s="210" t="s">
        <v>68</v>
      </c>
      <c r="B121" s="66">
        <v>2.5193222354340072E-2</v>
      </c>
      <c r="C121" s="66">
        <v>3.0578606343071503E-2</v>
      </c>
      <c r="D121" s="66">
        <v>2.8859174001354095E-2</v>
      </c>
      <c r="E121" s="233">
        <v>3.3010633232820184E-2</v>
      </c>
      <c r="F121" s="66">
        <v>2.5457793657882984E-2</v>
      </c>
      <c r="G121" s="66">
        <v>4.008849557522124E-2</v>
      </c>
      <c r="H121" s="66">
        <v>3.9016952193021794E-2</v>
      </c>
      <c r="I121" s="233">
        <v>4.2825566402652421E-2</v>
      </c>
      <c r="J121" s="233">
        <v>4.6464468347734086E-2</v>
      </c>
      <c r="K121" s="233">
        <f t="shared" si="75"/>
        <v>4.5224244698817792E-2</v>
      </c>
      <c r="L121" s="66">
        <f t="shared" si="76"/>
        <v>4.2117097639021016E-2</v>
      </c>
      <c r="M121" s="66">
        <f t="shared" si="77"/>
        <v>4.314822213343987E-2</v>
      </c>
      <c r="N121" s="233">
        <f t="shared" si="82"/>
        <v>3.8376821416468997E-2</v>
      </c>
      <c r="O121" s="233">
        <f t="shared" si="82"/>
        <v>3.9275927924935644E-2</v>
      </c>
      <c r="P121" s="233">
        <f t="shared" si="83"/>
        <v>4.3276921781594681E-2</v>
      </c>
      <c r="Q121" s="233">
        <f t="shared" si="83"/>
        <v>3.9722399780841931E-2</v>
      </c>
      <c r="R121" s="233">
        <f t="shared" si="84"/>
        <v>4.1467304625199361E-2</v>
      </c>
      <c r="S121" s="233">
        <f t="shared" si="84"/>
        <v>5.5844875346260391E-2</v>
      </c>
      <c r="T121" s="233">
        <f t="shared" si="79"/>
        <v>5.1902697495183045E-2</v>
      </c>
      <c r="U121" s="233">
        <f t="shared" si="79"/>
        <v>5.2906680265170834E-2</v>
      </c>
      <c r="V121" s="233">
        <f t="shared" si="80"/>
        <v>4.4172092429465085E-2</v>
      </c>
      <c r="W121" s="233">
        <f t="shared" ref="W121" si="92">W109/W$111</f>
        <v>6.2910216718266257E-2</v>
      </c>
      <c r="X121" s="67">
        <f t="shared" si="80"/>
        <v>5.7636887608069162E-2</v>
      </c>
    </row>
    <row r="122" spans="1:24" x14ac:dyDescent="0.2">
      <c r="A122" s="523"/>
      <c r="B122" s="524"/>
      <c r="C122" s="524"/>
      <c r="D122" s="524"/>
      <c r="E122" s="525"/>
      <c r="F122" s="524"/>
      <c r="G122" s="524"/>
      <c r="H122" s="524"/>
      <c r="I122" s="525"/>
      <c r="J122" s="525"/>
      <c r="K122" s="525"/>
      <c r="L122" s="537"/>
      <c r="M122" s="537"/>
      <c r="N122" s="525">
        <f t="shared" si="82"/>
        <v>1.0166045408336157E-3</v>
      </c>
      <c r="O122" s="525"/>
      <c r="P122" s="525"/>
      <c r="Q122" s="525"/>
      <c r="R122" s="525">
        <f t="shared" si="84"/>
        <v>6.9776714513556618E-4</v>
      </c>
      <c r="S122" s="525">
        <f t="shared" si="84"/>
        <v>6.64819944598338E-4</v>
      </c>
      <c r="T122" s="525">
        <f t="shared" si="79"/>
        <v>0</v>
      </c>
      <c r="U122" s="525">
        <f t="shared" si="79"/>
        <v>0</v>
      </c>
      <c r="V122" s="525">
        <f t="shared" si="80"/>
        <v>1.1489850631941786E-3</v>
      </c>
      <c r="W122" s="525">
        <f t="shared" ref="W122" si="93">W110/W$111</f>
        <v>1.1145510835913314E-3</v>
      </c>
      <c r="X122" s="529">
        <f t="shared" si="80"/>
        <v>9.6061479346781938E-4</v>
      </c>
    </row>
    <row r="123" spans="1:24" ht="13.5" thickBot="1" x14ac:dyDescent="0.25">
      <c r="A123" s="212" t="s">
        <v>20</v>
      </c>
      <c r="B123" s="134">
        <v>1</v>
      </c>
      <c r="C123" s="134">
        <v>1</v>
      </c>
      <c r="D123" s="429">
        <v>1</v>
      </c>
      <c r="E123" s="430">
        <v>1</v>
      </c>
      <c r="F123" s="431">
        <v>1</v>
      </c>
      <c r="G123" s="431">
        <v>1</v>
      </c>
      <c r="H123" s="431">
        <v>1</v>
      </c>
      <c r="I123" s="432">
        <v>1</v>
      </c>
      <c r="J123" s="432">
        <v>1</v>
      </c>
      <c r="K123" s="432">
        <f>K111/$K$111</f>
        <v>1</v>
      </c>
      <c r="L123" s="510">
        <f>L111/$L$111</f>
        <v>1</v>
      </c>
      <c r="M123" s="510">
        <f>M111/$M$111</f>
        <v>1</v>
      </c>
      <c r="N123" s="510">
        <f t="shared" si="82"/>
        <v>1</v>
      </c>
      <c r="O123" s="510">
        <f t="shared" si="82"/>
        <v>1</v>
      </c>
      <c r="P123" s="510">
        <f t="shared" si="83"/>
        <v>1</v>
      </c>
      <c r="Q123" s="510">
        <f t="shared" si="83"/>
        <v>1</v>
      </c>
      <c r="R123" s="510">
        <f t="shared" si="84"/>
        <v>1</v>
      </c>
      <c r="S123" s="510">
        <f t="shared" si="84"/>
        <v>1</v>
      </c>
      <c r="T123" s="510">
        <f t="shared" si="79"/>
        <v>1</v>
      </c>
      <c r="U123" s="510">
        <f t="shared" si="79"/>
        <v>1</v>
      </c>
      <c r="V123" s="510">
        <f t="shared" si="80"/>
        <v>1</v>
      </c>
      <c r="W123" s="510">
        <f t="shared" ref="W123" si="94">W111/W$111</f>
        <v>1</v>
      </c>
      <c r="X123" s="490">
        <f t="shared" si="80"/>
        <v>1</v>
      </c>
    </row>
    <row r="124" spans="1:24" ht="5.0999999999999996" customHeight="1" thickTop="1" x14ac:dyDescent="0.2">
      <c r="A124" s="48"/>
      <c r="B124" s="47"/>
      <c r="C124" s="47"/>
      <c r="D124" s="50"/>
      <c r="E124" s="50"/>
      <c r="F124" s="50"/>
      <c r="G124" s="50"/>
      <c r="H124" s="50"/>
      <c r="I124" s="50"/>
      <c r="J124" s="50"/>
      <c r="K124" s="50"/>
    </row>
    <row r="125" spans="1:24" x14ac:dyDescent="0.2">
      <c r="A125" s="46" t="s">
        <v>80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3" manualBreakCount="3">
    <brk id="39" max="13" man="1"/>
    <brk id="75" max="13" man="1"/>
    <brk id="111" max="1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</sheetPr>
  <dimension ref="A1:O83"/>
  <sheetViews>
    <sheetView zoomScaleNormal="100" workbookViewId="0">
      <pane ySplit="2" topLeftCell="A60" activePane="bottomLeft" state="frozen"/>
      <selection sqref="A1:B4"/>
      <selection pane="bottomLeft" activeCell="M71" sqref="M71"/>
    </sheetView>
  </sheetViews>
  <sheetFormatPr defaultColWidth="9.140625" defaultRowHeight="12.75" x14ac:dyDescent="0.2"/>
  <cols>
    <col min="1" max="1" width="9.140625" style="1"/>
    <col min="2" max="2" width="8.42578125" style="1" bestFit="1" customWidth="1"/>
    <col min="3" max="3" width="10.42578125" style="1" customWidth="1"/>
    <col min="4" max="4" width="7.5703125" style="1" customWidth="1"/>
    <col min="5" max="6" width="11.42578125" style="1" customWidth="1"/>
    <col min="7" max="7" width="11.140625" style="1" customWidth="1"/>
    <col min="8" max="9" width="7.42578125" style="1" customWidth="1"/>
    <col min="10" max="10" width="5.5703125" style="1" customWidth="1"/>
    <col min="11" max="11" width="6.42578125" style="1" customWidth="1"/>
    <col min="12" max="12" width="8.85546875" style="1" customWidth="1"/>
    <col min="13" max="13" width="6.42578125" style="1" customWidth="1"/>
    <col min="14" max="14" width="10.42578125" style="1" customWidth="1"/>
    <col min="15" max="16384" width="9.140625" style="1"/>
  </cols>
  <sheetData>
    <row r="1" spans="1:15" ht="15.95" customHeight="1" thickBot="1" x14ac:dyDescent="0.25">
      <c r="A1" s="25" t="s">
        <v>162</v>
      </c>
    </row>
    <row r="2" spans="1:15" ht="90.75" thickTop="1" thickBot="1" x14ac:dyDescent="0.25">
      <c r="A2" s="30" t="s">
        <v>27</v>
      </c>
      <c r="B2" s="491" t="s">
        <v>16</v>
      </c>
      <c r="C2" s="328" t="s">
        <v>21</v>
      </c>
      <c r="D2" s="328" t="s">
        <v>17</v>
      </c>
      <c r="E2" s="328" t="s">
        <v>45</v>
      </c>
      <c r="F2" s="492" t="s">
        <v>46</v>
      </c>
      <c r="G2" s="492" t="s">
        <v>59</v>
      </c>
      <c r="H2" s="328" t="s">
        <v>28</v>
      </c>
      <c r="I2" s="328" t="s">
        <v>23</v>
      </c>
      <c r="J2" s="328" t="s">
        <v>29</v>
      </c>
      <c r="K2" s="328" t="s">
        <v>30</v>
      </c>
      <c r="L2" s="328" t="s">
        <v>42</v>
      </c>
      <c r="M2" s="328" t="s">
        <v>31</v>
      </c>
      <c r="N2" s="493" t="s">
        <v>72</v>
      </c>
      <c r="O2" s="494" t="s">
        <v>71</v>
      </c>
    </row>
    <row r="3" spans="1:15" ht="14.25" thickTop="1" thickBot="1" x14ac:dyDescent="0.25">
      <c r="A3" s="42" t="s">
        <v>11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</row>
    <row r="4" spans="1:15" x14ac:dyDescent="0.2">
      <c r="A4" s="202" t="s">
        <v>32</v>
      </c>
      <c r="B4" s="121">
        <v>9757</v>
      </c>
      <c r="C4" s="122">
        <v>7579</v>
      </c>
      <c r="D4" s="123">
        <v>1.2873730043541365</v>
      </c>
      <c r="E4" s="122">
        <v>8278</v>
      </c>
      <c r="F4" s="173">
        <v>0.84841652147176383</v>
      </c>
      <c r="G4" s="124" t="s">
        <v>73</v>
      </c>
      <c r="H4" s="122">
        <v>5522</v>
      </c>
      <c r="I4" s="122">
        <v>5184</v>
      </c>
      <c r="J4" s="174">
        <v>1.0652006172839505</v>
      </c>
      <c r="K4" s="122">
        <v>7577</v>
      </c>
      <c r="L4" s="122">
        <v>7503</v>
      </c>
      <c r="M4" s="174">
        <v>1.0098627215780354</v>
      </c>
      <c r="N4" s="329">
        <v>0.68399525003298589</v>
      </c>
      <c r="O4" s="125" t="s">
        <v>15</v>
      </c>
    </row>
    <row r="5" spans="1:15" ht="13.5" thickBot="1" x14ac:dyDescent="0.25">
      <c r="A5" s="206" t="s">
        <v>33</v>
      </c>
      <c r="B5" s="175">
        <v>26145</v>
      </c>
      <c r="C5" s="176">
        <v>16979</v>
      </c>
      <c r="D5" s="177">
        <v>1.5398433358855057</v>
      </c>
      <c r="E5" s="176">
        <v>21271</v>
      </c>
      <c r="F5" s="178">
        <v>0.81357812201185697</v>
      </c>
      <c r="G5" s="118" t="s">
        <v>73</v>
      </c>
      <c r="H5" s="176">
        <v>11388</v>
      </c>
      <c r="I5" s="176">
        <v>10214</v>
      </c>
      <c r="J5" s="179">
        <v>1.1149402780497357</v>
      </c>
      <c r="K5" s="176">
        <v>9128</v>
      </c>
      <c r="L5" s="176">
        <v>8953</v>
      </c>
      <c r="M5" s="179">
        <v>1.019546520719312</v>
      </c>
      <c r="N5" s="330">
        <v>0.60156664114494374</v>
      </c>
      <c r="O5" s="180" t="s">
        <v>15</v>
      </c>
    </row>
    <row r="6" spans="1:15" ht="13.5" thickBot="1" x14ac:dyDescent="0.25">
      <c r="A6" s="42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4"/>
    </row>
    <row r="7" spans="1:15" x14ac:dyDescent="0.2">
      <c r="A7" s="202" t="s">
        <v>32</v>
      </c>
      <c r="B7" s="121">
        <v>6136</v>
      </c>
      <c r="C7" s="122">
        <v>4799</v>
      </c>
      <c r="D7" s="123">
        <v>1.2785997082725569</v>
      </c>
      <c r="E7" s="122">
        <v>5060</v>
      </c>
      <c r="F7" s="173">
        <v>0.82464146023468055</v>
      </c>
      <c r="G7" s="122">
        <v>4305</v>
      </c>
      <c r="H7" s="122">
        <v>3690</v>
      </c>
      <c r="I7" s="122">
        <v>3470</v>
      </c>
      <c r="J7" s="174">
        <v>1.0634005763688761</v>
      </c>
      <c r="K7" s="122">
        <v>5714</v>
      </c>
      <c r="L7" s="122">
        <v>2945</v>
      </c>
      <c r="M7" s="174">
        <v>1.9402376910016979</v>
      </c>
      <c r="N7" s="329">
        <v>0.72306730568868516</v>
      </c>
      <c r="O7" s="125">
        <f>I7/G7</f>
        <v>0.80603948896631827</v>
      </c>
    </row>
    <row r="8" spans="1:15" ht="13.5" thickBot="1" x14ac:dyDescent="0.25">
      <c r="A8" s="206" t="s">
        <v>33</v>
      </c>
      <c r="B8" s="175">
        <v>15084</v>
      </c>
      <c r="C8" s="176">
        <v>10611</v>
      </c>
      <c r="D8" s="177">
        <v>1.4215436810856659</v>
      </c>
      <c r="E8" s="176">
        <v>11793</v>
      </c>
      <c r="F8" s="178">
        <v>0.78182179793158313</v>
      </c>
      <c r="G8" s="176">
        <v>9295</v>
      </c>
      <c r="H8" s="176">
        <v>7596</v>
      </c>
      <c r="I8" s="176">
        <v>6977</v>
      </c>
      <c r="J8" s="179">
        <v>1.0887200802637236</v>
      </c>
      <c r="K8" s="176">
        <v>2560</v>
      </c>
      <c r="L8" s="176">
        <v>5852</v>
      </c>
      <c r="M8" s="179">
        <v>0.43745727956254271</v>
      </c>
      <c r="N8" s="330">
        <v>0.65752520968805961</v>
      </c>
      <c r="O8" s="180">
        <f>I8/G8</f>
        <v>0.75061861215707371</v>
      </c>
    </row>
    <row r="9" spans="1:15" ht="13.5" thickBot="1" x14ac:dyDescent="0.25">
      <c r="A9" s="42" t="s">
        <v>5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</row>
    <row r="10" spans="1:15" x14ac:dyDescent="0.2">
      <c r="A10" s="202" t="s">
        <v>32</v>
      </c>
      <c r="B10" s="121">
        <v>7890</v>
      </c>
      <c r="C10" s="122">
        <v>6328</v>
      </c>
      <c r="D10" s="123">
        <v>1.2468394437420987</v>
      </c>
      <c r="E10" s="122">
        <v>6396</v>
      </c>
      <c r="F10" s="173">
        <v>0.8106463878326996</v>
      </c>
      <c r="G10" s="122">
        <v>5575</v>
      </c>
      <c r="H10" s="122">
        <v>4954</v>
      </c>
      <c r="I10" s="122">
        <v>4650</v>
      </c>
      <c r="J10" s="174">
        <v>1.0653763440860216</v>
      </c>
      <c r="K10" s="122">
        <v>3918</v>
      </c>
      <c r="L10" s="122">
        <v>3895</v>
      </c>
      <c r="M10" s="174">
        <v>1.0059050064184853</v>
      </c>
      <c r="N10" s="329">
        <v>0.73482932996207329</v>
      </c>
      <c r="O10" s="125">
        <f>I10/G10</f>
        <v>0.8340807174887892</v>
      </c>
    </row>
    <row r="11" spans="1:15" ht="13.5" thickBot="1" x14ac:dyDescent="0.25">
      <c r="A11" s="206" t="s">
        <v>33</v>
      </c>
      <c r="B11" s="175">
        <v>20321</v>
      </c>
      <c r="C11" s="176">
        <v>14018</v>
      </c>
      <c r="D11" s="177">
        <v>1.4496361820516479</v>
      </c>
      <c r="E11" s="176">
        <v>15311</v>
      </c>
      <c r="F11" s="178">
        <v>0.75345701491068351</v>
      </c>
      <c r="G11" s="176">
        <v>12018</v>
      </c>
      <c r="H11" s="176">
        <v>10069</v>
      </c>
      <c r="I11" s="176">
        <v>9186</v>
      </c>
      <c r="J11" s="179">
        <v>1.0961245373394295</v>
      </c>
      <c r="K11" s="176">
        <v>8015</v>
      </c>
      <c r="L11" s="176">
        <v>7921</v>
      </c>
      <c r="M11" s="179">
        <v>1.0118671884863022</v>
      </c>
      <c r="N11" s="330">
        <v>0.65530032814952199</v>
      </c>
      <c r="O11" s="180">
        <f>I11/G11</f>
        <v>0.76435346979530705</v>
      </c>
    </row>
    <row r="12" spans="1:15" ht="13.5" thickBot="1" x14ac:dyDescent="0.25">
      <c r="A12" s="42" t="s">
        <v>41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4"/>
    </row>
    <row r="13" spans="1:15" x14ac:dyDescent="0.2">
      <c r="A13" s="202" t="s">
        <v>32</v>
      </c>
      <c r="B13" s="121">
        <v>8890</v>
      </c>
      <c r="C13" s="122">
        <v>7335</v>
      </c>
      <c r="D13" s="123">
        <v>1.2119972733469666</v>
      </c>
      <c r="E13" s="122">
        <v>7409</v>
      </c>
      <c r="F13" s="173">
        <v>0.83340832395950504</v>
      </c>
      <c r="G13" s="122">
        <v>6532</v>
      </c>
      <c r="H13" s="122">
        <v>5543</v>
      </c>
      <c r="I13" s="122">
        <v>5268</v>
      </c>
      <c r="J13" s="174">
        <v>1.0522019741837509</v>
      </c>
      <c r="K13" s="122">
        <v>4510</v>
      </c>
      <c r="L13" s="122">
        <v>4465</v>
      </c>
      <c r="M13" s="174">
        <v>1.0100783874580068</v>
      </c>
      <c r="N13" s="329">
        <v>0.71820040899795501</v>
      </c>
      <c r="O13" s="125">
        <f>I13/G13</f>
        <v>0.80649112063686468</v>
      </c>
    </row>
    <row r="14" spans="1:15" ht="13.5" thickBot="1" x14ac:dyDescent="0.25">
      <c r="A14" s="206" t="s">
        <v>33</v>
      </c>
      <c r="B14" s="175">
        <v>20560</v>
      </c>
      <c r="C14" s="176">
        <v>14885</v>
      </c>
      <c r="D14" s="177">
        <v>1.3812562982868659</v>
      </c>
      <c r="E14" s="176">
        <v>16134</v>
      </c>
      <c r="F14" s="178">
        <v>0.78472762645914396</v>
      </c>
      <c r="G14" s="176">
        <v>12988</v>
      </c>
      <c r="H14" s="176">
        <v>10417</v>
      </c>
      <c r="I14" s="176">
        <v>9555</v>
      </c>
      <c r="J14" s="179">
        <v>1.0902145473574045</v>
      </c>
      <c r="K14" s="176">
        <v>8279</v>
      </c>
      <c r="L14" s="176">
        <v>8137</v>
      </c>
      <c r="M14" s="179">
        <v>1.0174511490721396</v>
      </c>
      <c r="N14" s="330">
        <v>0.64192139737991272</v>
      </c>
      <c r="O14" s="180">
        <f>I14/G14</f>
        <v>0.73567908838928242</v>
      </c>
    </row>
    <row r="15" spans="1:15" ht="13.5" thickBot="1" x14ac:dyDescent="0.25">
      <c r="A15" s="42" t="s">
        <v>53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</row>
    <row r="16" spans="1:15" x14ac:dyDescent="0.2">
      <c r="A16" s="202" t="s">
        <v>32</v>
      </c>
      <c r="B16" s="121">
        <v>10021</v>
      </c>
      <c r="C16" s="122">
        <v>8237</v>
      </c>
      <c r="D16" s="123">
        <v>1.2165837076605561</v>
      </c>
      <c r="E16" s="122">
        <v>8320</v>
      </c>
      <c r="F16" s="173">
        <v>0.83025646143099496</v>
      </c>
      <c r="G16" s="122">
        <v>7271</v>
      </c>
      <c r="H16" s="122">
        <v>5832</v>
      </c>
      <c r="I16" s="122">
        <v>5574</v>
      </c>
      <c r="J16" s="174">
        <v>1.0462863293864371</v>
      </c>
      <c r="K16" s="122">
        <v>4840</v>
      </c>
      <c r="L16" s="122">
        <v>4798</v>
      </c>
      <c r="M16" s="174">
        <v>1.0087536473530638</v>
      </c>
      <c r="N16" s="329">
        <v>0.67670268301566106</v>
      </c>
      <c r="O16" s="125">
        <f>I16/G16</f>
        <v>0.76660706917892996</v>
      </c>
    </row>
    <row r="17" spans="1:15" ht="13.5" thickBot="1" x14ac:dyDescent="0.25">
      <c r="A17" s="206" t="s">
        <v>33</v>
      </c>
      <c r="B17" s="175">
        <v>22652</v>
      </c>
      <c r="C17" s="176">
        <v>16102</v>
      </c>
      <c r="D17" s="177">
        <v>1.4067817662402187</v>
      </c>
      <c r="E17" s="176">
        <v>17863</v>
      </c>
      <c r="F17" s="178">
        <v>0.78858378951085994</v>
      </c>
      <c r="G17" s="176">
        <v>14123</v>
      </c>
      <c r="H17" s="176">
        <v>10724</v>
      </c>
      <c r="I17" s="176">
        <v>9933</v>
      </c>
      <c r="J17" s="179">
        <v>1.0796335447498238</v>
      </c>
      <c r="K17" s="176">
        <v>8746</v>
      </c>
      <c r="L17" s="176">
        <v>8636</v>
      </c>
      <c r="M17" s="179">
        <v>1.0127373784159333</v>
      </c>
      <c r="N17" s="330">
        <v>0.61687989069680782</v>
      </c>
      <c r="O17" s="180">
        <f>I17/G17</f>
        <v>0.70332082418749553</v>
      </c>
    </row>
    <row r="18" spans="1:15" ht="13.5" thickBot="1" x14ac:dyDescent="0.25">
      <c r="A18" s="42" t="s">
        <v>54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4"/>
    </row>
    <row r="19" spans="1:15" x14ac:dyDescent="0.2">
      <c r="A19" s="202" t="s">
        <v>32</v>
      </c>
      <c r="B19" s="121">
        <v>7098</v>
      </c>
      <c r="C19" s="122">
        <v>5995</v>
      </c>
      <c r="D19" s="123">
        <v>1.1839866555462886</v>
      </c>
      <c r="E19" s="122">
        <v>5166</v>
      </c>
      <c r="F19" s="173">
        <v>0.72781065088757402</v>
      </c>
      <c r="G19" s="122">
        <v>5166</v>
      </c>
      <c r="H19" s="122">
        <v>4469</v>
      </c>
      <c r="I19" s="122">
        <v>4242</v>
      </c>
      <c r="J19" s="174">
        <v>1.0535124941065535</v>
      </c>
      <c r="K19" s="122">
        <v>3592</v>
      </c>
      <c r="L19" s="122">
        <v>3561</v>
      </c>
      <c r="M19" s="174">
        <v>1.0087054198258916</v>
      </c>
      <c r="N19" s="329">
        <v>0.70758965804837359</v>
      </c>
      <c r="O19" s="125">
        <v>0.82113821138211385</v>
      </c>
    </row>
    <row r="20" spans="1:15" ht="13.5" thickBot="1" x14ac:dyDescent="0.25">
      <c r="A20" s="206" t="s">
        <v>33</v>
      </c>
      <c r="B20" s="175">
        <v>19909</v>
      </c>
      <c r="C20" s="176">
        <v>14600</v>
      </c>
      <c r="D20" s="177">
        <v>1.3636301369863013</v>
      </c>
      <c r="E20" s="176">
        <v>12411</v>
      </c>
      <c r="F20" s="178">
        <v>0.62338640815711488</v>
      </c>
      <c r="G20" s="176">
        <v>12411</v>
      </c>
      <c r="H20" s="176">
        <v>9946</v>
      </c>
      <c r="I20" s="176">
        <v>9119</v>
      </c>
      <c r="J20" s="179">
        <v>1.0906897686149797</v>
      </c>
      <c r="K20" s="176">
        <v>7852</v>
      </c>
      <c r="L20" s="176">
        <v>7739</v>
      </c>
      <c r="M20" s="179">
        <v>1.0146013696860059</v>
      </c>
      <c r="N20" s="330">
        <f>I20/C20</f>
        <v>0.62458904109589042</v>
      </c>
      <c r="O20" s="180">
        <f>I20/G20</f>
        <v>0.73475143018290223</v>
      </c>
    </row>
    <row r="21" spans="1:15" ht="13.5" thickBot="1" x14ac:dyDescent="0.25">
      <c r="A21" s="42" t="s">
        <v>76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4"/>
    </row>
    <row r="22" spans="1:15" x14ac:dyDescent="0.2">
      <c r="A22" s="202" t="s">
        <v>32</v>
      </c>
      <c r="B22" s="121">
        <v>6973</v>
      </c>
      <c r="C22" s="122">
        <v>5825</v>
      </c>
      <c r="D22" s="123">
        <v>1.1970815450643777</v>
      </c>
      <c r="E22" s="122">
        <v>5602</v>
      </c>
      <c r="F22" s="173">
        <f>E22/B22</f>
        <v>0.80338448300587983</v>
      </c>
      <c r="G22" s="122">
        <v>4965</v>
      </c>
      <c r="H22" s="122">
        <v>4557</v>
      </c>
      <c r="I22" s="122">
        <v>4229</v>
      </c>
      <c r="J22" s="174">
        <v>1.0775597067864744</v>
      </c>
      <c r="K22" s="122">
        <v>3663</v>
      </c>
      <c r="L22" s="122">
        <v>3572</v>
      </c>
      <c r="M22" s="174">
        <v>1.0254759238521836</v>
      </c>
      <c r="N22" s="329">
        <v>0.72600858369098709</v>
      </c>
      <c r="O22" s="125">
        <v>0.8517623363544814</v>
      </c>
    </row>
    <row r="23" spans="1:15" ht="13.5" thickBot="1" x14ac:dyDescent="0.25">
      <c r="A23" s="206" t="s">
        <v>33</v>
      </c>
      <c r="B23" s="175">
        <v>18000</v>
      </c>
      <c r="C23" s="176">
        <v>13617</v>
      </c>
      <c r="D23" s="177">
        <v>1.3218770654329148</v>
      </c>
      <c r="E23" s="176">
        <v>13529</v>
      </c>
      <c r="F23" s="178">
        <f>E23/B23</f>
        <v>0.75161111111111112</v>
      </c>
      <c r="G23" s="176">
        <v>11345</v>
      </c>
      <c r="H23" s="176">
        <v>9736</v>
      </c>
      <c r="I23" s="176">
        <v>8975</v>
      </c>
      <c r="J23" s="179">
        <v>1.0847910863509749</v>
      </c>
      <c r="K23" s="176">
        <v>7690</v>
      </c>
      <c r="L23" s="176">
        <v>7578</v>
      </c>
      <c r="M23" s="179">
        <v>1.0147796252309316</v>
      </c>
      <c r="N23" s="330">
        <v>0.65910259234780055</v>
      </c>
      <c r="O23" s="180">
        <v>0.79109739973556636</v>
      </c>
    </row>
    <row r="24" spans="1:15" ht="13.5" thickBot="1" x14ac:dyDescent="0.25">
      <c r="A24" s="42" t="s">
        <v>84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4"/>
    </row>
    <row r="25" spans="1:15" x14ac:dyDescent="0.2">
      <c r="A25" s="202" t="s">
        <v>32</v>
      </c>
      <c r="B25" s="121">
        <v>9268</v>
      </c>
      <c r="C25" s="122">
        <v>5810</v>
      </c>
      <c r="D25" s="123">
        <v>1.5951807228915662</v>
      </c>
      <c r="E25" s="122">
        <v>6011</v>
      </c>
      <c r="F25" s="173">
        <v>0.64857574449719468</v>
      </c>
      <c r="G25" s="122">
        <v>4880</v>
      </c>
      <c r="H25" s="122">
        <v>4446</v>
      </c>
      <c r="I25" s="122">
        <v>4092</v>
      </c>
      <c r="J25" s="174">
        <v>1.0865102639296187</v>
      </c>
      <c r="K25" s="122">
        <v>3503</v>
      </c>
      <c r="L25" s="122">
        <v>3441</v>
      </c>
      <c r="M25" s="174">
        <v>1.0180180180180181</v>
      </c>
      <c r="N25" s="329">
        <v>0.70430292598967292</v>
      </c>
      <c r="O25" s="125">
        <v>0.83852459016393444</v>
      </c>
    </row>
    <row r="26" spans="1:15" ht="13.5" thickBot="1" x14ac:dyDescent="0.25">
      <c r="A26" s="206" t="s">
        <v>33</v>
      </c>
      <c r="B26" s="175">
        <v>13353</v>
      </c>
      <c r="C26" s="176">
        <v>11354</v>
      </c>
      <c r="D26" s="177">
        <v>1.176061299982385</v>
      </c>
      <c r="E26" s="176">
        <v>11466</v>
      </c>
      <c r="F26" s="178">
        <v>0.85868344192316337</v>
      </c>
      <c r="G26" s="176">
        <v>10109</v>
      </c>
      <c r="H26" s="176">
        <v>9143</v>
      </c>
      <c r="I26" s="176">
        <v>8553</v>
      </c>
      <c r="J26" s="179">
        <v>1.0689816438676487</v>
      </c>
      <c r="K26" s="176">
        <v>7476</v>
      </c>
      <c r="L26" s="176">
        <v>7417</v>
      </c>
      <c r="M26" s="179">
        <v>1.0079546986652286</v>
      </c>
      <c r="N26" s="330">
        <v>0.75330280077505729</v>
      </c>
      <c r="O26" s="180">
        <v>0.84607775249777428</v>
      </c>
    </row>
    <row r="27" spans="1:15" ht="13.5" thickBot="1" x14ac:dyDescent="0.25">
      <c r="A27" s="42" t="s">
        <v>87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</row>
    <row r="28" spans="1:15" x14ac:dyDescent="0.2">
      <c r="A28" s="202" t="s">
        <v>32</v>
      </c>
      <c r="B28" s="121">
        <v>8025</v>
      </c>
      <c r="C28" s="122">
        <v>6107</v>
      </c>
      <c r="D28" s="123">
        <v>1.3140658261011953</v>
      </c>
      <c r="E28" s="122">
        <v>5939</v>
      </c>
      <c r="F28" s="173">
        <v>0.74006230529595018</v>
      </c>
      <c r="G28" s="122">
        <v>5244</v>
      </c>
      <c r="H28" s="122">
        <v>4807</v>
      </c>
      <c r="I28" s="122">
        <v>4559</v>
      </c>
      <c r="J28" s="174">
        <v>1.0543978942750603</v>
      </c>
      <c r="K28" s="122">
        <v>3777</v>
      </c>
      <c r="L28" s="122">
        <v>3754</v>
      </c>
      <c r="M28" s="174">
        <v>1.0061267980820459</v>
      </c>
      <c r="N28" s="329">
        <v>0.70430292598967292</v>
      </c>
      <c r="O28" s="125">
        <v>0.86937452326468345</v>
      </c>
    </row>
    <row r="29" spans="1:15" ht="13.5" thickBot="1" x14ac:dyDescent="0.25">
      <c r="A29" s="207" t="s">
        <v>33</v>
      </c>
      <c r="B29" s="181">
        <v>13213</v>
      </c>
      <c r="C29" s="182">
        <v>11377</v>
      </c>
      <c r="D29" s="183">
        <v>1.1613782192142041</v>
      </c>
      <c r="E29" s="182">
        <v>11709</v>
      </c>
      <c r="F29" s="184">
        <v>0.88617270869598119</v>
      </c>
      <c r="G29" s="182">
        <v>10356</v>
      </c>
      <c r="H29" s="182">
        <v>9702</v>
      </c>
      <c r="I29" s="182">
        <v>9070</v>
      </c>
      <c r="J29" s="185">
        <v>1.0696802646085999</v>
      </c>
      <c r="K29" s="182">
        <v>7647</v>
      </c>
      <c r="L29" s="182">
        <v>7588</v>
      </c>
      <c r="M29" s="185">
        <v>1.0077754348972061</v>
      </c>
      <c r="N29" s="331">
        <v>0.75330280077505729</v>
      </c>
      <c r="O29" s="186">
        <v>0.87582078022402476</v>
      </c>
    </row>
    <row r="30" spans="1:15" ht="14.25" thickTop="1" thickBot="1" x14ac:dyDescent="0.25">
      <c r="A30" s="42" t="s">
        <v>89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4"/>
    </row>
    <row r="31" spans="1:15" x14ac:dyDescent="0.2">
      <c r="A31" s="202" t="s">
        <v>32</v>
      </c>
      <c r="B31" s="121">
        <v>4646</v>
      </c>
      <c r="C31" s="122">
        <v>4304</v>
      </c>
      <c r="D31" s="123">
        <f>B31/C31</f>
        <v>1.079460966542751</v>
      </c>
      <c r="E31" s="122">
        <v>4095</v>
      </c>
      <c r="F31" s="173">
        <f>E31/B31</f>
        <v>0.88140335772707701</v>
      </c>
      <c r="G31" s="122">
        <v>3840</v>
      </c>
      <c r="H31" s="122">
        <v>3551</v>
      </c>
      <c r="I31" s="122">
        <v>3406</v>
      </c>
      <c r="J31" s="174">
        <f>H31/I31</f>
        <v>1.0425719318849089</v>
      </c>
      <c r="K31" s="122">
        <v>3037</v>
      </c>
      <c r="L31" s="122">
        <v>3018</v>
      </c>
      <c r="M31" s="174">
        <f>K31/L31</f>
        <v>1.0062955599734924</v>
      </c>
      <c r="N31" s="329">
        <f>I31/C31</f>
        <v>0.79135687732342008</v>
      </c>
      <c r="O31" s="125">
        <f>I31/G31</f>
        <v>0.88697916666666665</v>
      </c>
    </row>
    <row r="32" spans="1:15" ht="13.5" thickBot="1" x14ac:dyDescent="0.25">
      <c r="A32" s="472" t="s">
        <v>33</v>
      </c>
      <c r="B32" s="473">
        <v>14251</v>
      </c>
      <c r="C32" s="474">
        <v>12399</v>
      </c>
      <c r="D32" s="475">
        <f>B32/C32</f>
        <v>1.1493668844261633</v>
      </c>
      <c r="E32" s="474">
        <v>12060</v>
      </c>
      <c r="F32" s="476">
        <f>E32/B32</f>
        <v>0.84625640305943439</v>
      </c>
      <c r="G32" s="474">
        <v>10753</v>
      </c>
      <c r="H32" s="474">
        <v>9965</v>
      </c>
      <c r="I32" s="474">
        <v>9187</v>
      </c>
      <c r="J32" s="477">
        <f>H32/I32</f>
        <v>1.0846848808098399</v>
      </c>
      <c r="K32" s="474">
        <v>7764</v>
      </c>
      <c r="L32" s="474">
        <v>7640</v>
      </c>
      <c r="M32" s="477">
        <f>K32/L32</f>
        <v>1.0162303664921466</v>
      </c>
      <c r="N32" s="478">
        <f>I32/C32</f>
        <v>0.7409468505524639</v>
      </c>
      <c r="O32" s="479">
        <f>I32/G32</f>
        <v>0.85436622337952195</v>
      </c>
    </row>
    <row r="33" spans="1:15" ht="13.5" thickBot="1" x14ac:dyDescent="0.25">
      <c r="A33" s="42" t="s">
        <v>108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4"/>
    </row>
    <row r="34" spans="1:15" x14ac:dyDescent="0.2">
      <c r="A34" s="202" t="s">
        <v>32</v>
      </c>
      <c r="B34" s="121">
        <v>4840</v>
      </c>
      <c r="C34" s="122">
        <v>4432</v>
      </c>
      <c r="D34" s="123">
        <f>B34/C34</f>
        <v>1.092057761732852</v>
      </c>
      <c r="E34" s="122">
        <v>4347</v>
      </c>
      <c r="F34" s="173">
        <f>E34/B34</f>
        <v>0.89814049586776856</v>
      </c>
      <c r="G34" s="122">
        <v>4056</v>
      </c>
      <c r="H34" s="122">
        <v>3792</v>
      </c>
      <c r="I34" s="122">
        <v>3651</v>
      </c>
      <c r="J34" s="174">
        <f>H34/I34</f>
        <v>1.038619556285949</v>
      </c>
      <c r="K34" s="122">
        <v>3246</v>
      </c>
      <c r="L34" s="122">
        <v>3217</v>
      </c>
      <c r="M34" s="174">
        <f>K34/L34</f>
        <v>1.0090146098849859</v>
      </c>
      <c r="N34" s="329">
        <f>I34/C34</f>
        <v>0.82378158844765348</v>
      </c>
      <c r="O34" s="125">
        <f>I34/G34</f>
        <v>0.9001479289940828</v>
      </c>
    </row>
    <row r="35" spans="1:15" ht="13.5" thickBot="1" x14ac:dyDescent="0.25">
      <c r="A35" s="207" t="s">
        <v>33</v>
      </c>
      <c r="B35" s="181">
        <v>15783</v>
      </c>
      <c r="C35" s="182">
        <v>13264</v>
      </c>
      <c r="D35" s="183">
        <f>B35/C35</f>
        <v>1.1899125452352231</v>
      </c>
      <c r="E35" s="182">
        <v>13720</v>
      </c>
      <c r="F35" s="184">
        <f>E35/B35</f>
        <v>0.86928974212760568</v>
      </c>
      <c r="G35" s="182">
        <v>11916</v>
      </c>
      <c r="H35" s="182">
        <v>11044</v>
      </c>
      <c r="I35" s="182">
        <v>10090</v>
      </c>
      <c r="J35" s="185">
        <f>H35/I35</f>
        <v>1.0945490584737363</v>
      </c>
      <c r="K35" s="182">
        <v>8477</v>
      </c>
      <c r="L35" s="182">
        <v>8346</v>
      </c>
      <c r="M35" s="185">
        <f>K35/L35</f>
        <v>1.0156961418643662</v>
      </c>
      <c r="N35" s="331">
        <f>I35/C35</f>
        <v>0.7607056694813028</v>
      </c>
      <c r="O35" s="186">
        <f>I35/G35</f>
        <v>0.84676065793890565</v>
      </c>
    </row>
    <row r="36" spans="1:15" ht="14.25" thickTop="1" thickBot="1" x14ac:dyDescent="0.25">
      <c r="A36" s="42" t="s">
        <v>118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4"/>
    </row>
    <row r="37" spans="1:15" x14ac:dyDescent="0.2">
      <c r="A37" s="202" t="s">
        <v>32</v>
      </c>
      <c r="B37" s="121">
        <v>5689</v>
      </c>
      <c r="C37" s="122">
        <v>5161</v>
      </c>
      <c r="D37" s="123">
        <f>B37/C37</f>
        <v>1.1023057546987018</v>
      </c>
      <c r="E37" s="122">
        <v>5246</v>
      </c>
      <c r="F37" s="173">
        <f>E37/B37</f>
        <v>0.92213042714009497</v>
      </c>
      <c r="G37" s="122">
        <v>4853</v>
      </c>
      <c r="H37" s="122">
        <v>4375</v>
      </c>
      <c r="I37" s="122">
        <v>4185</v>
      </c>
      <c r="J37" s="174">
        <f>H37/I37</f>
        <v>1.0454002389486261</v>
      </c>
      <c r="K37" s="122">
        <v>3711</v>
      </c>
      <c r="L37" s="122">
        <v>3684</v>
      </c>
      <c r="M37" s="174">
        <f>K37/L37</f>
        <v>1.0073289902280129</v>
      </c>
      <c r="N37" s="329">
        <f>I37/C37</f>
        <v>0.81088936252664212</v>
      </c>
      <c r="O37" s="125">
        <f>I37/G37</f>
        <v>0.86235318359777458</v>
      </c>
    </row>
    <row r="38" spans="1:15" ht="13.5" thickBot="1" x14ac:dyDescent="0.25">
      <c r="A38" s="207" t="s">
        <v>33</v>
      </c>
      <c r="B38" s="181">
        <v>16457</v>
      </c>
      <c r="C38" s="182">
        <v>13880</v>
      </c>
      <c r="D38" s="183">
        <f>B38/C38</f>
        <v>1.1856628242074927</v>
      </c>
      <c r="E38" s="182">
        <v>14388</v>
      </c>
      <c r="F38" s="184">
        <f>E38/B38</f>
        <v>0.87427842255575139</v>
      </c>
      <c r="G38" s="182">
        <v>12565</v>
      </c>
      <c r="H38" s="182">
        <v>11082</v>
      </c>
      <c r="I38" s="182">
        <v>10262</v>
      </c>
      <c r="J38" s="185">
        <f>H38/I38</f>
        <v>1.0799064509842136</v>
      </c>
      <c r="K38" s="182">
        <v>8973</v>
      </c>
      <c r="L38" s="182">
        <v>8831</v>
      </c>
      <c r="M38" s="185">
        <f>K38/L38</f>
        <v>1.0160797191711017</v>
      </c>
      <c r="N38" s="331">
        <f>I38/C38</f>
        <v>0.73933717579250724</v>
      </c>
      <c r="O38" s="186">
        <f>I38/G38</f>
        <v>0.81671309192200559</v>
      </c>
    </row>
    <row r="39" spans="1:15" ht="14.25" thickTop="1" thickBot="1" x14ac:dyDescent="0.25">
      <c r="A39" s="42" t="s">
        <v>121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1:15" x14ac:dyDescent="0.2">
      <c r="A40" s="202" t="s">
        <v>32</v>
      </c>
      <c r="B40" s="121">
        <v>5361</v>
      </c>
      <c r="C40" s="122">
        <v>4824</v>
      </c>
      <c r="D40" s="123">
        <f>B40/C40</f>
        <v>1.111318407960199</v>
      </c>
      <c r="E40" s="122">
        <v>4967</v>
      </c>
      <c r="F40" s="173">
        <f>E40/B40</f>
        <v>0.92650624883417276</v>
      </c>
      <c r="G40" s="122">
        <v>4565</v>
      </c>
      <c r="H40" s="122">
        <v>4176</v>
      </c>
      <c r="I40" s="122">
        <v>4005</v>
      </c>
      <c r="J40" s="174">
        <f>H40/I40</f>
        <v>1.0426966292134832</v>
      </c>
      <c r="K40" s="122">
        <v>3551</v>
      </c>
      <c r="L40" s="122">
        <v>3529</v>
      </c>
      <c r="M40" s="174">
        <f>K40/L40</f>
        <v>1.0062340606404081</v>
      </c>
      <c r="N40" s="329">
        <f>I40/C40</f>
        <v>0.83022388059701491</v>
      </c>
      <c r="O40" s="125">
        <f>I40/G40</f>
        <v>0.8773274917853231</v>
      </c>
    </row>
    <row r="41" spans="1:15" ht="13.5" thickBot="1" x14ac:dyDescent="0.25">
      <c r="A41" s="207" t="s">
        <v>33</v>
      </c>
      <c r="B41" s="181">
        <v>15997</v>
      </c>
      <c r="C41" s="182">
        <v>13040</v>
      </c>
      <c r="D41" s="183">
        <f>B41/C41</f>
        <v>1.2267638036809816</v>
      </c>
      <c r="E41" s="182">
        <v>14106</v>
      </c>
      <c r="F41" s="184">
        <f>E41/B41</f>
        <v>0.88179033568794152</v>
      </c>
      <c r="G41" s="182">
        <v>11893</v>
      </c>
      <c r="H41" s="182">
        <v>10803</v>
      </c>
      <c r="I41" s="182">
        <v>9815</v>
      </c>
      <c r="J41" s="185">
        <f>H41/I41</f>
        <v>1.100662251655629</v>
      </c>
      <c r="K41" s="182">
        <v>8377</v>
      </c>
      <c r="L41" s="182">
        <v>8275</v>
      </c>
      <c r="M41" s="185">
        <f>K41/L41</f>
        <v>1.0123262839879155</v>
      </c>
      <c r="N41" s="331">
        <f>I41/C41</f>
        <v>0.75268404907975461</v>
      </c>
      <c r="O41" s="186">
        <f>I41/G41</f>
        <v>0.82527537206760282</v>
      </c>
    </row>
    <row r="42" spans="1:15" ht="14.25" thickTop="1" thickBot="1" x14ac:dyDescent="0.25">
      <c r="A42" s="42" t="s">
        <v>132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</row>
    <row r="43" spans="1:15" x14ac:dyDescent="0.2">
      <c r="A43" s="202" t="s">
        <v>32</v>
      </c>
      <c r="B43" s="121">
        <v>5194</v>
      </c>
      <c r="C43" s="122">
        <v>4686</v>
      </c>
      <c r="D43" s="123">
        <f>B43/C43</f>
        <v>1.1084080239009817</v>
      </c>
      <c r="E43" s="122">
        <v>4743</v>
      </c>
      <c r="F43" s="173">
        <f>E43/B43</f>
        <v>0.9131690412013862</v>
      </c>
      <c r="G43" s="122">
        <v>4365</v>
      </c>
      <c r="H43" s="122">
        <v>4061</v>
      </c>
      <c r="I43" s="122">
        <v>3902</v>
      </c>
      <c r="J43" s="174">
        <f>H43/I43</f>
        <v>1.040748334187596</v>
      </c>
      <c r="K43" s="122">
        <v>3505</v>
      </c>
      <c r="L43" s="122">
        <v>3477</v>
      </c>
      <c r="M43" s="174">
        <f>K43/L43</f>
        <v>1.0080529191832039</v>
      </c>
      <c r="N43" s="329">
        <f>I43/C43</f>
        <v>0.83269312846777632</v>
      </c>
      <c r="O43" s="125">
        <f>I43/G43</f>
        <v>0.89392898052691872</v>
      </c>
    </row>
    <row r="44" spans="1:15" ht="13.5" thickBot="1" x14ac:dyDescent="0.25">
      <c r="A44" s="207" t="s">
        <v>33</v>
      </c>
      <c r="B44" s="181">
        <v>15797</v>
      </c>
      <c r="C44" s="182">
        <v>12919</v>
      </c>
      <c r="D44" s="183">
        <f>B44/C44</f>
        <v>1.2227726604226334</v>
      </c>
      <c r="E44" s="182">
        <v>13904</v>
      </c>
      <c r="F44" s="184">
        <f>E44/B44</f>
        <v>0.88016712033930489</v>
      </c>
      <c r="G44" s="182">
        <v>11831</v>
      </c>
      <c r="H44" s="182">
        <v>10832</v>
      </c>
      <c r="I44" s="182">
        <v>9896</v>
      </c>
      <c r="J44" s="185">
        <f>H44/I44</f>
        <v>1.0945836701697655</v>
      </c>
      <c r="K44" s="182">
        <v>8743</v>
      </c>
      <c r="L44" s="182">
        <v>8566</v>
      </c>
      <c r="M44" s="185">
        <f>K44/L44</f>
        <v>1.0206630866215269</v>
      </c>
      <c r="N44" s="331">
        <f>I44/C44</f>
        <v>0.76600356064710895</v>
      </c>
      <c r="O44" s="186">
        <f>I44/G44</f>
        <v>0.83644662327782948</v>
      </c>
    </row>
    <row r="45" spans="1:15" ht="14.25" thickTop="1" thickBot="1" x14ac:dyDescent="0.25">
      <c r="A45" s="42" t="s">
        <v>134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/>
    </row>
    <row r="46" spans="1:15" x14ac:dyDescent="0.2">
      <c r="A46" s="202" t="s">
        <v>32</v>
      </c>
      <c r="B46" s="121">
        <v>4894</v>
      </c>
      <c r="C46" s="122">
        <v>4391</v>
      </c>
      <c r="D46" s="123">
        <f>B46/C46</f>
        <v>1.1145524937371898</v>
      </c>
      <c r="E46" s="122">
        <v>4562</v>
      </c>
      <c r="F46" s="173">
        <f>E46/B46</f>
        <v>0.93216183081324067</v>
      </c>
      <c r="G46" s="122">
        <v>4171</v>
      </c>
      <c r="H46" s="122">
        <v>3941</v>
      </c>
      <c r="I46" s="122">
        <v>3757</v>
      </c>
      <c r="J46" s="174">
        <f>H46/I46</f>
        <v>1.04897524620708</v>
      </c>
      <c r="K46" s="122">
        <v>3392</v>
      </c>
      <c r="L46" s="122">
        <v>3364</v>
      </c>
      <c r="M46" s="174">
        <f>K46/L46</f>
        <v>1.0083234244946493</v>
      </c>
      <c r="N46" s="329">
        <f>I46/C46</f>
        <v>0.8556137554087907</v>
      </c>
      <c r="O46" s="125">
        <f>I46/G46</f>
        <v>0.90074322704387433</v>
      </c>
    </row>
    <row r="47" spans="1:15" ht="13.5" thickBot="1" x14ac:dyDescent="0.25">
      <c r="A47" s="207" t="s">
        <v>33</v>
      </c>
      <c r="B47" s="181">
        <v>15986</v>
      </c>
      <c r="C47" s="182">
        <v>12993</v>
      </c>
      <c r="D47" s="183">
        <f>B47/C47</f>
        <v>1.2303548064342338</v>
      </c>
      <c r="E47" s="182">
        <v>14385</v>
      </c>
      <c r="F47" s="184">
        <f>E47/B47</f>
        <v>0.89984986863505567</v>
      </c>
      <c r="G47" s="182">
        <v>12093</v>
      </c>
      <c r="H47" s="182">
        <v>10983</v>
      </c>
      <c r="I47" s="182">
        <v>9983</v>
      </c>
      <c r="J47" s="185">
        <f>H47/I47</f>
        <v>1.1001702894921366</v>
      </c>
      <c r="K47" s="182">
        <v>8650</v>
      </c>
      <c r="L47" s="182">
        <v>8513</v>
      </c>
      <c r="M47" s="185">
        <f>K47/L47</f>
        <v>1.0160930341830141</v>
      </c>
      <c r="N47" s="331">
        <f>I47/C47</f>
        <v>0.76833679673670441</v>
      </c>
      <c r="O47" s="186">
        <f>I47/G47</f>
        <v>0.82551889522864463</v>
      </c>
    </row>
    <row r="48" spans="1:15" ht="14.25" thickTop="1" thickBot="1" x14ac:dyDescent="0.25">
      <c r="A48" s="42" t="s">
        <v>137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4"/>
    </row>
    <row r="49" spans="1:15" x14ac:dyDescent="0.2">
      <c r="A49" s="202" t="s">
        <v>32</v>
      </c>
      <c r="B49" s="121">
        <v>4505</v>
      </c>
      <c r="C49" s="122">
        <v>4082</v>
      </c>
      <c r="D49" s="123">
        <f>B49/C49</f>
        <v>1.1036256736893679</v>
      </c>
      <c r="E49" s="122">
        <v>4129</v>
      </c>
      <c r="F49" s="173">
        <f>E49/B49</f>
        <v>0.91653718091009984</v>
      </c>
      <c r="G49" s="122">
        <v>3837</v>
      </c>
      <c r="H49" s="122">
        <v>3624</v>
      </c>
      <c r="I49" s="122">
        <v>3468</v>
      </c>
      <c r="J49" s="174">
        <f>H49/I49</f>
        <v>1.0449826989619377</v>
      </c>
      <c r="K49" s="122">
        <v>3141</v>
      </c>
      <c r="L49" s="122">
        <v>3108</v>
      </c>
      <c r="M49" s="174">
        <f>K49/L49</f>
        <v>1.0106177606177607</v>
      </c>
      <c r="N49" s="329">
        <f>I49/C49</f>
        <v>0.84958353748162663</v>
      </c>
      <c r="O49" s="125">
        <f>I49/G49</f>
        <v>0.90383111806098515</v>
      </c>
    </row>
    <row r="50" spans="1:15" ht="13.5" thickBot="1" x14ac:dyDescent="0.25">
      <c r="A50" s="207" t="s">
        <v>33</v>
      </c>
      <c r="B50" s="181">
        <v>14813</v>
      </c>
      <c r="C50" s="182">
        <v>11968</v>
      </c>
      <c r="D50" s="183">
        <f>B50/C50</f>
        <v>1.2377172459893049</v>
      </c>
      <c r="E50" s="182">
        <v>12987</v>
      </c>
      <c r="F50" s="184">
        <f>E50/B50</f>
        <v>0.87672989941267809</v>
      </c>
      <c r="G50" s="182">
        <v>10903</v>
      </c>
      <c r="H50" s="182">
        <v>9983</v>
      </c>
      <c r="I50" s="182">
        <v>9014</v>
      </c>
      <c r="J50" s="185">
        <f>H50/I50</f>
        <v>1.1074994453072997</v>
      </c>
      <c r="K50" s="182">
        <v>8013</v>
      </c>
      <c r="L50" s="182">
        <v>7843</v>
      </c>
      <c r="M50" s="185">
        <f>K50/L50</f>
        <v>1.021675379319138</v>
      </c>
      <c r="N50" s="331">
        <f>I50/C50</f>
        <v>0.75317513368983957</v>
      </c>
      <c r="O50" s="186">
        <f>I50/G50</f>
        <v>0.82674493258736126</v>
      </c>
    </row>
    <row r="51" spans="1:15" ht="14.25" thickTop="1" thickBot="1" x14ac:dyDescent="0.25">
      <c r="A51" s="42" t="s">
        <v>139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</row>
    <row r="52" spans="1:15" x14ac:dyDescent="0.2">
      <c r="A52" s="202" t="s">
        <v>32</v>
      </c>
      <c r="B52" s="121">
        <v>4031</v>
      </c>
      <c r="C52" s="122">
        <v>3626</v>
      </c>
      <c r="D52" s="123">
        <f>B52/C52</f>
        <v>1.1116933259790402</v>
      </c>
      <c r="E52" s="122">
        <v>3677</v>
      </c>
      <c r="F52" s="173">
        <f>E52/B52</f>
        <v>0.91218060034730841</v>
      </c>
      <c r="G52" s="122">
        <v>3389</v>
      </c>
      <c r="H52" s="122">
        <v>3339</v>
      </c>
      <c r="I52" s="122">
        <v>3141</v>
      </c>
      <c r="J52" s="174">
        <f>H52/I52</f>
        <v>1.0630372492836677</v>
      </c>
      <c r="K52" s="122">
        <v>2841</v>
      </c>
      <c r="L52" s="122">
        <v>2799</v>
      </c>
      <c r="M52" s="174">
        <f>K52/L52</f>
        <v>1.015005359056806</v>
      </c>
      <c r="N52" s="329">
        <f>I52/C52</f>
        <v>0.8662437948152234</v>
      </c>
      <c r="O52" s="125">
        <f>I52/G52</f>
        <v>0.92682207140749484</v>
      </c>
    </row>
    <row r="53" spans="1:15" ht="13.5" thickBot="1" x14ac:dyDescent="0.25">
      <c r="A53" s="207" t="s">
        <v>33</v>
      </c>
      <c r="B53" s="181">
        <v>13354</v>
      </c>
      <c r="C53" s="182">
        <v>10771</v>
      </c>
      <c r="D53" s="183">
        <f>B53/C53</f>
        <v>1.2398106025438678</v>
      </c>
      <c r="E53" s="182">
        <v>11601</v>
      </c>
      <c r="F53" s="184">
        <f>E53/B53</f>
        <v>0.86872847087015126</v>
      </c>
      <c r="G53" s="182">
        <v>9760</v>
      </c>
      <c r="H53" s="182">
        <v>9398</v>
      </c>
      <c r="I53" s="182">
        <v>8439</v>
      </c>
      <c r="J53" s="185">
        <f>H53/I53</f>
        <v>1.1136390567602796</v>
      </c>
      <c r="K53" s="182">
        <v>7381</v>
      </c>
      <c r="L53" s="182">
        <v>7233</v>
      </c>
      <c r="M53" s="185">
        <f>K53/L53</f>
        <v>1.0204617724319094</v>
      </c>
      <c r="N53" s="331">
        <f>I53/C53</f>
        <v>0.78349271191161451</v>
      </c>
      <c r="O53" s="186">
        <f>I53/G53</f>
        <v>0.86465163934426226</v>
      </c>
    </row>
    <row r="54" spans="1:15" ht="14.25" thickTop="1" thickBot="1" x14ac:dyDescent="0.25">
      <c r="A54" s="42" t="s">
        <v>142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4"/>
    </row>
    <row r="55" spans="1:15" x14ac:dyDescent="0.2">
      <c r="A55" s="202" t="s">
        <v>32</v>
      </c>
      <c r="B55" s="121">
        <v>3527</v>
      </c>
      <c r="C55" s="122">
        <v>3230</v>
      </c>
      <c r="D55" s="123">
        <f>B55/C55</f>
        <v>1.0919504643962847</v>
      </c>
      <c r="E55" s="122">
        <v>3244</v>
      </c>
      <c r="F55" s="173">
        <f>E55/B55</f>
        <v>0.9197618372554579</v>
      </c>
      <c r="G55" s="122">
        <v>3029</v>
      </c>
      <c r="H55" s="122">
        <v>2993</v>
      </c>
      <c r="I55" s="122">
        <v>2857</v>
      </c>
      <c r="J55" s="174">
        <f>H55/I55</f>
        <v>1.047602380119006</v>
      </c>
      <c r="K55" s="122">
        <v>2624</v>
      </c>
      <c r="L55" s="122">
        <v>2586</v>
      </c>
      <c r="M55" s="174">
        <f>K55/L55</f>
        <v>1.0146945088940449</v>
      </c>
      <c r="N55" s="329">
        <f>I55/C55</f>
        <v>0.88452012383900924</v>
      </c>
      <c r="O55" s="125">
        <f>I55/G55</f>
        <v>0.94321558270056127</v>
      </c>
    </row>
    <row r="56" spans="1:15" ht="13.5" thickBot="1" x14ac:dyDescent="0.25">
      <c r="A56" s="207" t="s">
        <v>33</v>
      </c>
      <c r="B56" s="181">
        <v>11509</v>
      </c>
      <c r="C56" s="182">
        <v>9469</v>
      </c>
      <c r="D56" s="183">
        <f>B56/C56</f>
        <v>1.215439856373429</v>
      </c>
      <c r="E56" s="182">
        <v>10012</v>
      </c>
      <c r="F56" s="184">
        <f>E56/B56</f>
        <v>0.86992788252671827</v>
      </c>
      <c r="G56" s="182">
        <v>8521</v>
      </c>
      <c r="H56" s="182">
        <v>8324</v>
      </c>
      <c r="I56" s="182">
        <v>7505</v>
      </c>
      <c r="J56" s="185">
        <f>H56/I56</f>
        <v>1.1091272485009993</v>
      </c>
      <c r="K56" s="182">
        <v>6604</v>
      </c>
      <c r="L56" s="182">
        <v>6439</v>
      </c>
      <c r="M56" s="185">
        <f>K56/L56</f>
        <v>1.0256250970647616</v>
      </c>
      <c r="N56" s="331">
        <f>I56/C56</f>
        <v>0.79258633435420844</v>
      </c>
      <c r="O56" s="186">
        <f>I56/G56</f>
        <v>0.88076516840746388</v>
      </c>
    </row>
    <row r="57" spans="1:15" ht="14.25" thickTop="1" thickBot="1" x14ac:dyDescent="0.25">
      <c r="A57" s="42" t="s">
        <v>145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4"/>
    </row>
    <row r="58" spans="1:15" x14ac:dyDescent="0.2">
      <c r="A58" s="202" t="s">
        <v>32</v>
      </c>
      <c r="B58" s="121">
        <v>3134</v>
      </c>
      <c r="C58" s="122">
        <v>2863</v>
      </c>
      <c r="D58" s="123">
        <f>B58/C58</f>
        <v>1.0946559552916522</v>
      </c>
      <c r="E58" s="122">
        <v>2877</v>
      </c>
      <c r="F58" s="173">
        <f>E58/B58</f>
        <v>0.91799617102744102</v>
      </c>
      <c r="G58" s="122">
        <v>2669</v>
      </c>
      <c r="H58" s="122">
        <v>2636</v>
      </c>
      <c r="I58" s="122">
        <v>2493</v>
      </c>
      <c r="J58" s="174">
        <f>H58/I58</f>
        <v>1.0573606097071802</v>
      </c>
      <c r="K58" s="122">
        <v>2298</v>
      </c>
      <c r="L58" s="122">
        <v>2252</v>
      </c>
      <c r="M58" s="174">
        <f>K58/L58</f>
        <v>1.0204262877442274</v>
      </c>
      <c r="N58" s="329">
        <f>I58/C58</f>
        <v>0.87076493188962623</v>
      </c>
      <c r="O58" s="125">
        <f>I58/G58</f>
        <v>0.93405769951292617</v>
      </c>
    </row>
    <row r="59" spans="1:15" ht="13.5" thickBot="1" x14ac:dyDescent="0.25">
      <c r="A59" s="207" t="s">
        <v>33</v>
      </c>
      <c r="B59" s="181">
        <v>10609</v>
      </c>
      <c r="C59" s="182">
        <v>8869</v>
      </c>
      <c r="D59" s="183">
        <f>B59/C59</f>
        <v>1.1961889728266997</v>
      </c>
      <c r="E59" s="182">
        <v>9082</v>
      </c>
      <c r="F59" s="184">
        <f>E59/B59</f>
        <v>0.8560656046752757</v>
      </c>
      <c r="G59" s="182">
        <v>7945</v>
      </c>
      <c r="H59" s="182">
        <v>7748</v>
      </c>
      <c r="I59" s="182">
        <v>7019</v>
      </c>
      <c r="J59" s="185">
        <f>H59/I59</f>
        <v>1.103860948853113</v>
      </c>
      <c r="K59" s="182">
        <v>6202</v>
      </c>
      <c r="L59" s="182">
        <v>6052</v>
      </c>
      <c r="M59" s="185">
        <f>K59/L59</f>
        <v>1.0247851949768672</v>
      </c>
      <c r="N59" s="331">
        <f>I59/C59</f>
        <v>0.79140827601758934</v>
      </c>
      <c r="O59" s="186">
        <f>I59/G59</f>
        <v>0.8834487098804279</v>
      </c>
    </row>
    <row r="60" spans="1:15" ht="14.25" thickTop="1" thickBot="1" x14ac:dyDescent="0.25">
      <c r="A60" s="42" t="s">
        <v>148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</row>
    <row r="61" spans="1:15" x14ac:dyDescent="0.2">
      <c r="A61" s="202" t="s">
        <v>32</v>
      </c>
      <c r="B61" s="121">
        <v>2792</v>
      </c>
      <c r="C61" s="122">
        <v>2580</v>
      </c>
      <c r="D61" s="123">
        <f>B61/C61</f>
        <v>1.0821705426356589</v>
      </c>
      <c r="E61" s="122">
        <v>2617</v>
      </c>
      <c r="F61" s="173">
        <f>E61/B61</f>
        <v>0.93732091690544417</v>
      </c>
      <c r="G61" s="122">
        <v>2458</v>
      </c>
      <c r="H61" s="122">
        <v>2401</v>
      </c>
      <c r="I61" s="122">
        <v>2287</v>
      </c>
      <c r="J61" s="174">
        <f>H61/I61</f>
        <v>1.0498469610843901</v>
      </c>
      <c r="K61" s="122">
        <v>2088</v>
      </c>
      <c r="L61" s="122">
        <v>2065</v>
      </c>
      <c r="M61" s="174">
        <f>K61/L61</f>
        <v>1.011138014527845</v>
      </c>
      <c r="N61" s="329">
        <f>I61/C61</f>
        <v>0.88643410852713178</v>
      </c>
      <c r="O61" s="125">
        <f>I61/G61</f>
        <v>0.93043124491456464</v>
      </c>
    </row>
    <row r="62" spans="1:15" ht="13.5" thickBot="1" x14ac:dyDescent="0.25">
      <c r="A62" s="207" t="s">
        <v>33</v>
      </c>
      <c r="B62" s="181">
        <v>10058</v>
      </c>
      <c r="C62" s="182">
        <v>8426</v>
      </c>
      <c r="D62" s="183">
        <f>B62/C62</f>
        <v>1.1936862093520058</v>
      </c>
      <c r="E62" s="182">
        <v>8903</v>
      </c>
      <c r="F62" s="184">
        <f>E62/B62</f>
        <v>0.88516603698548424</v>
      </c>
      <c r="G62" s="182">
        <v>7696</v>
      </c>
      <c r="H62" s="182">
        <v>7451</v>
      </c>
      <c r="I62" s="182">
        <v>6741</v>
      </c>
      <c r="J62" s="185">
        <f>H62/I62</f>
        <v>1.1053256193443108</v>
      </c>
      <c r="K62" s="182">
        <v>5919</v>
      </c>
      <c r="L62" s="182">
        <v>5779</v>
      </c>
      <c r="M62" s="185">
        <f>K62/L62</f>
        <v>1.0242256445751861</v>
      </c>
      <c r="N62" s="331">
        <f>I62/C62</f>
        <v>0.8000237360550676</v>
      </c>
      <c r="O62" s="186">
        <f>I62/G62</f>
        <v>0.87590956340956339</v>
      </c>
    </row>
    <row r="63" spans="1:15" ht="14.25" thickTop="1" thickBot="1" x14ac:dyDescent="0.25">
      <c r="A63" s="42" t="s">
        <v>151</v>
      </c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4"/>
    </row>
    <row r="64" spans="1:15" x14ac:dyDescent="0.2">
      <c r="A64" s="202" t="s">
        <v>32</v>
      </c>
      <c r="B64" s="121">
        <v>2590</v>
      </c>
      <c r="C64" s="122">
        <v>2378</v>
      </c>
      <c r="D64" s="123">
        <f>B64/C64</f>
        <v>1.0891505466778806</v>
      </c>
      <c r="E64" s="122">
        <v>2383</v>
      </c>
      <c r="F64" s="173">
        <f>E64/B64</f>
        <v>0.92007722007722004</v>
      </c>
      <c r="G64" s="122">
        <v>2227</v>
      </c>
      <c r="H64" s="122">
        <v>2201</v>
      </c>
      <c r="I64" s="122">
        <v>2104</v>
      </c>
      <c r="J64" s="174">
        <f>H64/I64</f>
        <v>1.0461026615969582</v>
      </c>
      <c r="K64" s="122">
        <v>1951</v>
      </c>
      <c r="L64" s="122">
        <v>1930</v>
      </c>
      <c r="M64" s="174">
        <f>K64/L64</f>
        <v>1.010880829015544</v>
      </c>
      <c r="N64" s="329">
        <f>I64/C64</f>
        <v>0.8847771236333053</v>
      </c>
      <c r="O64" s="125">
        <f>I64/G64</f>
        <v>0.94476874719353388</v>
      </c>
    </row>
    <row r="65" spans="1:15" ht="13.5" thickBot="1" x14ac:dyDescent="0.25">
      <c r="A65" s="207" t="s">
        <v>33</v>
      </c>
      <c r="B65" s="181">
        <v>10422</v>
      </c>
      <c r="C65" s="182">
        <v>8538</v>
      </c>
      <c r="D65" s="183">
        <f>B65/C65</f>
        <v>1.2206605762473648</v>
      </c>
      <c r="E65" s="182">
        <v>9017</v>
      </c>
      <c r="F65" s="184">
        <f>E65/B65</f>
        <v>0.86518902322011126</v>
      </c>
      <c r="G65" s="182">
        <v>7703</v>
      </c>
      <c r="H65" s="182">
        <v>7507</v>
      </c>
      <c r="I65" s="182">
        <v>6796</v>
      </c>
      <c r="J65" s="185">
        <f>H65/I65</f>
        <v>1.1046203649205415</v>
      </c>
      <c r="K65" s="182">
        <v>6010</v>
      </c>
      <c r="L65" s="182">
        <v>5895</v>
      </c>
      <c r="M65" s="185">
        <f>K65/L65</f>
        <v>1.0195080576759965</v>
      </c>
      <c r="N65" s="331">
        <f>I65/C65</f>
        <v>0.79597095338486767</v>
      </c>
      <c r="O65" s="186">
        <f>I65/G65</f>
        <v>0.88225366740231081</v>
      </c>
    </row>
    <row r="66" spans="1:15" ht="14.25" thickTop="1" thickBot="1" x14ac:dyDescent="0.25">
      <c r="A66" s="42" t="s">
        <v>153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4"/>
    </row>
    <row r="67" spans="1:15" x14ac:dyDescent="0.2">
      <c r="A67" s="202" t="s">
        <v>32</v>
      </c>
      <c r="B67" s="121">
        <v>2810</v>
      </c>
      <c r="C67" s="122">
        <v>2475</v>
      </c>
      <c r="D67" s="123">
        <f>B67/C67</f>
        <v>1.1353535353535353</v>
      </c>
      <c r="E67" s="122">
        <v>2533</v>
      </c>
      <c r="F67" s="173">
        <f>E67/B67</f>
        <v>0.90142348754448398</v>
      </c>
      <c r="G67" s="122">
        <v>2363</v>
      </c>
      <c r="H67" s="122">
        <v>2277</v>
      </c>
      <c r="I67" s="122">
        <v>2181</v>
      </c>
      <c r="J67" s="174">
        <f>H67/I67</f>
        <v>1.0440165061898212</v>
      </c>
      <c r="K67" s="122">
        <v>2042</v>
      </c>
      <c r="L67" s="122">
        <v>2019</v>
      </c>
      <c r="M67" s="174">
        <f>K67/L67</f>
        <v>1.0113917781079742</v>
      </c>
      <c r="N67" s="329">
        <f>I67/C67</f>
        <v>0.88121212121212122</v>
      </c>
      <c r="O67" s="125">
        <f>I67/G67</f>
        <v>0.92297926364790517</v>
      </c>
    </row>
    <row r="68" spans="1:15" ht="13.5" thickBot="1" x14ac:dyDescent="0.25">
      <c r="A68" s="207" t="s">
        <v>33</v>
      </c>
      <c r="B68" s="181">
        <v>11389</v>
      </c>
      <c r="C68" s="182">
        <v>9079</v>
      </c>
      <c r="D68" s="183">
        <f>B68/C68</f>
        <v>1.2544333076329992</v>
      </c>
      <c r="E68" s="182">
        <v>9896</v>
      </c>
      <c r="F68" s="184">
        <f>E68/B68</f>
        <v>0.86890859601369741</v>
      </c>
      <c r="G68" s="182">
        <v>8284</v>
      </c>
      <c r="H68" s="182">
        <v>7805</v>
      </c>
      <c r="I68" s="182">
        <v>7031</v>
      </c>
      <c r="J68" s="185">
        <f>H68/I68</f>
        <v>1.1100839140947234</v>
      </c>
      <c r="K68" s="182">
        <v>6164</v>
      </c>
      <c r="L68" s="182">
        <v>6056</v>
      </c>
      <c r="M68" s="185">
        <f>K68/L68</f>
        <v>1.0178335535006604</v>
      </c>
      <c r="N68" s="331">
        <f>I68/C68</f>
        <v>0.77442449608987773</v>
      </c>
      <c r="O68" s="186">
        <f>I68/G68</f>
        <v>0.84874456784162244</v>
      </c>
    </row>
    <row r="69" spans="1:15" ht="14.25" thickTop="1" thickBot="1" x14ac:dyDescent="0.25">
      <c r="A69" s="42" t="s">
        <v>156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4"/>
    </row>
    <row r="70" spans="1:15" x14ac:dyDescent="0.2">
      <c r="A70" s="202" t="s">
        <v>32</v>
      </c>
      <c r="B70" s="121">
        <v>3062</v>
      </c>
      <c r="C70" s="122">
        <v>2724</v>
      </c>
      <c r="D70" s="123">
        <f>B70/C70</f>
        <v>1.1240822320117474</v>
      </c>
      <c r="E70" s="122">
        <v>2868</v>
      </c>
      <c r="F70" s="173">
        <f>E70/B70</f>
        <v>0.93664271717831482</v>
      </c>
      <c r="G70" s="122">
        <v>2587</v>
      </c>
      <c r="H70" s="122">
        <v>2529</v>
      </c>
      <c r="I70" s="122">
        <v>2398</v>
      </c>
      <c r="J70" s="174">
        <f>H70/I70</f>
        <v>1.0546288573811509</v>
      </c>
      <c r="K70" s="122">
        <v>2188</v>
      </c>
      <c r="L70" s="122">
        <v>2167</v>
      </c>
      <c r="M70" s="174">
        <f>K70/L70</f>
        <v>1.0096908167974157</v>
      </c>
      <c r="N70" s="329">
        <f>I70/C70</f>
        <v>0.88032305433186486</v>
      </c>
      <c r="O70" s="125">
        <f>I70/G70</f>
        <v>0.92694240432933905</v>
      </c>
    </row>
    <row r="71" spans="1:15" ht="13.5" thickBot="1" x14ac:dyDescent="0.25">
      <c r="A71" s="207" t="s">
        <v>33</v>
      </c>
      <c r="B71" s="181">
        <v>14198</v>
      </c>
      <c r="C71" s="182">
        <v>10992</v>
      </c>
      <c r="D71" s="183">
        <f>B71/C71</f>
        <v>1.2916666666666667</v>
      </c>
      <c r="E71" s="182">
        <v>12634</v>
      </c>
      <c r="F71" s="184">
        <f>E71/B71</f>
        <v>0.88984363994928861</v>
      </c>
      <c r="G71" s="182">
        <v>9879</v>
      </c>
      <c r="H71" s="182">
        <v>9509</v>
      </c>
      <c r="I71" s="182">
        <v>8395</v>
      </c>
      <c r="J71" s="185">
        <f>H71/I71</f>
        <v>1.1326980345443716</v>
      </c>
      <c r="K71" s="182">
        <v>7360</v>
      </c>
      <c r="L71" s="182">
        <v>7202</v>
      </c>
      <c r="M71" s="185">
        <f>K71/L71</f>
        <v>1.021938350458206</v>
      </c>
      <c r="N71" s="331">
        <f>I71/C71</f>
        <v>0.76373726346433768</v>
      </c>
      <c r="O71" s="186">
        <f>I71/G71</f>
        <v>0.84978236663629925</v>
      </c>
    </row>
    <row r="72" spans="1:15" s="24" customFormat="1" ht="13.5" thickTop="1" x14ac:dyDescent="0.2">
      <c r="A72" s="1" t="s">
        <v>101</v>
      </c>
      <c r="B72" s="1"/>
      <c r="C72" s="1"/>
      <c r="E72" s="1"/>
      <c r="F72" s="1"/>
      <c r="G72" s="1"/>
      <c r="H72" s="1"/>
      <c r="I72" s="1"/>
      <c r="J72" s="264"/>
      <c r="K72" s="1"/>
      <c r="L72" s="1"/>
      <c r="M72" s="264"/>
      <c r="N72" s="264"/>
    </row>
    <row r="73" spans="1:15" x14ac:dyDescent="0.2">
      <c r="B73" s="6"/>
      <c r="D73" s="24"/>
      <c r="J73" s="264"/>
      <c r="M73" s="264"/>
      <c r="N73" s="264"/>
      <c r="O73" s="24"/>
    </row>
    <row r="74" spans="1:15" x14ac:dyDescent="0.2"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</row>
    <row r="75" spans="1:15" x14ac:dyDescent="0.2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  <row r="76" spans="1:15" x14ac:dyDescent="0.2">
      <c r="C76"/>
      <c r="D76"/>
      <c r="E76"/>
      <c r="F76"/>
      <c r="G76"/>
    </row>
    <row r="77" spans="1:15" x14ac:dyDescent="0.2">
      <c r="C77"/>
      <c r="D77"/>
      <c r="E77"/>
      <c r="F77"/>
      <c r="G77"/>
    </row>
    <row r="78" spans="1:15" x14ac:dyDescent="0.2">
      <c r="B78" s="24"/>
      <c r="C78" s="24"/>
      <c r="D78" s="24"/>
      <c r="E78" s="24"/>
      <c r="F78" s="24"/>
      <c r="G78" s="512"/>
      <c r="H78" s="512"/>
      <c r="I78" s="512"/>
      <c r="J78" s="24"/>
      <c r="K78" s="24"/>
      <c r="L78" s="24"/>
    </row>
    <row r="79" spans="1:15" x14ac:dyDescent="0.2">
      <c r="B79" s="24"/>
      <c r="C79" s="24"/>
      <c r="D79" s="24"/>
      <c r="E79" s="24"/>
      <c r="F79" s="24"/>
      <c r="G79" s="512"/>
      <c r="H79" s="512"/>
      <c r="I79" s="512"/>
      <c r="J79" s="24"/>
      <c r="K79" s="24"/>
      <c r="L79" s="24"/>
    </row>
    <row r="80" spans="1:15" x14ac:dyDescent="0.2">
      <c r="B80" s="24"/>
      <c r="C80" s="24"/>
      <c r="D80" s="24"/>
      <c r="E80" s="24"/>
      <c r="F80" s="24"/>
      <c r="G80" s="24"/>
      <c r="H80" s="24"/>
      <c r="I80" s="512"/>
      <c r="J80" s="24"/>
      <c r="K80" s="24"/>
      <c r="L80" s="24"/>
    </row>
    <row r="81" spans="2:12" x14ac:dyDescent="0.2">
      <c r="B81" s="24"/>
      <c r="I81" s="512"/>
    </row>
    <row r="82" spans="2:12" x14ac:dyDescent="0.2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2:12" x14ac:dyDescent="0.2">
      <c r="C83" s="24"/>
      <c r="D83" s="24"/>
      <c r="E83" s="24"/>
      <c r="F83" s="24"/>
      <c r="G83" s="24"/>
      <c r="H83" s="24"/>
      <c r="I83" s="24"/>
      <c r="J83" s="24"/>
      <c r="K83" s="24"/>
      <c r="L83" s="24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75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AO1702"/>
  <sheetViews>
    <sheetView topLeftCell="A184" zoomScaleNormal="100" workbookViewId="0">
      <selection activeCell="A203" sqref="A203"/>
    </sheetView>
  </sheetViews>
  <sheetFormatPr defaultColWidth="9.140625" defaultRowHeight="12.75" x14ac:dyDescent="0.2"/>
  <cols>
    <col min="1" max="1" width="8.5703125" style="1" customWidth="1"/>
    <col min="2" max="2" width="10.5703125" style="1" customWidth="1"/>
    <col min="3" max="4" width="8.5703125" style="1" customWidth="1"/>
    <col min="5" max="5" width="10.5703125" style="1" customWidth="1"/>
    <col min="6" max="6" width="8.42578125" style="1" customWidth="1"/>
    <col min="7" max="7" width="8.5703125" style="1" customWidth="1"/>
    <col min="8" max="8" width="1.5703125" style="1" customWidth="1"/>
    <col min="9" max="9" width="8.5703125" style="1" customWidth="1"/>
    <col min="10" max="10" width="10.5703125" style="1" customWidth="1"/>
    <col min="11" max="11" width="8.5703125" style="1" customWidth="1"/>
    <col min="12" max="12" width="8.85546875" style="1" customWidth="1"/>
    <col min="13" max="13" width="10.42578125" style="1" customWidth="1"/>
    <col min="14" max="14" width="7.85546875" style="1" customWidth="1"/>
    <col min="15" max="15" width="10.42578125" style="1" customWidth="1"/>
    <col min="16" max="16" width="8.85546875" style="1" customWidth="1"/>
    <col min="17" max="17" width="7.42578125" style="23" customWidth="1"/>
    <col min="18" max="24" width="5.5703125" style="23" customWidth="1"/>
    <col min="25" max="25" width="13.42578125" style="23" customWidth="1"/>
    <col min="26" max="26" width="5.5703125" style="22" customWidth="1"/>
    <col min="27" max="27" width="9.140625" style="22"/>
    <col min="28" max="28" width="14.42578125" style="22" customWidth="1"/>
    <col min="29" max="30" width="13.42578125" style="22" customWidth="1"/>
    <col min="31" max="31" width="11.5703125" style="22" customWidth="1"/>
    <col min="32" max="32" width="14" style="22" customWidth="1"/>
    <col min="33" max="33" width="14.42578125" style="22" customWidth="1"/>
    <col min="34" max="34" width="9.140625" style="22"/>
    <col min="35" max="35" width="11.5703125" style="23" customWidth="1"/>
    <col min="36" max="38" width="9.140625" style="23"/>
    <col min="39" max="41" width="9.140625" style="13"/>
    <col min="42" max="16384" width="9.140625" style="1"/>
  </cols>
  <sheetData>
    <row r="1" spans="1:41" ht="14.1" customHeight="1" x14ac:dyDescent="0.2">
      <c r="A1" s="25" t="s">
        <v>165</v>
      </c>
      <c r="B1" s="16"/>
      <c r="C1" s="16"/>
      <c r="D1" s="16"/>
      <c r="E1" s="16"/>
      <c r="F1" s="16"/>
      <c r="G1" s="16"/>
      <c r="H1" s="16"/>
      <c r="I1" s="16"/>
      <c r="AA1" s="392"/>
      <c r="AB1" s="393"/>
      <c r="AC1" s="393"/>
      <c r="AD1" s="393"/>
      <c r="AE1" s="393"/>
      <c r="AF1" s="393"/>
      <c r="AG1" s="393"/>
    </row>
    <row r="2" spans="1:41" ht="5.0999999999999996" customHeight="1" x14ac:dyDescent="0.2">
      <c r="A2" s="25"/>
      <c r="B2" s="16"/>
      <c r="C2" s="16"/>
      <c r="D2" s="16"/>
      <c r="E2" s="16"/>
      <c r="F2" s="16"/>
      <c r="G2" s="16"/>
      <c r="I2" s="13"/>
      <c r="J2" s="13"/>
      <c r="K2" s="13"/>
      <c r="L2" s="13"/>
      <c r="M2" s="13"/>
      <c r="N2" s="13"/>
      <c r="O2" s="13"/>
      <c r="P2" s="13"/>
      <c r="AA2" s="386"/>
      <c r="AB2" s="387"/>
      <c r="AC2" s="387"/>
      <c r="AD2" s="387"/>
      <c r="AE2" s="387"/>
      <c r="AF2" s="387"/>
      <c r="AG2" s="387"/>
    </row>
    <row r="3" spans="1:41" ht="13.5" thickBot="1" x14ac:dyDescent="0.25">
      <c r="A3" s="26" t="s">
        <v>11</v>
      </c>
      <c r="B3" s="26"/>
      <c r="C3" s="26"/>
      <c r="D3" s="26"/>
      <c r="E3" s="26"/>
      <c r="F3" s="26"/>
      <c r="G3" s="26"/>
      <c r="H3" s="81"/>
      <c r="I3" s="26" t="s">
        <v>4</v>
      </c>
      <c r="J3" s="26"/>
      <c r="K3" s="26"/>
      <c r="L3" s="26"/>
      <c r="M3" s="26"/>
      <c r="N3" s="26"/>
      <c r="O3" s="26"/>
      <c r="P3" s="85"/>
      <c r="R3" s="22"/>
      <c r="S3" s="387"/>
      <c r="T3" s="388"/>
      <c r="U3" s="389"/>
      <c r="V3" s="389"/>
      <c r="W3" s="390"/>
      <c r="X3" s="390"/>
      <c r="Y3" s="390"/>
      <c r="AA3" s="23"/>
      <c r="AB3" s="23"/>
      <c r="AC3" s="23"/>
      <c r="AD3" s="23"/>
      <c r="AE3" s="13"/>
      <c r="AF3" s="13"/>
      <c r="AG3" s="13"/>
      <c r="AH3" s="1"/>
      <c r="AI3" s="1"/>
      <c r="AJ3" s="1"/>
      <c r="AK3" s="1"/>
      <c r="AL3" s="1"/>
      <c r="AM3" s="1"/>
      <c r="AN3" s="1"/>
      <c r="AO3" s="1"/>
    </row>
    <row r="4" spans="1:41" ht="45" customHeight="1" thickTop="1" x14ac:dyDescent="0.2">
      <c r="A4" s="27" t="s">
        <v>35</v>
      </c>
      <c r="B4" s="442" t="s">
        <v>103</v>
      </c>
      <c r="C4" s="443" t="s">
        <v>104</v>
      </c>
      <c r="D4" s="444" t="s">
        <v>105</v>
      </c>
      <c r="E4" s="445" t="s">
        <v>103</v>
      </c>
      <c r="F4" s="443" t="s">
        <v>104</v>
      </c>
      <c r="G4" s="446" t="s">
        <v>105</v>
      </c>
      <c r="H4" s="82"/>
      <c r="I4" s="27" t="s">
        <v>36</v>
      </c>
      <c r="J4" s="442" t="s">
        <v>103</v>
      </c>
      <c r="K4" s="443" t="s">
        <v>104</v>
      </c>
      <c r="L4" s="444" t="s">
        <v>105</v>
      </c>
      <c r="M4" s="445" t="s">
        <v>103</v>
      </c>
      <c r="N4" s="443" t="s">
        <v>104</v>
      </c>
      <c r="O4" s="446" t="s">
        <v>105</v>
      </c>
      <c r="P4" s="82"/>
      <c r="R4" s="22"/>
      <c r="S4" s="387"/>
      <c r="T4" s="388"/>
      <c r="U4" s="389"/>
      <c r="V4" s="389"/>
      <c r="W4" s="390"/>
      <c r="X4" s="390"/>
      <c r="Y4" s="390"/>
      <c r="AA4" s="23"/>
      <c r="AB4" s="23"/>
      <c r="AC4" s="23"/>
      <c r="AD4" s="23"/>
      <c r="AE4" s="13"/>
      <c r="AF4" s="13"/>
      <c r="AG4" s="13"/>
      <c r="AH4" s="1"/>
      <c r="AI4" s="1"/>
      <c r="AJ4" s="1"/>
      <c r="AK4" s="1"/>
      <c r="AL4" s="1"/>
      <c r="AM4" s="1"/>
      <c r="AN4" s="1"/>
      <c r="AO4" s="1"/>
    </row>
    <row r="5" spans="1:41" ht="13.5" thickBot="1" x14ac:dyDescent="0.25">
      <c r="A5" s="28"/>
      <c r="B5" s="56" t="s">
        <v>90</v>
      </c>
      <c r="C5" s="57"/>
      <c r="D5" s="68"/>
      <c r="E5" s="69" t="s">
        <v>97</v>
      </c>
      <c r="F5" s="57"/>
      <c r="G5" s="58"/>
      <c r="H5" s="86"/>
      <c r="I5" s="28"/>
      <c r="J5" s="56" t="s">
        <v>90</v>
      </c>
      <c r="K5" s="57"/>
      <c r="L5" s="68"/>
      <c r="M5" s="69" t="s">
        <v>97</v>
      </c>
      <c r="N5" s="57"/>
      <c r="O5" s="58"/>
      <c r="P5" s="86"/>
      <c r="Q5" s="345"/>
      <c r="R5" s="22"/>
      <c r="S5" s="387"/>
      <c r="T5" s="388"/>
      <c r="U5" s="389"/>
      <c r="V5" s="389"/>
      <c r="W5" s="390"/>
      <c r="X5" s="390"/>
      <c r="Y5" s="390"/>
      <c r="AA5" s="23"/>
      <c r="AB5" s="23"/>
      <c r="AC5" s="23"/>
      <c r="AD5" s="23"/>
      <c r="AE5" s="13"/>
      <c r="AF5" s="13"/>
      <c r="AG5" s="13"/>
      <c r="AH5" s="1"/>
      <c r="AI5" s="1"/>
      <c r="AJ5" s="1"/>
      <c r="AK5" s="1"/>
      <c r="AL5" s="1"/>
      <c r="AM5" s="1"/>
      <c r="AN5" s="1"/>
      <c r="AO5" s="1"/>
    </row>
    <row r="6" spans="1:41" ht="13.5" thickTop="1" x14ac:dyDescent="0.2">
      <c r="A6" s="52">
        <v>18</v>
      </c>
      <c r="B6" s="59">
        <v>0.49295836441012592</v>
      </c>
      <c r="C6" s="60">
        <v>0.49643061107938319</v>
      </c>
      <c r="D6" s="70">
        <v>0.48888705959828777</v>
      </c>
      <c r="E6" s="71">
        <v>7.9591836734693874E-2</v>
      </c>
      <c r="F6" s="60">
        <v>6.8117977528089887E-2</v>
      </c>
      <c r="G6" s="61">
        <v>6.4345193035579104E-2</v>
      </c>
      <c r="H6" s="83"/>
      <c r="I6" s="52">
        <v>18</v>
      </c>
      <c r="J6" s="59">
        <v>0.3360127337843215</v>
      </c>
      <c r="K6" s="60">
        <v>0.33244712990936554</v>
      </c>
      <c r="L6" s="70">
        <v>0.33629117160475258</v>
      </c>
      <c r="M6" s="71">
        <v>6.2581486310299875E-2</v>
      </c>
      <c r="N6" s="60">
        <v>5.6637970095151792E-2</v>
      </c>
      <c r="O6" s="61">
        <v>5.2801724137931036E-2</v>
      </c>
      <c r="P6" s="83"/>
      <c r="R6" s="22"/>
      <c r="S6" s="387"/>
      <c r="T6" s="388"/>
      <c r="U6" s="389"/>
      <c r="V6" s="389"/>
      <c r="W6" s="390"/>
      <c r="X6" s="390"/>
      <c r="Y6" s="390"/>
      <c r="AA6" s="23"/>
      <c r="AB6" s="23"/>
      <c r="AC6" s="23"/>
      <c r="AD6" s="23"/>
      <c r="AE6" s="13"/>
      <c r="AF6" s="13"/>
      <c r="AG6" s="13"/>
      <c r="AH6" s="1"/>
      <c r="AI6" s="1"/>
      <c r="AJ6" s="1"/>
      <c r="AK6" s="1"/>
      <c r="AL6" s="1"/>
      <c r="AM6" s="1"/>
      <c r="AN6" s="1"/>
      <c r="AO6" s="1"/>
    </row>
    <row r="7" spans="1:41" x14ac:dyDescent="0.2">
      <c r="A7" s="53">
        <v>19</v>
      </c>
      <c r="B7" s="62">
        <v>0.30175931206949502</v>
      </c>
      <c r="C7" s="63">
        <v>0.30118503712164479</v>
      </c>
      <c r="D7" s="72">
        <v>0.30449456700691474</v>
      </c>
      <c r="E7" s="73">
        <v>0.12653061224489795</v>
      </c>
      <c r="F7" s="63">
        <v>0.12008426966292135</v>
      </c>
      <c r="G7" s="64">
        <v>0.11809235427706283</v>
      </c>
      <c r="H7" s="83"/>
      <c r="I7" s="53">
        <v>19</v>
      </c>
      <c r="J7" s="62">
        <v>0.34277755670513332</v>
      </c>
      <c r="K7" s="63">
        <v>0.34948640483383686</v>
      </c>
      <c r="L7" s="72">
        <v>0.3669724770642202</v>
      </c>
      <c r="M7" s="73">
        <v>0.10397653194263363</v>
      </c>
      <c r="N7" s="63">
        <v>9.9229723606705941E-2</v>
      </c>
      <c r="O7" s="64">
        <v>9.4288793103448273E-2</v>
      </c>
      <c r="P7" s="83"/>
      <c r="R7" s="22"/>
      <c r="S7" s="387"/>
      <c r="T7" s="388"/>
      <c r="U7" s="389"/>
      <c r="V7" s="389"/>
      <c r="W7" s="390"/>
      <c r="X7" s="390"/>
      <c r="Y7" s="390"/>
      <c r="AA7" s="23"/>
      <c r="AB7" s="23"/>
      <c r="AC7" s="23"/>
      <c r="AD7" s="23"/>
      <c r="AE7" s="13"/>
      <c r="AF7" s="13"/>
      <c r="AG7" s="13"/>
      <c r="AH7" s="1"/>
      <c r="AI7" s="1"/>
      <c r="AJ7" s="1"/>
      <c r="AK7" s="1"/>
      <c r="AL7" s="1"/>
      <c r="AM7" s="1"/>
      <c r="AN7" s="1"/>
      <c r="AO7" s="1"/>
    </row>
    <row r="8" spans="1:41" x14ac:dyDescent="0.2">
      <c r="A8" s="53">
        <v>20</v>
      </c>
      <c r="B8" s="62">
        <v>0.11933488351686922</v>
      </c>
      <c r="C8" s="63">
        <v>0.11964591661907481</v>
      </c>
      <c r="D8" s="72">
        <v>0.12199539018768521</v>
      </c>
      <c r="E8" s="73">
        <v>0.12295918367346939</v>
      </c>
      <c r="F8" s="63">
        <v>0.12078651685393259</v>
      </c>
      <c r="G8" s="64">
        <v>0.12112036336109008</v>
      </c>
      <c r="H8" s="83"/>
      <c r="I8" s="53">
        <v>20</v>
      </c>
      <c r="J8" s="62">
        <v>0.16752884998010345</v>
      </c>
      <c r="K8" s="63">
        <v>0.16471299093655589</v>
      </c>
      <c r="L8" s="72">
        <v>0.17777109339750338</v>
      </c>
      <c r="M8" s="73">
        <v>0.121251629726206</v>
      </c>
      <c r="N8" s="63">
        <v>0.11010421386497508</v>
      </c>
      <c r="O8" s="64">
        <v>0.10991379310344827</v>
      </c>
      <c r="P8" s="83"/>
      <c r="R8" s="22"/>
      <c r="S8" s="387"/>
      <c r="T8" s="388"/>
      <c r="U8" s="389"/>
      <c r="V8" s="389"/>
      <c r="W8" s="390"/>
      <c r="X8" s="390"/>
      <c r="Y8" s="390"/>
      <c r="AA8" s="23"/>
      <c r="AB8" s="23"/>
      <c r="AC8" s="23"/>
      <c r="AD8" s="23"/>
      <c r="AE8" s="13"/>
      <c r="AF8" s="13"/>
      <c r="AG8" s="13"/>
      <c r="AH8" s="1"/>
      <c r="AI8" s="1"/>
      <c r="AJ8" s="1"/>
      <c r="AK8" s="1"/>
      <c r="AL8" s="1"/>
      <c r="AM8" s="1"/>
      <c r="AN8" s="1"/>
      <c r="AO8" s="1"/>
    </row>
    <row r="9" spans="1:41" x14ac:dyDescent="0.2">
      <c r="A9" s="53">
        <v>21</v>
      </c>
      <c r="B9" s="62">
        <v>4.6505506076426971E-2</v>
      </c>
      <c r="C9" s="63">
        <v>4.3332381496287833E-2</v>
      </c>
      <c r="D9" s="72">
        <v>4.4781033915047744E-2</v>
      </c>
      <c r="E9" s="73">
        <v>0.11734693877551021</v>
      </c>
      <c r="F9" s="63">
        <v>0.11657303370786516</v>
      </c>
      <c r="G9" s="64">
        <v>0.11809235427706283</v>
      </c>
      <c r="H9" s="83"/>
      <c r="I9" s="53">
        <v>21</v>
      </c>
      <c r="J9" s="62">
        <v>7.6004775169120575E-2</v>
      </c>
      <c r="K9" s="63">
        <v>7.4803625377643498E-2</v>
      </c>
      <c r="L9" s="72">
        <v>7.9711234772146186E-2</v>
      </c>
      <c r="M9" s="73">
        <v>9.6153846153846159E-2</v>
      </c>
      <c r="N9" s="63">
        <v>9.1073855913004084E-2</v>
      </c>
      <c r="O9" s="64">
        <v>8.9978448275862072E-2</v>
      </c>
      <c r="P9" s="83"/>
      <c r="R9" s="22"/>
      <c r="S9" s="387"/>
      <c r="T9" s="388"/>
      <c r="U9" s="389"/>
      <c r="V9" s="389"/>
      <c r="W9" s="390"/>
      <c r="X9" s="390"/>
      <c r="Y9" s="390"/>
      <c r="AA9" s="23"/>
      <c r="AB9" s="23"/>
      <c r="AC9" s="23"/>
      <c r="AD9" s="23"/>
      <c r="AE9" s="13"/>
      <c r="AF9" s="13"/>
      <c r="AG9" s="13"/>
      <c r="AH9" s="1"/>
      <c r="AI9" s="1"/>
      <c r="AJ9" s="1"/>
      <c r="AK9" s="1"/>
      <c r="AL9" s="1"/>
      <c r="AM9" s="1"/>
      <c r="AN9" s="1"/>
      <c r="AO9" s="1"/>
    </row>
    <row r="10" spans="1:41" x14ac:dyDescent="0.2">
      <c r="A10" s="53">
        <v>22</v>
      </c>
      <c r="B10" s="62">
        <v>1.94796648093713E-2</v>
      </c>
      <c r="C10" s="63">
        <v>1.9703026841804683E-2</v>
      </c>
      <c r="D10" s="72">
        <v>2.0003292723081989E-2</v>
      </c>
      <c r="E10" s="73">
        <v>7.9591836734693874E-2</v>
      </c>
      <c r="F10" s="63">
        <v>7.9353932584269662E-2</v>
      </c>
      <c r="G10" s="64">
        <v>7.9485238455715368E-2</v>
      </c>
      <c r="H10" s="83"/>
      <c r="I10" s="53">
        <v>22</v>
      </c>
      <c r="J10" s="62">
        <v>3.6768802228412258E-2</v>
      </c>
      <c r="K10" s="63">
        <v>3.794561933534743E-2</v>
      </c>
      <c r="L10" s="72">
        <v>4.2412392841028726E-2</v>
      </c>
      <c r="M10" s="73">
        <v>7.6597131681877442E-2</v>
      </c>
      <c r="N10" s="63">
        <v>7.8840054372451285E-2</v>
      </c>
      <c r="O10" s="64">
        <v>7.5969827586206892E-2</v>
      </c>
      <c r="P10" s="83"/>
      <c r="R10" s="22"/>
      <c r="S10" s="387"/>
      <c r="T10" s="388"/>
      <c r="U10" s="389"/>
      <c r="V10" s="389"/>
      <c r="W10" s="390"/>
      <c r="X10" s="390"/>
      <c r="Y10" s="390"/>
      <c r="AA10" s="23"/>
      <c r="AB10" s="23"/>
      <c r="AC10" s="23"/>
      <c r="AD10" s="23"/>
      <c r="AE10" s="13"/>
      <c r="AF10" s="13"/>
      <c r="AG10" s="13"/>
      <c r="AH10" s="1"/>
      <c r="AI10" s="1"/>
      <c r="AJ10" s="1"/>
      <c r="AK10" s="1"/>
      <c r="AL10" s="1"/>
      <c r="AM10" s="1"/>
      <c r="AN10" s="1"/>
      <c r="AO10" s="1"/>
    </row>
    <row r="11" spans="1:41" x14ac:dyDescent="0.2">
      <c r="A11" s="53">
        <v>23</v>
      </c>
      <c r="B11" s="62">
        <v>8.6430044311850123E-3</v>
      </c>
      <c r="C11" s="63">
        <v>8.0668189605939463E-3</v>
      </c>
      <c r="D11" s="72">
        <v>8.3964438590714528E-3</v>
      </c>
      <c r="E11" s="73">
        <v>6.7346938775510207E-2</v>
      </c>
      <c r="F11" s="63">
        <v>6.6011235955056174E-2</v>
      </c>
      <c r="G11" s="64">
        <v>6.2831188493565476E-2</v>
      </c>
      <c r="H11" s="83"/>
      <c r="I11" s="53">
        <v>23</v>
      </c>
      <c r="J11" s="62">
        <v>1.7827298050139277E-2</v>
      </c>
      <c r="K11" s="63">
        <v>1.8368580060422961E-2</v>
      </c>
      <c r="L11" s="72">
        <v>1.9551812302601897E-2</v>
      </c>
      <c r="M11" s="73">
        <v>6.747066492829204E-2</v>
      </c>
      <c r="N11" s="63">
        <v>6.5246941549614856E-2</v>
      </c>
      <c r="O11" s="64">
        <v>6.4116379310344834E-2</v>
      </c>
      <c r="P11" s="83"/>
      <c r="R11" s="22"/>
      <c r="S11" s="387"/>
      <c r="T11" s="388"/>
      <c r="U11" s="389"/>
      <c r="V11" s="389"/>
      <c r="W11" s="390"/>
      <c r="X11" s="390"/>
      <c r="Y11" s="390"/>
      <c r="AA11" s="23"/>
      <c r="AB11" s="23"/>
      <c r="AC11" s="23"/>
      <c r="AD11" s="23"/>
      <c r="AE11" s="13"/>
      <c r="AF11" s="13"/>
      <c r="AG11" s="13"/>
      <c r="AH11" s="1"/>
      <c r="AI11" s="1"/>
      <c r="AJ11" s="1"/>
      <c r="AK11" s="1"/>
      <c r="AL11" s="1"/>
      <c r="AM11" s="1"/>
      <c r="AN11" s="1"/>
      <c r="AO11" s="1"/>
    </row>
    <row r="12" spans="1:41" x14ac:dyDescent="0.2">
      <c r="A12" s="53">
        <v>24</v>
      </c>
      <c r="B12" s="62">
        <v>4.7821699644627737E-3</v>
      </c>
      <c r="C12" s="63">
        <v>4.5688178183894918E-3</v>
      </c>
      <c r="D12" s="72">
        <v>4.4945670069147188E-2</v>
      </c>
      <c r="E12" s="73">
        <v>5.7653061224489793E-2</v>
      </c>
      <c r="F12" s="63">
        <v>5.9691011235955056E-2</v>
      </c>
      <c r="G12" s="64">
        <v>5.82891748675246E-2</v>
      </c>
      <c r="H12" s="83"/>
      <c r="I12" s="53">
        <v>24</v>
      </c>
      <c r="J12" s="62">
        <v>1.0027855153203343E-2</v>
      </c>
      <c r="K12" s="63">
        <v>9.6676737160120846E-3</v>
      </c>
      <c r="L12" s="72">
        <v>9.6255075951270867E-3</v>
      </c>
      <c r="M12" s="73">
        <v>6.1929595827900911E-2</v>
      </c>
      <c r="N12" s="63">
        <v>6.3887630267331214E-2</v>
      </c>
      <c r="O12" s="64">
        <v>6.4655172413793108E-2</v>
      </c>
      <c r="P12" s="83"/>
      <c r="R12" s="22"/>
      <c r="S12" s="387"/>
      <c r="T12" s="388"/>
      <c r="U12" s="389"/>
      <c r="V12" s="389"/>
      <c r="W12" s="390"/>
      <c r="X12" s="390"/>
      <c r="Y12" s="390"/>
      <c r="AA12" s="23"/>
      <c r="AB12" s="23"/>
      <c r="AC12" s="23"/>
      <c r="AD12" s="23"/>
      <c r="AE12" s="13"/>
      <c r="AF12" s="13"/>
      <c r="AG12" s="13"/>
      <c r="AH12" s="1"/>
      <c r="AI12" s="1"/>
      <c r="AJ12" s="1"/>
      <c r="AK12" s="1"/>
      <c r="AL12" s="1"/>
      <c r="AM12" s="1"/>
      <c r="AN12" s="1"/>
      <c r="AO12" s="1"/>
    </row>
    <row r="13" spans="1:41" x14ac:dyDescent="0.2">
      <c r="A13" s="53">
        <v>25</v>
      </c>
      <c r="B13" s="62">
        <v>2.281402184881323E-3</v>
      </c>
      <c r="C13" s="63">
        <v>2.3557966876070818E-3</v>
      </c>
      <c r="D13" s="72">
        <v>2.057951926243003E-3</v>
      </c>
      <c r="E13" s="73">
        <v>5.0510204081632655E-2</v>
      </c>
      <c r="F13" s="63">
        <v>5.3370786516853931E-2</v>
      </c>
      <c r="G13" s="64">
        <v>5.4504163512490537E-2</v>
      </c>
      <c r="H13" s="83"/>
      <c r="I13" s="53">
        <v>25</v>
      </c>
      <c r="J13" s="62">
        <v>3.1834460803820135E-3</v>
      </c>
      <c r="K13" s="63">
        <v>3.2628398791540785E-3</v>
      </c>
      <c r="L13" s="72">
        <v>3.4591667919987969E-3</v>
      </c>
      <c r="M13" s="73">
        <v>4.8565840938722293E-2</v>
      </c>
      <c r="N13" s="63">
        <v>5.0747621205256006E-2</v>
      </c>
      <c r="O13" s="64">
        <v>5.0646551724137928E-2</v>
      </c>
      <c r="P13" s="83"/>
      <c r="R13" s="22"/>
      <c r="S13" s="387"/>
      <c r="T13" s="388"/>
      <c r="U13" s="389"/>
      <c r="V13" s="389"/>
      <c r="W13" s="390"/>
      <c r="X13" s="390"/>
      <c r="Y13" s="390"/>
      <c r="AA13" s="23"/>
      <c r="AB13" s="23"/>
      <c r="AC13" s="23"/>
      <c r="AD13" s="23"/>
      <c r="AE13" s="13"/>
      <c r="AF13" s="13"/>
      <c r="AG13" s="13"/>
      <c r="AH13" s="1"/>
      <c r="AI13" s="1"/>
      <c r="AJ13" s="1"/>
      <c r="AK13" s="1"/>
      <c r="AL13" s="1"/>
      <c r="AM13" s="1"/>
      <c r="AN13" s="1"/>
      <c r="AO13" s="1"/>
    </row>
    <row r="14" spans="1:41" x14ac:dyDescent="0.2">
      <c r="A14" s="53">
        <v>26</v>
      </c>
      <c r="B14" s="62">
        <v>9.6520861668055987E-4</v>
      </c>
      <c r="C14" s="63">
        <v>1.2849800114220445E-3</v>
      </c>
      <c r="D14" s="72">
        <v>1.2347711557458018E-3</v>
      </c>
      <c r="E14" s="73">
        <v>3.6224489795918365E-2</v>
      </c>
      <c r="F14" s="63">
        <v>4.0730337078651688E-2</v>
      </c>
      <c r="G14" s="64">
        <v>4.2392127176381529E-2</v>
      </c>
      <c r="H14" s="83"/>
      <c r="I14" s="53">
        <v>26</v>
      </c>
      <c r="J14" s="62">
        <v>2.3875845602865102E-3</v>
      </c>
      <c r="K14" s="63">
        <v>1.8126888217522659E-3</v>
      </c>
      <c r="L14" s="72">
        <v>1.654384117912468E-3</v>
      </c>
      <c r="M14" s="73">
        <v>4.3350717079530636E-2</v>
      </c>
      <c r="N14" s="63">
        <v>4.4857272315360221E-2</v>
      </c>
      <c r="O14" s="64">
        <v>4.6875E-2</v>
      </c>
      <c r="P14" s="83"/>
      <c r="R14" s="22"/>
      <c r="S14" s="387"/>
      <c r="T14" s="388"/>
      <c r="U14" s="389"/>
      <c r="V14" s="389"/>
      <c r="W14" s="390"/>
      <c r="X14" s="390"/>
      <c r="Y14" s="390"/>
      <c r="AA14" s="23"/>
      <c r="AB14" s="23"/>
      <c r="AC14" s="23"/>
      <c r="AD14" s="23"/>
      <c r="AE14" s="13"/>
      <c r="AF14" s="13"/>
      <c r="AG14" s="13"/>
      <c r="AH14" s="1"/>
      <c r="AI14" s="1"/>
      <c r="AJ14" s="1"/>
      <c r="AK14" s="1"/>
      <c r="AL14" s="1"/>
      <c r="AM14" s="1"/>
      <c r="AN14" s="1"/>
      <c r="AO14" s="1"/>
    </row>
    <row r="15" spans="1:41" x14ac:dyDescent="0.2">
      <c r="A15" s="53">
        <v>27</v>
      </c>
      <c r="B15" s="62">
        <v>1.0090817356205853E-3</v>
      </c>
      <c r="C15" s="63">
        <v>7.1387778412335806E-4</v>
      </c>
      <c r="D15" s="72">
        <v>8.2318077049720116E-4</v>
      </c>
      <c r="E15" s="73">
        <v>2.7551020408163266E-2</v>
      </c>
      <c r="F15" s="63">
        <v>3.3005617977528087E-2</v>
      </c>
      <c r="G15" s="64">
        <v>3.3308099924299776E-2</v>
      </c>
      <c r="H15" s="83"/>
      <c r="I15" s="53">
        <v>27</v>
      </c>
      <c r="J15" s="62">
        <v>1.1142061281337048E-3</v>
      </c>
      <c r="K15" s="63">
        <v>7.2507552870090634E-4</v>
      </c>
      <c r="L15" s="72">
        <v>7.5199278086930362E-4</v>
      </c>
      <c r="M15" s="73">
        <v>3.911342894393742E-2</v>
      </c>
      <c r="N15" s="63">
        <v>4.2138649750792935E-2</v>
      </c>
      <c r="O15" s="64">
        <v>4.2025862068965518E-2</v>
      </c>
      <c r="P15" s="83"/>
      <c r="R15" s="22"/>
      <c r="S15" s="387"/>
      <c r="T15" s="391"/>
      <c r="U15" s="391"/>
      <c r="V15" s="391"/>
      <c r="W15" s="391"/>
      <c r="X15" s="391"/>
      <c r="Y15" s="391"/>
      <c r="AA15" s="23"/>
      <c r="AB15" s="23"/>
      <c r="AC15" s="23"/>
      <c r="AD15" s="23"/>
      <c r="AE15" s="13"/>
      <c r="AF15" s="13"/>
      <c r="AG15" s="13"/>
      <c r="AH15" s="1"/>
      <c r="AI15" s="1"/>
      <c r="AJ15" s="1"/>
      <c r="AK15" s="1"/>
      <c r="AL15" s="1"/>
      <c r="AM15" s="1"/>
      <c r="AN15" s="1"/>
      <c r="AO15" s="1"/>
    </row>
    <row r="16" spans="1:41" x14ac:dyDescent="0.2">
      <c r="A16" s="53">
        <v>28</v>
      </c>
      <c r="B16" s="62">
        <v>5.2647742728030534E-4</v>
      </c>
      <c r="C16" s="63">
        <v>7.1387778412335806E-4</v>
      </c>
      <c r="D16" s="72">
        <v>7.4086269344748109E-4</v>
      </c>
      <c r="E16" s="73">
        <v>2.4489795918367346E-2</v>
      </c>
      <c r="F16" s="63">
        <v>2.3876404494382022E-2</v>
      </c>
      <c r="G16" s="64">
        <v>2.5738077214231644E-2</v>
      </c>
      <c r="H16" s="83"/>
      <c r="I16" s="53">
        <v>28</v>
      </c>
      <c r="J16" s="62">
        <v>1.1142061281337048E-3</v>
      </c>
      <c r="K16" s="63">
        <v>9.6676737160120846E-4</v>
      </c>
      <c r="L16" s="72">
        <v>1.052789893217025E-3</v>
      </c>
      <c r="M16" s="73">
        <v>3.1290743155149937E-2</v>
      </c>
      <c r="N16" s="63">
        <v>3.4435885817852285E-2</v>
      </c>
      <c r="O16" s="64">
        <v>3.7176724137931036E-2</v>
      </c>
      <c r="P16" s="83"/>
      <c r="R16" s="22"/>
      <c r="S16" s="387"/>
      <c r="T16" s="391"/>
      <c r="U16" s="391"/>
      <c r="V16" s="391"/>
      <c r="W16" s="391"/>
      <c r="X16" s="391"/>
      <c r="Y16" s="391"/>
      <c r="AA16" s="23"/>
      <c r="AB16" s="23"/>
      <c r="AC16" s="23"/>
      <c r="AD16" s="23"/>
      <c r="AE16" s="13"/>
      <c r="AF16" s="13"/>
      <c r="AG16" s="13"/>
      <c r="AH16" s="1"/>
      <c r="AI16" s="1"/>
      <c r="AJ16" s="1"/>
      <c r="AK16" s="1"/>
      <c r="AL16" s="1"/>
      <c r="AM16" s="1"/>
      <c r="AN16" s="1"/>
      <c r="AO16" s="1"/>
    </row>
    <row r="17" spans="1:41" x14ac:dyDescent="0.2">
      <c r="A17" s="53">
        <v>29</v>
      </c>
      <c r="B17" s="62">
        <v>2.1936559470012724E-4</v>
      </c>
      <c r="C17" s="63">
        <v>2.1416333523700741E-4</v>
      </c>
      <c r="D17" s="72">
        <v>2.4695423114916038E-4</v>
      </c>
      <c r="E17" s="73">
        <v>2.3979591836734693E-2</v>
      </c>
      <c r="F17" s="63">
        <v>1.9662921348314606E-2</v>
      </c>
      <c r="G17" s="64">
        <v>1.8925056775170326E-2</v>
      </c>
      <c r="H17" s="83"/>
      <c r="I17" s="53">
        <v>29</v>
      </c>
      <c r="J17" s="62">
        <v>9.5503382411460402E-4</v>
      </c>
      <c r="K17" s="63">
        <v>1.0876132930513595E-3</v>
      </c>
      <c r="L17" s="72">
        <v>1.3535870055647466E-3</v>
      </c>
      <c r="M17" s="73">
        <v>2.7053455019556714E-2</v>
      </c>
      <c r="N17" s="63">
        <v>3.035795197100136E-2</v>
      </c>
      <c r="O17" s="64">
        <v>3.2327586206896554E-2</v>
      </c>
      <c r="P17" s="83"/>
      <c r="R17" s="22"/>
      <c r="S17" s="22"/>
      <c r="T17" s="22"/>
      <c r="U17" s="22"/>
      <c r="V17" s="22"/>
      <c r="W17" s="22"/>
      <c r="X17" s="22"/>
      <c r="Y17" s="22"/>
      <c r="AA17" s="23"/>
      <c r="AB17" s="23"/>
      <c r="AC17" s="23"/>
      <c r="AD17" s="23"/>
      <c r="AE17" s="13"/>
      <c r="AF17" s="13"/>
      <c r="AG17" s="13"/>
      <c r="AH17" s="1"/>
      <c r="AI17" s="1"/>
      <c r="AJ17" s="1"/>
      <c r="AK17" s="1"/>
      <c r="AL17" s="1"/>
      <c r="AM17" s="1"/>
      <c r="AN17" s="1"/>
      <c r="AO17" s="1"/>
    </row>
    <row r="18" spans="1:41" x14ac:dyDescent="0.2">
      <c r="A18" s="54" t="s">
        <v>25</v>
      </c>
      <c r="B18" s="65">
        <v>1.5355591629008906E-3</v>
      </c>
      <c r="C18" s="66">
        <v>1.7846944603083952E-3</v>
      </c>
      <c r="D18" s="74">
        <v>1.7286796180441225E-3</v>
      </c>
      <c r="E18" s="75">
        <v>0.18622448979591838</v>
      </c>
      <c r="F18" s="66">
        <v>0.19873595505617977</v>
      </c>
      <c r="G18" s="67">
        <v>0.2028766086298259</v>
      </c>
      <c r="H18" s="83"/>
      <c r="I18" s="54" t="s">
        <v>25</v>
      </c>
      <c r="J18" s="65">
        <v>4.1384799044966178E-3</v>
      </c>
      <c r="K18" s="66">
        <v>4.4712990936555891E-3</v>
      </c>
      <c r="L18" s="74">
        <v>4.2111595728681001E-3</v>
      </c>
      <c r="M18" s="75">
        <v>0.22066492829204692</v>
      </c>
      <c r="N18" s="66">
        <v>0.23244222927050295</v>
      </c>
      <c r="O18" s="67">
        <v>0.23922413793103448</v>
      </c>
      <c r="P18" s="83"/>
      <c r="R18" s="22"/>
      <c r="S18" s="22"/>
      <c r="T18" s="22"/>
      <c r="U18" s="22"/>
      <c r="V18" s="22"/>
      <c r="W18" s="22"/>
      <c r="X18" s="22"/>
      <c r="Y18" s="22"/>
      <c r="AA18" s="23"/>
      <c r="AB18" s="23"/>
      <c r="AC18" s="23"/>
      <c r="AD18" s="23"/>
      <c r="AE18" s="13"/>
      <c r="AF18" s="13"/>
      <c r="AG18" s="13"/>
      <c r="AH18" s="1"/>
      <c r="AI18" s="1"/>
      <c r="AJ18" s="1"/>
      <c r="AK18" s="1"/>
      <c r="AL18" s="1"/>
      <c r="AM18" s="1"/>
      <c r="AN18" s="1"/>
      <c r="AO18" s="1"/>
    </row>
    <row r="19" spans="1:41" ht="15.75" customHeight="1" thickBot="1" x14ac:dyDescent="0.25">
      <c r="A19" s="29" t="s">
        <v>26</v>
      </c>
      <c r="B19" s="228">
        <v>18.89</v>
      </c>
      <c r="C19" s="229">
        <v>18.88</v>
      </c>
      <c r="D19" s="230">
        <v>18.899999999999999</v>
      </c>
      <c r="E19" s="231">
        <v>23.68</v>
      </c>
      <c r="F19" s="229">
        <v>23.89</v>
      </c>
      <c r="G19" s="232">
        <v>23.97</v>
      </c>
      <c r="H19" s="84"/>
      <c r="I19" s="29" t="s">
        <v>26</v>
      </c>
      <c r="J19" s="228">
        <v>19.27</v>
      </c>
      <c r="K19" s="229">
        <v>19.28</v>
      </c>
      <c r="L19" s="230">
        <v>19.3</v>
      </c>
      <c r="M19" s="231">
        <v>24.3</v>
      </c>
      <c r="N19" s="229">
        <v>24.57</v>
      </c>
      <c r="O19" s="232">
        <v>24.7</v>
      </c>
      <c r="P19" s="84"/>
      <c r="R19" s="22"/>
      <c r="S19" s="392"/>
      <c r="T19" s="393"/>
      <c r="U19" s="393"/>
      <c r="V19" s="393"/>
      <c r="W19" s="393"/>
      <c r="X19" s="393"/>
      <c r="Y19" s="393"/>
      <c r="AA19" s="23"/>
      <c r="AB19" s="23"/>
      <c r="AC19" s="23"/>
      <c r="AD19" s="23"/>
      <c r="AE19" s="13"/>
      <c r="AF19" s="13"/>
      <c r="AG19" s="13"/>
      <c r="AH19" s="1"/>
      <c r="AI19" s="1"/>
      <c r="AJ19" s="1"/>
      <c r="AK19" s="1"/>
      <c r="AL19" s="1"/>
      <c r="AM19" s="1"/>
      <c r="AN19" s="1"/>
      <c r="AO19" s="1"/>
    </row>
    <row r="20" spans="1:41" ht="20.100000000000001" customHeight="1" thickTop="1" x14ac:dyDescent="0.2">
      <c r="A20" s="13"/>
      <c r="B20" s="495">
        <f>SUM(B6:B18)</f>
        <v>1.0000000000000002</v>
      </c>
      <c r="C20" s="13"/>
      <c r="D20" s="13"/>
      <c r="E20" s="13"/>
      <c r="F20" s="13"/>
      <c r="G20" s="13"/>
      <c r="I20" s="13"/>
      <c r="J20" s="13"/>
      <c r="K20" s="13"/>
      <c r="L20" s="13"/>
      <c r="M20" s="13"/>
      <c r="N20" s="13"/>
      <c r="O20" s="13"/>
      <c r="P20" s="23"/>
      <c r="AA20" s="386"/>
      <c r="AB20" s="387"/>
      <c r="AC20" s="387"/>
      <c r="AD20" s="387"/>
      <c r="AE20" s="387"/>
      <c r="AF20" s="387"/>
      <c r="AG20" s="387"/>
    </row>
    <row r="21" spans="1:41" ht="13.5" thickBot="1" x14ac:dyDescent="0.25">
      <c r="A21" s="26" t="s">
        <v>5</v>
      </c>
      <c r="B21" s="26"/>
      <c r="C21" s="26"/>
      <c r="D21" s="26"/>
      <c r="E21" s="26"/>
      <c r="F21" s="26"/>
      <c r="G21" s="26"/>
      <c r="I21" s="26" t="s">
        <v>41</v>
      </c>
      <c r="J21" s="26"/>
      <c r="K21" s="26"/>
      <c r="L21" s="26"/>
      <c r="M21" s="26"/>
      <c r="N21" s="26"/>
      <c r="O21" s="26"/>
      <c r="P21" s="85"/>
      <c r="Q21" s="85"/>
      <c r="R21" s="85"/>
      <c r="S21" s="85"/>
      <c r="T21" s="85"/>
      <c r="U21" s="85"/>
      <c r="V21" s="85"/>
      <c r="W21" s="85"/>
      <c r="X21" s="85"/>
      <c r="AA21" s="387"/>
      <c r="AB21" s="394"/>
      <c r="AC21" s="395"/>
      <c r="AD21" s="395"/>
      <c r="AE21" s="396"/>
      <c r="AF21" s="396"/>
      <c r="AG21" s="396"/>
    </row>
    <row r="22" spans="1:41" ht="45" customHeight="1" thickTop="1" x14ac:dyDescent="0.2">
      <c r="A22" s="27" t="s">
        <v>37</v>
      </c>
      <c r="B22" s="442" t="s">
        <v>103</v>
      </c>
      <c r="C22" s="443" t="s">
        <v>104</v>
      </c>
      <c r="D22" s="444" t="s">
        <v>105</v>
      </c>
      <c r="E22" s="445" t="s">
        <v>103</v>
      </c>
      <c r="F22" s="443" t="s">
        <v>104</v>
      </c>
      <c r="G22" s="446" t="s">
        <v>105</v>
      </c>
      <c r="I22" s="27" t="s">
        <v>40</v>
      </c>
      <c r="J22" s="442" t="s">
        <v>103</v>
      </c>
      <c r="K22" s="443" t="s">
        <v>104</v>
      </c>
      <c r="L22" s="444" t="s">
        <v>105</v>
      </c>
      <c r="M22" s="445" t="s">
        <v>103</v>
      </c>
      <c r="N22" s="443" t="s">
        <v>104</v>
      </c>
      <c r="O22" s="446" t="s">
        <v>105</v>
      </c>
      <c r="P22" s="82"/>
      <c r="Q22" s="82"/>
      <c r="R22" s="82"/>
      <c r="S22" s="82"/>
      <c r="T22" s="82"/>
      <c r="U22" s="82"/>
      <c r="V22" s="82"/>
      <c r="W22" s="82"/>
      <c r="X22" s="82"/>
      <c r="AA22" s="387"/>
      <c r="AB22" s="394"/>
      <c r="AC22" s="395"/>
      <c r="AD22" s="395"/>
      <c r="AE22" s="396"/>
      <c r="AF22" s="396"/>
      <c r="AG22" s="396"/>
    </row>
    <row r="23" spans="1:41" ht="13.5" thickBot="1" x14ac:dyDescent="0.25">
      <c r="A23" s="28"/>
      <c r="B23" s="56" t="s">
        <v>90</v>
      </c>
      <c r="C23" s="57"/>
      <c r="D23" s="68"/>
      <c r="E23" s="69" t="s">
        <v>97</v>
      </c>
      <c r="F23" s="57"/>
      <c r="G23" s="58"/>
      <c r="I23" s="28"/>
      <c r="J23" s="56" t="s">
        <v>90</v>
      </c>
      <c r="K23" s="57"/>
      <c r="L23" s="68"/>
      <c r="M23" s="69" t="s">
        <v>97</v>
      </c>
      <c r="N23" s="57"/>
      <c r="O23" s="58"/>
      <c r="P23" s="86"/>
      <c r="Q23" s="86"/>
      <c r="R23" s="86"/>
      <c r="S23" s="86"/>
      <c r="T23" s="86"/>
      <c r="U23" s="86"/>
      <c r="V23" s="86"/>
      <c r="W23" s="86"/>
      <c r="X23" s="86"/>
      <c r="Y23" s="345"/>
      <c r="AA23" s="387"/>
      <c r="AB23" s="394"/>
      <c r="AC23" s="395"/>
      <c r="AD23" s="395"/>
      <c r="AE23" s="396"/>
      <c r="AF23" s="396"/>
      <c r="AG23" s="396"/>
    </row>
    <row r="24" spans="1:41" ht="13.5" thickTop="1" x14ac:dyDescent="0.2">
      <c r="A24" s="52">
        <v>18</v>
      </c>
      <c r="B24" s="59">
        <v>8.1720071206052514E-2</v>
      </c>
      <c r="C24" s="60">
        <v>8.4025322699991772E-2</v>
      </c>
      <c r="D24" s="70">
        <v>7.7741966988963768E-2</v>
      </c>
      <c r="E24" s="71">
        <v>1.1909487892020643E-2</v>
      </c>
      <c r="F24" s="60">
        <v>8.7822014051522242E-3</v>
      </c>
      <c r="G24" s="61">
        <v>6.3411540900443885E-3</v>
      </c>
      <c r="I24" s="52">
        <v>18</v>
      </c>
      <c r="J24" s="59">
        <v>1.3867409011238271E-2</v>
      </c>
      <c r="K24" s="60">
        <v>1.4489348370927317E-2</v>
      </c>
      <c r="L24" s="70">
        <v>1.4251117734724292E-2</v>
      </c>
      <c r="M24" s="71">
        <v>4.5205037132709071E-3</v>
      </c>
      <c r="N24" s="60">
        <v>5.6710775047258983E-3</v>
      </c>
      <c r="O24" s="61">
        <v>4.7846889952153108E-3</v>
      </c>
      <c r="P24" s="83"/>
      <c r="Q24" s="83"/>
      <c r="R24" s="83"/>
      <c r="S24" s="83"/>
      <c r="T24" s="83"/>
      <c r="U24" s="83"/>
      <c r="V24" s="83"/>
      <c r="W24" s="83"/>
      <c r="X24" s="83"/>
      <c r="AA24" s="387"/>
      <c r="AB24" s="394"/>
      <c r="AC24" s="395"/>
      <c r="AD24" s="395"/>
      <c r="AE24" s="396"/>
      <c r="AF24" s="396"/>
      <c r="AG24" s="396"/>
    </row>
    <row r="25" spans="1:41" x14ac:dyDescent="0.2">
      <c r="A25" s="53">
        <v>19</v>
      </c>
      <c r="B25" s="62">
        <v>0.6211615487316422</v>
      </c>
      <c r="C25" s="63">
        <v>0.62057058291539913</v>
      </c>
      <c r="D25" s="72">
        <v>0.61763844125402867</v>
      </c>
      <c r="E25" s="73">
        <v>8.932115919015482E-2</v>
      </c>
      <c r="F25" s="63">
        <v>8.0210772833723659E-2</v>
      </c>
      <c r="G25" s="64">
        <v>7.6093849080532655E-2</v>
      </c>
      <c r="I25" s="53">
        <v>19</v>
      </c>
      <c r="J25" s="62">
        <v>0.56851221775440763</v>
      </c>
      <c r="K25" s="63">
        <v>0.57072368421052633</v>
      </c>
      <c r="L25" s="72">
        <v>0.55672503725782418</v>
      </c>
      <c r="M25" s="73">
        <v>0.12140781401356152</v>
      </c>
      <c r="N25" s="63">
        <v>0.11200378071833648</v>
      </c>
      <c r="O25" s="64">
        <v>9.569377990430622E-2</v>
      </c>
      <c r="P25" s="83"/>
      <c r="Q25" s="83"/>
      <c r="R25" s="83"/>
      <c r="S25" s="83"/>
      <c r="T25" s="83"/>
      <c r="U25" s="83"/>
      <c r="V25" s="83"/>
      <c r="W25" s="83"/>
      <c r="X25" s="83"/>
      <c r="AA25" s="387"/>
      <c r="AB25" s="394"/>
      <c r="AC25" s="395"/>
      <c r="AD25" s="395"/>
      <c r="AE25" s="396"/>
      <c r="AF25" s="396"/>
      <c r="AG25" s="396"/>
    </row>
    <row r="26" spans="1:41" x14ac:dyDescent="0.2">
      <c r="A26" s="53">
        <v>20</v>
      </c>
      <c r="B26" s="62">
        <v>0.1696706720071206</v>
      </c>
      <c r="C26" s="63">
        <v>0.16895502754254707</v>
      </c>
      <c r="D26" s="72">
        <v>0.17277077839632776</v>
      </c>
      <c r="E26" s="73">
        <v>8.614529575228265E-2</v>
      </c>
      <c r="F26" s="63">
        <v>7.1428571428571425E-2</v>
      </c>
      <c r="G26" s="64">
        <v>7.0386810399492711E-2</v>
      </c>
      <c r="I26" s="53">
        <v>20</v>
      </c>
      <c r="J26" s="62">
        <v>0.27394576760490774</v>
      </c>
      <c r="K26" s="63">
        <v>0.27232142857142855</v>
      </c>
      <c r="L26" s="72">
        <v>0.27859538002980627</v>
      </c>
      <c r="M26" s="73">
        <v>0.11365837907652566</v>
      </c>
      <c r="N26" s="63">
        <v>0.10444234404536862</v>
      </c>
      <c r="O26" s="64">
        <v>9.7288676236044661E-2</v>
      </c>
      <c r="P26" s="83"/>
      <c r="Q26" s="83"/>
      <c r="R26" s="83"/>
      <c r="S26" s="83"/>
      <c r="T26" s="83"/>
      <c r="U26" s="83"/>
      <c r="V26" s="83"/>
      <c r="W26" s="83"/>
      <c r="X26" s="83"/>
      <c r="AA26" s="387"/>
      <c r="AB26" s="394"/>
      <c r="AC26" s="395"/>
      <c r="AD26" s="395"/>
      <c r="AE26" s="396"/>
      <c r="AF26" s="396"/>
      <c r="AG26" s="396"/>
    </row>
    <row r="27" spans="1:41" x14ac:dyDescent="0.2">
      <c r="A27" s="53">
        <v>21</v>
      </c>
      <c r="B27" s="62">
        <v>5.9078771695594126E-2</v>
      </c>
      <c r="C27" s="63">
        <v>5.9195922058702624E-2</v>
      </c>
      <c r="D27" s="72">
        <v>6.1236448871960156E-2</v>
      </c>
      <c r="E27" s="73">
        <v>9.1306073838824928E-2</v>
      </c>
      <c r="F27" s="63">
        <v>8.8407494145199064E-2</v>
      </c>
      <c r="G27" s="64">
        <v>8.8776157260621436E-2</v>
      </c>
      <c r="I27" s="53">
        <v>21</v>
      </c>
      <c r="J27" s="62">
        <v>7.3254974739663886E-2</v>
      </c>
      <c r="K27" s="63">
        <v>7.0567042606516292E-2</v>
      </c>
      <c r="L27" s="72">
        <v>7.5167660208643822E-2</v>
      </c>
      <c r="M27" s="73">
        <v>8.847271553115918E-2</v>
      </c>
      <c r="N27" s="63">
        <v>9.4045368620037803E-2</v>
      </c>
      <c r="O27" s="64">
        <v>9.4098883572567779E-2</v>
      </c>
      <c r="P27" s="83"/>
      <c r="Q27" s="83"/>
      <c r="R27" s="83"/>
      <c r="S27" s="83"/>
      <c r="T27" s="83"/>
      <c r="U27" s="83"/>
      <c r="V27" s="83"/>
      <c r="W27" s="83"/>
      <c r="X27" s="83"/>
      <c r="AA27" s="387"/>
      <c r="AB27" s="394"/>
      <c r="AC27" s="395"/>
      <c r="AD27" s="395"/>
      <c r="AE27" s="396"/>
      <c r="AF27" s="396"/>
      <c r="AG27" s="396"/>
    </row>
    <row r="28" spans="1:41" x14ac:dyDescent="0.2">
      <c r="A28" s="53">
        <v>22</v>
      </c>
      <c r="B28" s="62">
        <v>3.031820204717401E-2</v>
      </c>
      <c r="C28" s="63">
        <v>3.0502343171914824E-2</v>
      </c>
      <c r="D28" s="72">
        <v>3.2034378357261452E-2</v>
      </c>
      <c r="E28" s="73">
        <v>9.3687971417229066E-2</v>
      </c>
      <c r="F28" s="63">
        <v>9.1920374707259958E-2</v>
      </c>
      <c r="G28" s="64">
        <v>9.0044388078630314E-2</v>
      </c>
      <c r="I28" s="53">
        <v>22</v>
      </c>
      <c r="J28" s="62">
        <v>2.9332920919682443E-2</v>
      </c>
      <c r="K28" s="63">
        <v>2.9605263157894735E-2</v>
      </c>
      <c r="L28" s="72">
        <v>3.0737704918032786E-2</v>
      </c>
      <c r="M28" s="73">
        <v>7.6525670003228935E-2</v>
      </c>
      <c r="N28" s="63">
        <v>7.4669187145557661E-2</v>
      </c>
      <c r="O28" s="64">
        <v>7.7618288144603934E-2</v>
      </c>
      <c r="P28" s="83"/>
      <c r="Q28" s="83"/>
      <c r="R28" s="83"/>
      <c r="S28" s="83"/>
      <c r="T28" s="83"/>
      <c r="U28" s="83"/>
      <c r="V28" s="83"/>
      <c r="W28" s="83"/>
      <c r="X28" s="83"/>
      <c r="AA28" s="387"/>
      <c r="AB28" s="394"/>
      <c r="AC28" s="395"/>
      <c r="AD28" s="395"/>
      <c r="AE28" s="396"/>
      <c r="AF28" s="396"/>
      <c r="AG28" s="396"/>
    </row>
    <row r="29" spans="1:41" x14ac:dyDescent="0.2">
      <c r="A29" s="53">
        <v>23</v>
      </c>
      <c r="B29" s="62">
        <v>1.5965732087227413E-2</v>
      </c>
      <c r="C29" s="63">
        <v>1.488119707309052E-2</v>
      </c>
      <c r="D29" s="72">
        <v>1.6114854966305305E-2</v>
      </c>
      <c r="E29" s="73">
        <v>8.3366415244144496E-2</v>
      </c>
      <c r="F29" s="63">
        <v>8.1967213114754092E-2</v>
      </c>
      <c r="G29" s="64">
        <v>7.6727964489537101E-2</v>
      </c>
      <c r="I29" s="53">
        <v>23</v>
      </c>
      <c r="J29" s="62">
        <v>1.7836890401072277E-2</v>
      </c>
      <c r="K29" s="63">
        <v>1.9110275689223057E-2</v>
      </c>
      <c r="L29" s="72">
        <v>2.0119225037257823E-2</v>
      </c>
      <c r="M29" s="73">
        <v>7.3942525024216985E-2</v>
      </c>
      <c r="N29" s="63">
        <v>7.4196597353497165E-2</v>
      </c>
      <c r="O29" s="64">
        <v>7.6555023923444973E-2</v>
      </c>
      <c r="P29" s="83"/>
      <c r="Q29" s="83"/>
      <c r="R29" s="83"/>
      <c r="S29" s="83"/>
      <c r="T29" s="83"/>
      <c r="U29" s="83"/>
      <c r="V29" s="83"/>
      <c r="W29" s="83"/>
      <c r="X29" s="83"/>
      <c r="AA29" s="387"/>
      <c r="AB29" s="394"/>
      <c r="AC29" s="395"/>
      <c r="AD29" s="395"/>
      <c r="AE29" s="396"/>
      <c r="AF29" s="396"/>
      <c r="AG29" s="396"/>
    </row>
    <row r="30" spans="1:41" x14ac:dyDescent="0.2">
      <c r="A30" s="53">
        <v>24</v>
      </c>
      <c r="B30" s="62">
        <v>9.0676457498887406E-3</v>
      </c>
      <c r="C30" s="63">
        <v>7.8105730494121518E-3</v>
      </c>
      <c r="D30" s="72">
        <v>7.7155972262916298E-3</v>
      </c>
      <c r="E30" s="73">
        <v>7.4235807860262015E-2</v>
      </c>
      <c r="F30" s="63">
        <v>7.3770491803278687E-2</v>
      </c>
      <c r="G30" s="64">
        <v>7.5459733671528223E-2</v>
      </c>
      <c r="I30" s="53">
        <v>24</v>
      </c>
      <c r="J30" s="62">
        <v>8.4544798432828125E-3</v>
      </c>
      <c r="K30" s="63">
        <v>8.615288220551378E-3</v>
      </c>
      <c r="L30" s="72">
        <v>9.2213114754098359E-3</v>
      </c>
      <c r="M30" s="73">
        <v>6.1672586373910238E-2</v>
      </c>
      <c r="N30" s="63">
        <v>6.5217391304347824E-2</v>
      </c>
      <c r="O30" s="64">
        <v>6.6985645933014357E-2</v>
      </c>
      <c r="P30" s="83"/>
      <c r="Q30" s="83"/>
      <c r="R30" s="83"/>
      <c r="S30" s="83"/>
      <c r="T30" s="83"/>
      <c r="U30" s="83"/>
      <c r="V30" s="83"/>
      <c r="W30" s="83"/>
      <c r="X30" s="83"/>
      <c r="AA30" s="387"/>
      <c r="AB30" s="394"/>
      <c r="AC30" s="395"/>
      <c r="AD30" s="395"/>
      <c r="AE30" s="396"/>
      <c r="AF30" s="396"/>
      <c r="AG30" s="396"/>
    </row>
    <row r="31" spans="1:41" x14ac:dyDescent="0.2">
      <c r="A31" s="53">
        <v>25</v>
      </c>
      <c r="B31" s="62">
        <v>4.7841566533155322E-3</v>
      </c>
      <c r="C31" s="63">
        <v>4.5219107128175616E-3</v>
      </c>
      <c r="D31" s="72">
        <v>4.8832893837288801E-3</v>
      </c>
      <c r="E31" s="73">
        <v>6.0738388249305282E-2</v>
      </c>
      <c r="F31" s="63">
        <v>6.2646370023419204E-2</v>
      </c>
      <c r="G31" s="64">
        <v>6.4045656309448321E-2</v>
      </c>
      <c r="I31" s="53">
        <v>25</v>
      </c>
      <c r="J31" s="62">
        <v>4.8974121043406536E-3</v>
      </c>
      <c r="K31" s="63">
        <v>4.2293233082706765E-3</v>
      </c>
      <c r="L31" s="72">
        <v>4.1915052160953802E-3</v>
      </c>
      <c r="M31" s="73">
        <v>6.3287051985792708E-2</v>
      </c>
      <c r="N31" s="63">
        <v>6.3327032136105854E-2</v>
      </c>
      <c r="O31" s="64">
        <v>6.2732589048378529E-2</v>
      </c>
      <c r="P31" s="83"/>
      <c r="Q31" s="83"/>
      <c r="R31" s="83"/>
      <c r="S31" s="83"/>
      <c r="T31" s="83"/>
      <c r="U31" s="83"/>
      <c r="V31" s="83"/>
      <c r="W31" s="83"/>
      <c r="X31" s="83"/>
      <c r="AA31" s="387"/>
      <c r="AB31" s="394"/>
      <c r="AC31" s="395"/>
      <c r="AD31" s="395"/>
      <c r="AE31" s="396"/>
      <c r="AF31" s="396"/>
      <c r="AG31" s="396"/>
    </row>
    <row r="32" spans="1:41" x14ac:dyDescent="0.2">
      <c r="A32" s="53">
        <v>26</v>
      </c>
      <c r="B32" s="62">
        <v>2.2251891410769915E-3</v>
      </c>
      <c r="C32" s="63">
        <v>2.5487133108608073E-3</v>
      </c>
      <c r="D32" s="72">
        <v>2.7346420548881728E-3</v>
      </c>
      <c r="E32" s="73">
        <v>4.4859071059944425E-2</v>
      </c>
      <c r="F32" s="63">
        <v>4.6838407494145202E-2</v>
      </c>
      <c r="G32" s="64">
        <v>4.5656309448319596E-2</v>
      </c>
      <c r="I32" s="53">
        <v>26</v>
      </c>
      <c r="J32" s="62">
        <v>2.5260336117125478E-3</v>
      </c>
      <c r="K32" s="63">
        <v>2.0363408521303257E-3</v>
      </c>
      <c r="L32" s="72">
        <v>2.1423248882265276E-3</v>
      </c>
      <c r="M32" s="73">
        <v>4.6173716499838556E-2</v>
      </c>
      <c r="N32" s="63">
        <v>4.3478260869565216E-2</v>
      </c>
      <c r="O32" s="64">
        <v>4.6251993620414676E-2</v>
      </c>
      <c r="P32" s="83"/>
      <c r="Q32" s="83"/>
      <c r="R32" s="83"/>
      <c r="S32" s="83"/>
      <c r="T32" s="83"/>
      <c r="U32" s="83"/>
      <c r="V32" s="83"/>
      <c r="W32" s="83"/>
      <c r="X32" s="83"/>
      <c r="AA32" s="387"/>
      <c r="AB32" s="394"/>
      <c r="AC32" s="395"/>
      <c r="AD32" s="395"/>
      <c r="AE32" s="396"/>
      <c r="AF32" s="396"/>
      <c r="AG32" s="396"/>
    </row>
    <row r="33" spans="1:33" x14ac:dyDescent="0.2">
      <c r="A33" s="53">
        <v>27</v>
      </c>
      <c r="B33" s="62">
        <v>1.3351134846461949E-3</v>
      </c>
      <c r="C33" s="63">
        <v>1.4798980514675656E-3</v>
      </c>
      <c r="D33" s="72">
        <v>1.5626526027932416E-3</v>
      </c>
      <c r="E33" s="73">
        <v>4.6050019849146487E-2</v>
      </c>
      <c r="F33" s="63">
        <v>4.6252927400468387E-2</v>
      </c>
      <c r="G33" s="64">
        <v>4.6290424857324035E-2</v>
      </c>
      <c r="I33" s="53">
        <v>27</v>
      </c>
      <c r="J33" s="62">
        <v>1.2887926590370142E-3</v>
      </c>
      <c r="K33" s="63">
        <v>1.2531328320802004E-3</v>
      </c>
      <c r="L33" s="72">
        <v>1.3971684053651267E-3</v>
      </c>
      <c r="M33" s="73">
        <v>4.1976105908944142E-2</v>
      </c>
      <c r="N33" s="63">
        <v>4.4423440453686201E-2</v>
      </c>
      <c r="O33" s="64">
        <v>4.5720361509835196E-2</v>
      </c>
      <c r="P33" s="83"/>
      <c r="Q33" s="83"/>
      <c r="R33" s="83"/>
      <c r="S33" s="83"/>
      <c r="T33" s="83"/>
      <c r="U33" s="83"/>
      <c r="V33" s="83"/>
      <c r="W33" s="83"/>
      <c r="X33" s="83"/>
      <c r="AA33" s="387"/>
      <c r="AB33" s="396"/>
      <c r="AC33" s="396"/>
      <c r="AD33" s="396"/>
      <c r="AE33" s="396"/>
      <c r="AF33" s="396"/>
      <c r="AG33" s="396"/>
    </row>
    <row r="34" spans="1:33" x14ac:dyDescent="0.2">
      <c r="A34" s="53">
        <v>28</v>
      </c>
      <c r="B34" s="62">
        <v>8.3444592790387186E-4</v>
      </c>
      <c r="C34" s="63">
        <v>1.0688152593932418E-3</v>
      </c>
      <c r="D34" s="72">
        <v>9.0549884754692134E-4</v>
      </c>
      <c r="E34" s="73">
        <v>3.2949583167923777E-2</v>
      </c>
      <c r="F34" s="63">
        <v>3.5714285714285712E-2</v>
      </c>
      <c r="G34" s="64">
        <v>3.8046924540266328E-2</v>
      </c>
      <c r="I34" s="53">
        <v>28</v>
      </c>
      <c r="J34" s="62">
        <v>1.1341375399525724E-3</v>
      </c>
      <c r="K34" s="63">
        <v>1.331453634085213E-3</v>
      </c>
      <c r="L34" s="72">
        <v>1.3971684053651267E-3</v>
      </c>
      <c r="M34" s="73">
        <v>3.6486922828543752E-2</v>
      </c>
      <c r="N34" s="63">
        <v>3.7334593572778831E-2</v>
      </c>
      <c r="O34" s="64">
        <v>4.0935672514619881E-2</v>
      </c>
      <c r="P34" s="83"/>
      <c r="Q34" s="83"/>
      <c r="R34" s="83"/>
      <c r="S34" s="83"/>
      <c r="T34" s="83"/>
      <c r="U34" s="83"/>
      <c r="V34" s="83"/>
      <c r="W34" s="83"/>
      <c r="X34" s="83"/>
      <c r="AA34" s="387"/>
      <c r="AB34" s="396"/>
      <c r="AC34" s="396"/>
      <c r="AD34" s="396"/>
      <c r="AE34" s="396"/>
      <c r="AF34" s="396"/>
      <c r="AG34" s="396"/>
    </row>
    <row r="35" spans="1:33" x14ac:dyDescent="0.2">
      <c r="A35" s="53">
        <v>29</v>
      </c>
      <c r="B35" s="62">
        <v>5.0066755674232314E-4</v>
      </c>
      <c r="C35" s="63">
        <v>6.57732467318918E-4</v>
      </c>
      <c r="D35" s="72">
        <v>5.8599472604746558E-4</v>
      </c>
      <c r="E35" s="73">
        <v>3.652242953552997E-2</v>
      </c>
      <c r="F35" s="63">
        <v>4.2154566744730677E-2</v>
      </c>
      <c r="G35" s="64">
        <v>4.311984781230184E-2</v>
      </c>
      <c r="I35" s="53">
        <v>29</v>
      </c>
      <c r="J35" s="62">
        <v>8.2482730178368906E-4</v>
      </c>
      <c r="K35" s="63">
        <v>9.3984962406015032E-4</v>
      </c>
      <c r="L35" s="72">
        <v>8.3830104321907606E-4</v>
      </c>
      <c r="M35" s="73">
        <v>3.1643525992896354E-2</v>
      </c>
      <c r="N35" s="63">
        <v>3.2608695652173912E-2</v>
      </c>
      <c r="O35" s="64">
        <v>3.4556087187666132E-2</v>
      </c>
      <c r="P35" s="83"/>
      <c r="Q35" s="83"/>
      <c r="R35" s="83"/>
      <c r="S35" s="83"/>
      <c r="T35" s="83"/>
      <c r="U35" s="83"/>
      <c r="V35" s="83"/>
      <c r="W35" s="83"/>
      <c r="X35" s="83"/>
      <c r="AB35" s="397"/>
      <c r="AC35" s="397"/>
      <c r="AD35" s="397"/>
      <c r="AE35" s="397"/>
      <c r="AF35" s="397"/>
      <c r="AG35" s="397"/>
    </row>
    <row r="36" spans="1:33" x14ac:dyDescent="0.2">
      <c r="A36" s="54" t="s">
        <v>25</v>
      </c>
      <c r="B36" s="65">
        <v>3.3377837116154874E-3</v>
      </c>
      <c r="C36" s="66">
        <v>3.7819616870837787E-3</v>
      </c>
      <c r="D36" s="74">
        <v>3.9066315069831038E-3</v>
      </c>
      <c r="E36" s="75">
        <v>0.24890829694323144</v>
      </c>
      <c r="F36" s="66">
        <v>0.26990632318501173</v>
      </c>
      <c r="G36" s="67">
        <v>0.30437539632213062</v>
      </c>
      <c r="I36" s="54" t="s">
        <v>25</v>
      </c>
      <c r="J36" s="65">
        <v>4.1241365089184452E-3</v>
      </c>
      <c r="K36" s="66">
        <v>4.7775689223057641E-3</v>
      </c>
      <c r="L36" s="74">
        <v>5.2160953800298067E-3</v>
      </c>
      <c r="M36" s="75">
        <v>0.24023248304811107</v>
      </c>
      <c r="N36" s="66">
        <v>0.24858223062381851</v>
      </c>
      <c r="O36" s="67">
        <v>0.25677830940988838</v>
      </c>
      <c r="P36" s="83"/>
      <c r="Q36" s="83"/>
      <c r="R36" s="83"/>
      <c r="S36" s="83"/>
      <c r="T36" s="83"/>
      <c r="U36" s="83"/>
      <c r="V36" s="83"/>
      <c r="W36" s="83"/>
      <c r="X36" s="83"/>
    </row>
    <row r="37" spans="1:33" ht="17.25" customHeight="1" thickBot="1" x14ac:dyDescent="0.25">
      <c r="A37" s="29" t="s">
        <v>26</v>
      </c>
      <c r="B37" s="228">
        <v>20.097999999999999</v>
      </c>
      <c r="C37" s="229">
        <v>19.8</v>
      </c>
      <c r="D37" s="230">
        <v>19.559999999999999</v>
      </c>
      <c r="E37" s="231">
        <v>25.93</v>
      </c>
      <c r="F37" s="229">
        <v>26.35</v>
      </c>
      <c r="G37" s="232">
        <v>27.4</v>
      </c>
      <c r="I37" s="29" t="s">
        <v>26</v>
      </c>
      <c r="J37" s="228">
        <v>19.540004124136502</v>
      </c>
      <c r="K37" s="229">
        <v>19.73</v>
      </c>
      <c r="L37" s="230">
        <v>19.763133383010434</v>
      </c>
      <c r="M37" s="231">
        <v>24.445915402001937</v>
      </c>
      <c r="N37" s="229">
        <v>24.569943289224952</v>
      </c>
      <c r="O37" s="232">
        <v>24.759170653907496</v>
      </c>
      <c r="P37" s="84"/>
      <c r="Q37" s="84"/>
      <c r="R37" s="84"/>
      <c r="S37" s="84"/>
      <c r="T37" s="84"/>
      <c r="U37" s="84"/>
      <c r="V37" s="84"/>
      <c r="W37" s="84"/>
      <c r="X37" s="84"/>
      <c r="AA37" s="392"/>
      <c r="AB37" s="393"/>
      <c r="AC37" s="393"/>
      <c r="AD37" s="393"/>
      <c r="AE37" s="393"/>
      <c r="AF37" s="393"/>
      <c r="AG37" s="393"/>
    </row>
    <row r="38" spans="1:33" ht="20.100000000000001" customHeight="1" thickTop="1" x14ac:dyDescent="0.2">
      <c r="P38" s="16"/>
      <c r="AA38" s="386"/>
      <c r="AB38" s="387"/>
      <c r="AC38" s="387"/>
      <c r="AD38" s="387"/>
      <c r="AE38" s="387"/>
      <c r="AF38" s="387"/>
      <c r="AG38" s="387"/>
    </row>
    <row r="39" spans="1:33" ht="13.5" thickBot="1" x14ac:dyDescent="0.25">
      <c r="A39" s="26" t="s">
        <v>53</v>
      </c>
      <c r="B39" s="26"/>
      <c r="C39" s="26"/>
      <c r="D39" s="26"/>
      <c r="E39" s="26"/>
      <c r="F39" s="26"/>
      <c r="G39" s="26"/>
      <c r="I39" s="26" t="s">
        <v>54</v>
      </c>
      <c r="J39" s="26"/>
      <c r="K39" s="26"/>
      <c r="L39" s="26"/>
      <c r="M39" s="26"/>
      <c r="N39" s="26"/>
      <c r="O39" s="26"/>
      <c r="P39" s="16"/>
      <c r="AA39" s="387"/>
      <c r="AB39" s="394"/>
      <c r="AC39" s="395"/>
      <c r="AD39" s="395"/>
      <c r="AE39" s="396"/>
      <c r="AF39" s="396"/>
      <c r="AG39" s="396"/>
    </row>
    <row r="40" spans="1:33" ht="45" customHeight="1" thickTop="1" x14ac:dyDescent="0.2">
      <c r="A40" s="27" t="s">
        <v>56</v>
      </c>
      <c r="B40" s="442" t="s">
        <v>103</v>
      </c>
      <c r="C40" s="443" t="s">
        <v>104</v>
      </c>
      <c r="D40" s="444" t="s">
        <v>105</v>
      </c>
      <c r="E40" s="445" t="s">
        <v>103</v>
      </c>
      <c r="F40" s="443" t="s">
        <v>104</v>
      </c>
      <c r="G40" s="446" t="s">
        <v>105</v>
      </c>
      <c r="I40" s="27" t="s">
        <v>55</v>
      </c>
      <c r="J40" s="76" t="s">
        <v>38</v>
      </c>
      <c r="K40" s="77" t="s">
        <v>104</v>
      </c>
      <c r="L40" s="78" t="s">
        <v>39</v>
      </c>
      <c r="M40" s="79" t="s">
        <v>38</v>
      </c>
      <c r="N40" s="77" t="s">
        <v>34</v>
      </c>
      <c r="O40" s="80" t="s">
        <v>39</v>
      </c>
      <c r="P40" s="16"/>
      <c r="AA40" s="387"/>
      <c r="AB40" s="394"/>
      <c r="AC40" s="395"/>
      <c r="AD40" s="395"/>
      <c r="AE40" s="396"/>
      <c r="AF40" s="396"/>
      <c r="AG40" s="396"/>
    </row>
    <row r="41" spans="1:33" ht="13.5" thickBot="1" x14ac:dyDescent="0.25">
      <c r="A41" s="28"/>
      <c r="B41" s="56" t="s">
        <v>90</v>
      </c>
      <c r="C41" s="57"/>
      <c r="D41" s="68"/>
      <c r="E41" s="69" t="s">
        <v>97</v>
      </c>
      <c r="F41" s="57"/>
      <c r="G41" s="58"/>
      <c r="I41" s="28"/>
      <c r="J41" s="56" t="s">
        <v>90</v>
      </c>
      <c r="K41" s="57"/>
      <c r="L41" s="68"/>
      <c r="M41" s="69" t="s">
        <v>97</v>
      </c>
      <c r="N41" s="57"/>
      <c r="O41" s="58"/>
      <c r="P41" s="16"/>
      <c r="AA41" s="387"/>
      <c r="AB41" s="394"/>
      <c r="AC41" s="395"/>
      <c r="AD41" s="395"/>
      <c r="AE41" s="396"/>
      <c r="AF41" s="396"/>
      <c r="AG41" s="396"/>
    </row>
    <row r="42" spans="1:33" ht="13.5" thickTop="1" x14ac:dyDescent="0.2">
      <c r="A42" s="52">
        <v>18</v>
      </c>
      <c r="B42" s="59">
        <v>1.78387005914938E-3</v>
      </c>
      <c r="C42" s="60">
        <f>20.2778820878708%/100</f>
        <v>2.0277882087870801E-3</v>
      </c>
      <c r="D42" s="70">
        <f>17.5685172171469%/100</f>
        <v>1.75685172171469E-3</v>
      </c>
      <c r="E42" s="71">
        <v>0</v>
      </c>
      <c r="F42" s="60">
        <v>0</v>
      </c>
      <c r="G42" s="61">
        <v>0</v>
      </c>
      <c r="I42" s="52">
        <v>18</v>
      </c>
      <c r="J42" s="59">
        <v>2.9276915428382037E-3</v>
      </c>
      <c r="K42" s="60">
        <v>3.0685305148312309E-3</v>
      </c>
      <c r="L42" s="70">
        <v>2.6156941649899397E-3</v>
      </c>
      <c r="M42" s="71">
        <v>7.6132470498667686E-4</v>
      </c>
      <c r="N42" s="60">
        <v>1.2091898428053204E-3</v>
      </c>
      <c r="O42" s="61">
        <v>1.4619883040935672E-3</v>
      </c>
      <c r="P42" s="16"/>
      <c r="AA42" s="387"/>
      <c r="AB42" s="394"/>
      <c r="AC42" s="395"/>
      <c r="AD42" s="395"/>
      <c r="AE42" s="396"/>
      <c r="AF42" s="396"/>
      <c r="AG42" s="396"/>
    </row>
    <row r="43" spans="1:33" x14ac:dyDescent="0.2">
      <c r="A43" s="53">
        <v>19</v>
      </c>
      <c r="B43" s="62">
        <v>0.4984977936344</v>
      </c>
      <c r="C43" s="63">
        <f>4961.32181749906%/100</f>
        <v>0.49613218174990598</v>
      </c>
      <c r="D43" s="72">
        <f>48.0323260716795/100</f>
        <v>0.48032326071679499</v>
      </c>
      <c r="E43" s="347">
        <f>852.045524454014%/100</f>
        <v>8.5204552445401399E-2</v>
      </c>
      <c r="F43" s="63">
        <f>850.58505850585%/100</f>
        <v>8.5058505850584998E-2</v>
      </c>
      <c r="G43" s="64">
        <f>703.883495145631%/100</f>
        <v>7.0388349514563103E-2</v>
      </c>
      <c r="I43" s="53">
        <v>19</v>
      </c>
      <c r="J43" s="62">
        <v>0.53554659448710162</v>
      </c>
      <c r="K43" s="63">
        <v>0.52753153767473582</v>
      </c>
      <c r="L43" s="72">
        <v>0.51156941649899401</v>
      </c>
      <c r="M43" s="347">
        <v>8.6791016368481161E-2</v>
      </c>
      <c r="N43" s="63">
        <v>8.8875453446191049E-2</v>
      </c>
      <c r="O43" s="64">
        <v>8.6988304093567254E-2</v>
      </c>
      <c r="AA43" s="387"/>
      <c r="AB43" s="394"/>
      <c r="AC43" s="395"/>
      <c r="AD43" s="395"/>
      <c r="AE43" s="396"/>
      <c r="AF43" s="396"/>
      <c r="AG43" s="396"/>
    </row>
    <row r="44" spans="1:33" x14ac:dyDescent="0.2">
      <c r="A44" s="53">
        <v>20</v>
      </c>
      <c r="B44" s="62">
        <v>0.28889306168434897</v>
      </c>
      <c r="C44" s="63">
        <f>2844.16072099136%/100</f>
        <v>0.284416072099136</v>
      </c>
      <c r="D44" s="72">
        <f>28.9704848910752/100</f>
        <v>0.28970484891075199</v>
      </c>
      <c r="E44" s="347">
        <f>888.957243924946%/100</f>
        <v>8.8895724392494616E-2</v>
      </c>
      <c r="F44" s="63">
        <f>976.597659765977%/100</f>
        <v>9.7659765976597701E-2</v>
      </c>
      <c r="G44" s="64">
        <f>854.368932038835%/100</f>
        <v>8.5436893203883507E-2</v>
      </c>
      <c r="I44" s="53">
        <v>20</v>
      </c>
      <c r="J44" s="62">
        <v>0.2728277081146771</v>
      </c>
      <c r="K44" s="63">
        <v>0.27523013978861233</v>
      </c>
      <c r="L44" s="72">
        <v>0.28239436619718311</v>
      </c>
      <c r="M44" s="347">
        <v>0.10125618576322802</v>
      </c>
      <c r="N44" s="63">
        <v>9.4316807738814998E-2</v>
      </c>
      <c r="O44" s="64">
        <v>8.2602339181286552E-2</v>
      </c>
      <c r="AA44" s="387"/>
      <c r="AB44" s="394"/>
      <c r="AC44" s="395"/>
      <c r="AD44" s="395"/>
      <c r="AE44" s="396"/>
      <c r="AF44" s="396"/>
      <c r="AG44" s="396"/>
    </row>
    <row r="45" spans="1:33" x14ac:dyDescent="0.2">
      <c r="A45" s="53">
        <v>21</v>
      </c>
      <c r="B45" s="62">
        <v>0.11989484555440801</v>
      </c>
      <c r="C45" s="63">
        <f>1236.1997746902%/100</f>
        <v>0.12361997746902001</v>
      </c>
      <c r="D45" s="72">
        <f>1291.2860154603%/100</f>
        <v>0.12912860154602998</v>
      </c>
      <c r="E45" s="347">
        <f>932.020916641033%/100</f>
        <v>9.3202091664103287E-2</v>
      </c>
      <c r="F45" s="63">
        <f>792.079207920792%/100</f>
        <v>7.9207920792079195E-2</v>
      </c>
      <c r="G45" s="64">
        <f>917.47572815534%/100</f>
        <v>9.1747572815534001E-2</v>
      </c>
      <c r="I45" s="53">
        <v>21</v>
      </c>
      <c r="J45" s="62">
        <v>9.5895707893719276E-2</v>
      </c>
      <c r="K45" s="63">
        <v>9.7596317763382207E-2</v>
      </c>
      <c r="L45" s="72">
        <v>0.10181086519114688</v>
      </c>
      <c r="M45" s="347">
        <v>8.7933003425961179E-2</v>
      </c>
      <c r="N45" s="63">
        <v>8.222490931076179E-2</v>
      </c>
      <c r="O45" s="64">
        <v>8.3333333333333329E-2</v>
      </c>
      <c r="AA45" s="387"/>
      <c r="AB45" s="394"/>
      <c r="AC45" s="395"/>
      <c r="AD45" s="395"/>
      <c r="AE45" s="396"/>
      <c r="AF45" s="396"/>
      <c r="AG45" s="396"/>
    </row>
    <row r="46" spans="1:33" x14ac:dyDescent="0.2">
      <c r="A46" s="53">
        <v>22</v>
      </c>
      <c r="B46" s="62">
        <v>4.1545394798610503E-2</v>
      </c>
      <c r="C46" s="63">
        <f>437.101013894104%/100</f>
        <v>4.3710101389410401E-2</v>
      </c>
      <c r="D46" s="72">
        <f>463.808854532677%/100</f>
        <v>4.6380885453267705E-2</v>
      </c>
      <c r="E46" s="347">
        <f>833.589664718548%/100</f>
        <v>8.3358966471854798E-2</v>
      </c>
      <c r="F46" s="63">
        <f>702.070207020702%/100</f>
        <v>7.0207020702070203E-2</v>
      </c>
      <c r="G46" s="64">
        <f>800.970873786408%/100</f>
        <v>8.0097087378640811E-2</v>
      </c>
      <c r="I46" s="53">
        <v>22</v>
      </c>
      <c r="J46" s="62">
        <v>4.4412528310224825E-2</v>
      </c>
      <c r="K46" s="63">
        <v>4.7903170814865323E-2</v>
      </c>
      <c r="L46" s="72">
        <v>0.05</v>
      </c>
      <c r="M46" s="347">
        <v>7.879710696612105E-2</v>
      </c>
      <c r="N46" s="63">
        <v>7.2551390568319232E-2</v>
      </c>
      <c r="O46" s="64">
        <v>6.725146198830409E-2</v>
      </c>
      <c r="AA46" s="387"/>
      <c r="AB46" s="394"/>
      <c r="AC46" s="395"/>
      <c r="AD46" s="395"/>
      <c r="AE46" s="396"/>
      <c r="AF46" s="396"/>
      <c r="AG46" s="396"/>
    </row>
    <row r="47" spans="1:33" x14ac:dyDescent="0.2">
      <c r="A47" s="53">
        <v>23</v>
      </c>
      <c r="B47" s="62">
        <v>2.0937001220542699E-2</v>
      </c>
      <c r="C47" s="63">
        <f>215.546376267368%/100</f>
        <v>2.1554637626736799E-2</v>
      </c>
      <c r="D47" s="72">
        <f>231.026001405481%/100</f>
        <v>2.3102600140548102E-2</v>
      </c>
      <c r="E47" s="347">
        <f>732.082436173485%/100</f>
        <v>7.3208243617348498E-2</v>
      </c>
      <c r="F47" s="63">
        <f>603.060306030603%/100</f>
        <v>6.03060306030603E-2</v>
      </c>
      <c r="G47" s="64">
        <f>718.446601941748%/100</f>
        <v>7.1844660194174792E-2</v>
      </c>
      <c r="I47" s="53">
        <v>23</v>
      </c>
      <c r="J47" s="62">
        <v>1.9830967242998397E-2</v>
      </c>
      <c r="K47" s="63">
        <v>1.986021138765769E-2</v>
      </c>
      <c r="L47" s="72">
        <v>2.1730382293762576E-2</v>
      </c>
      <c r="M47" s="347">
        <v>7.0803197563760939E-2</v>
      </c>
      <c r="N47" s="63">
        <v>6.7110036275695284E-2</v>
      </c>
      <c r="O47" s="64">
        <v>6.8713450292397657E-2</v>
      </c>
      <c r="AA47" s="387"/>
      <c r="AB47" s="394"/>
      <c r="AC47" s="395"/>
      <c r="AD47" s="395"/>
      <c r="AE47" s="396"/>
      <c r="AF47" s="396"/>
      <c r="AG47" s="396"/>
    </row>
    <row r="48" spans="1:33" x14ac:dyDescent="0.2">
      <c r="A48" s="53">
        <v>24</v>
      </c>
      <c r="B48" s="62">
        <v>1.2440146465120601E-2</v>
      </c>
      <c r="C48" s="63">
        <f>126.173488546752%/100</f>
        <v>1.2617348854675199E-2</v>
      </c>
      <c r="D48" s="72">
        <f>131.763879128602%/100</f>
        <v>1.3176387912860202E-2</v>
      </c>
      <c r="E48" s="347">
        <f>658.258997231621%/100</f>
        <v>6.5825899723162107E-2</v>
      </c>
      <c r="F48" s="63">
        <f>594.059405940594%/100</f>
        <v>5.9405940594059403E-2</v>
      </c>
      <c r="G48" s="64">
        <f>601.941747572816%/100</f>
        <v>6.0194174757281595E-2</v>
      </c>
      <c r="I48" s="53">
        <v>24</v>
      </c>
      <c r="J48" s="62">
        <v>9.9983428161078275E-3</v>
      </c>
      <c r="K48" s="63">
        <v>9.631776338220252E-3</v>
      </c>
      <c r="L48" s="72">
        <v>1.0060362173038229E-2</v>
      </c>
      <c r="M48" s="347">
        <v>6.0525314046440806E-2</v>
      </c>
      <c r="N48" s="63">
        <v>6.3482466747279323E-2</v>
      </c>
      <c r="O48" s="64">
        <v>6.4327485380116955E-2</v>
      </c>
      <c r="AA48" s="387"/>
      <c r="AB48" s="394"/>
      <c r="AC48" s="395"/>
      <c r="AD48" s="395"/>
      <c r="AE48" s="396"/>
      <c r="AF48" s="396"/>
      <c r="AG48" s="396"/>
    </row>
    <row r="49" spans="1:35" x14ac:dyDescent="0.2">
      <c r="A49" s="53">
        <v>25</v>
      </c>
      <c r="B49" s="62">
        <v>5.1638343817481903E-3</v>
      </c>
      <c r="C49" s="63">
        <f>52.5722868944799%/100</f>
        <v>5.2572286894479901E-3</v>
      </c>
      <c r="D49" s="72">
        <f>57.0976809557273%/100</f>
        <v>5.7097680955727308E-3</v>
      </c>
      <c r="E49" s="347">
        <f>618.271301138111%/100</f>
        <v>6.18271301138111E-2</v>
      </c>
      <c r="F49" s="63">
        <f>594.059405940594%/100</f>
        <v>5.9405940594059403E-2</v>
      </c>
      <c r="G49" s="64">
        <f>601.941747572816%/100</f>
        <v>6.0194174757281595E-2</v>
      </c>
      <c r="I49" s="53">
        <v>25</v>
      </c>
      <c r="J49" s="62">
        <v>5.8553830856764074E-3</v>
      </c>
      <c r="K49" s="63">
        <v>5.710876235935902E-3</v>
      </c>
      <c r="L49" s="72">
        <v>5.9356136820925554E-3</v>
      </c>
      <c r="M49" s="347">
        <v>6.1286638751427487E-2</v>
      </c>
      <c r="N49" s="63">
        <v>5.5622732769044739E-2</v>
      </c>
      <c r="O49" s="64">
        <v>5.921052631578947E-2</v>
      </c>
      <c r="AA49" s="387"/>
      <c r="AB49" s="394"/>
      <c r="AC49" s="395"/>
      <c r="AD49" s="395"/>
      <c r="AE49" s="396"/>
      <c r="AF49" s="396"/>
      <c r="AG49" s="396"/>
    </row>
    <row r="50" spans="1:35" x14ac:dyDescent="0.2">
      <c r="A50" s="53">
        <v>26</v>
      </c>
      <c r="B50" s="62">
        <v>2.7696929865740297E-3</v>
      </c>
      <c r="C50" s="63">
        <f>23.2820127675554%/100</f>
        <v>2.3282012767555402E-3</v>
      </c>
      <c r="D50" s="72">
        <f>21.0822206605762%/100</f>
        <v>2.1082220660576202E-3</v>
      </c>
      <c r="E50" s="347">
        <f>596.739464780068%/100</f>
        <v>5.9673946478006806E-2</v>
      </c>
      <c r="F50" s="63">
        <f>436.543654365437%/100</f>
        <v>4.3654365436543704E-2</v>
      </c>
      <c r="G50" s="64">
        <f>597.087378640777%/100</f>
        <v>5.9708737864077703E-2</v>
      </c>
      <c r="I50" s="53">
        <v>26</v>
      </c>
      <c r="J50" s="62">
        <v>1.9333812075346627E-3</v>
      </c>
      <c r="K50" s="63">
        <v>1.6195022161609274E-3</v>
      </c>
      <c r="L50" s="72">
        <v>1.710261569416499E-3</v>
      </c>
      <c r="M50" s="347">
        <v>5.5957365816520749E-2</v>
      </c>
      <c r="N50" s="63">
        <v>5.8645707376058044E-2</v>
      </c>
      <c r="O50" s="64">
        <v>6.2134502923976605E-2</v>
      </c>
      <c r="AA50" s="387"/>
      <c r="AB50" s="394"/>
      <c r="AC50" s="395"/>
      <c r="AD50" s="395"/>
      <c r="AE50" s="396"/>
      <c r="AF50" s="396"/>
      <c r="AG50" s="396"/>
    </row>
    <row r="51" spans="1:35" x14ac:dyDescent="0.2">
      <c r="A51" s="53">
        <v>27</v>
      </c>
      <c r="B51" s="62">
        <v>1.78387005914938E-3</v>
      </c>
      <c r="C51" s="63">
        <f>15.771686068344%/100</f>
        <v>1.5771686068343999E-3</v>
      </c>
      <c r="D51" s="72">
        <f>14.0548137737175%/100</f>
        <v>1.40548137737175E-3</v>
      </c>
      <c r="E51" s="347">
        <f>439.864657028607%/100</f>
        <v>4.3986465702860703E-2</v>
      </c>
      <c r="F51" s="63">
        <f>409.54095409541%/100</f>
        <v>4.0954095409540994E-2</v>
      </c>
      <c r="G51" s="64">
        <f>441.747572815534%/100</f>
        <v>4.4174757281553401E-2</v>
      </c>
      <c r="I51" s="53">
        <v>27</v>
      </c>
      <c r="J51" s="62">
        <v>2.4857758382588521E-3</v>
      </c>
      <c r="K51" s="63">
        <v>2.557108762359359E-3</v>
      </c>
      <c r="L51" s="72">
        <v>2.6156941649899397E-3</v>
      </c>
      <c r="M51" s="347">
        <v>4.6440807004187283E-2</v>
      </c>
      <c r="N51" s="63">
        <v>4.4740024183796856E-2</v>
      </c>
      <c r="O51" s="64">
        <v>4.3128654970760232E-2</v>
      </c>
      <c r="AA51" s="387"/>
      <c r="AB51" s="396"/>
      <c r="AC51" s="396"/>
      <c r="AD51" s="396"/>
      <c r="AE51" s="396"/>
      <c r="AF51" s="396"/>
      <c r="AG51" s="396"/>
    </row>
    <row r="52" spans="1:35" x14ac:dyDescent="0.2">
      <c r="A52" s="53">
        <v>28</v>
      </c>
      <c r="B52" s="62">
        <v>1.2205426720495699E-3</v>
      </c>
      <c r="C52" s="63">
        <f>9.0123920390537%/100</f>
        <v>9.0123920390536988E-4</v>
      </c>
      <c r="D52" s="72">
        <f>7.90583274771609%/100</f>
        <v>7.9058327477160909E-4</v>
      </c>
      <c r="E52" s="347">
        <f>387.573054444786%/100</f>
        <v>3.8757305444478599E-2</v>
      </c>
      <c r="F52" s="63">
        <f>409.54095409541%/100</f>
        <v>4.0954095409540994E-2</v>
      </c>
      <c r="G52" s="64">
        <f>427.184466019417%/100</f>
        <v>4.2718446601941705E-2</v>
      </c>
      <c r="I52" s="53">
        <v>28</v>
      </c>
      <c r="J52" s="62">
        <v>1.4362260398828924E-3</v>
      </c>
      <c r="K52" s="63">
        <v>1.4490282986703035E-3</v>
      </c>
      <c r="L52" s="72">
        <v>1.4084507042253522E-3</v>
      </c>
      <c r="M52" s="347">
        <v>3.4259611724400459E-2</v>
      </c>
      <c r="N52" s="63">
        <v>3.4461910519951636E-2</v>
      </c>
      <c r="O52" s="64">
        <v>3.7280701754385963E-2</v>
      </c>
      <c r="AA52" s="387"/>
      <c r="AB52" s="396"/>
      <c r="AC52" s="396"/>
      <c r="AD52" s="396"/>
      <c r="AE52" s="396"/>
      <c r="AF52" s="396"/>
      <c r="AG52" s="398"/>
      <c r="AI52" s="399"/>
    </row>
    <row r="53" spans="1:35" x14ac:dyDescent="0.2">
      <c r="A53" s="53">
        <v>29</v>
      </c>
      <c r="B53" s="62">
        <v>1.0327668763496398E-3</v>
      </c>
      <c r="C53" s="63">
        <f>10.514457378896%/100</f>
        <v>1.0514457378895999E-3</v>
      </c>
      <c r="D53" s="72">
        <f>12.2979620520028%/100</f>
        <v>1.22979620520028E-3</v>
      </c>
      <c r="E53" s="347">
        <f>378.345124577053%/100</f>
        <v>3.7834512457705298E-2</v>
      </c>
      <c r="F53" s="63">
        <f>409.54095409541%/100</f>
        <v>4.0954095409540994E-2</v>
      </c>
      <c r="G53" s="64">
        <f>417.47572815534%/100</f>
        <v>4.1747572815533998E-2</v>
      </c>
      <c r="I53" s="53">
        <v>29</v>
      </c>
      <c r="J53" s="62">
        <v>9.9431033530354078E-4</v>
      </c>
      <c r="K53" s="63">
        <v>9.3760654619843165E-4</v>
      </c>
      <c r="L53" s="72">
        <v>9.0543259557344068E-4</v>
      </c>
      <c r="M53" s="347">
        <v>3.0452988199467072E-2</v>
      </c>
      <c r="N53" s="63">
        <v>3.143893591293833E-2</v>
      </c>
      <c r="O53" s="64">
        <v>3.2163742690058478E-2</v>
      </c>
      <c r="AB53" s="397"/>
      <c r="AC53" s="397"/>
      <c r="AD53" s="397"/>
      <c r="AE53" s="397"/>
      <c r="AF53" s="397"/>
      <c r="AG53" s="400"/>
    </row>
    <row r="54" spans="1:35" x14ac:dyDescent="0.2">
      <c r="A54" s="54" t="s">
        <v>25</v>
      </c>
      <c r="B54" s="65">
        <v>4.0000000000000001E-3</v>
      </c>
      <c r="C54" s="66">
        <v>4.581E-3</v>
      </c>
      <c r="D54" s="74">
        <v>4.9189999999999998E-3</v>
      </c>
      <c r="E54" s="266">
        <v>0.26819999999999999</v>
      </c>
      <c r="F54" s="66">
        <v>0.28710000000000002</v>
      </c>
      <c r="G54" s="67">
        <v>0.29174</v>
      </c>
      <c r="I54" s="54" t="s">
        <v>25</v>
      </c>
      <c r="J54" s="65">
        <v>6.0000000000000001E-3</v>
      </c>
      <c r="K54" s="66">
        <v>7.0000000000000001E-3</v>
      </c>
      <c r="L54" s="74">
        <v>7.0000000000000001E-3</v>
      </c>
      <c r="M54" s="266">
        <v>0.28499999999999998</v>
      </c>
      <c r="N54" s="66">
        <v>0.30499999999999999</v>
      </c>
      <c r="O54" s="67">
        <v>0.311</v>
      </c>
    </row>
    <row r="55" spans="1:35" ht="13.5" thickBot="1" x14ac:dyDescent="0.25">
      <c r="A55" s="29" t="s">
        <v>26</v>
      </c>
      <c r="B55" s="228">
        <v>19.920000000000002</v>
      </c>
      <c r="C55" s="229">
        <v>19.95</v>
      </c>
      <c r="D55" s="230">
        <v>19.97</v>
      </c>
      <c r="E55" s="231">
        <v>24.72</v>
      </c>
      <c r="F55" s="229">
        <v>25.74</v>
      </c>
      <c r="G55" s="232">
        <v>26.73</v>
      </c>
      <c r="I55" s="29" t="s">
        <v>26</v>
      </c>
      <c r="J55" s="228">
        <v>19.8</v>
      </c>
      <c r="K55" s="229">
        <v>19.96</v>
      </c>
      <c r="L55" s="230">
        <v>19.97</v>
      </c>
      <c r="M55" s="231">
        <v>26.77</v>
      </c>
      <c r="N55" s="229">
        <v>26.98</v>
      </c>
      <c r="O55" s="232">
        <v>27.2</v>
      </c>
    </row>
    <row r="56" spans="1:35" ht="20.100000000000001" customHeight="1" thickTop="1" x14ac:dyDescent="0.2">
      <c r="AA56" s="392"/>
      <c r="AB56" s="393"/>
      <c r="AC56" s="393"/>
      <c r="AD56" s="393"/>
      <c r="AE56" s="393"/>
      <c r="AF56" s="393"/>
      <c r="AG56" s="393"/>
    </row>
    <row r="57" spans="1:35" ht="13.5" thickBot="1" x14ac:dyDescent="0.25">
      <c r="A57" s="26" t="s">
        <v>76</v>
      </c>
      <c r="B57" s="26"/>
      <c r="C57" s="26"/>
      <c r="D57" s="26"/>
      <c r="E57" s="26"/>
      <c r="F57" s="26"/>
      <c r="G57" s="26"/>
      <c r="H57" s="268"/>
      <c r="I57" s="26" t="s">
        <v>84</v>
      </c>
      <c r="J57" s="268"/>
      <c r="K57" s="268"/>
      <c r="L57" s="268"/>
      <c r="M57" s="268"/>
      <c r="N57" s="268"/>
      <c r="O57" s="268"/>
      <c r="AA57" s="386"/>
      <c r="AB57" s="387"/>
      <c r="AC57" s="387"/>
      <c r="AD57" s="387"/>
      <c r="AE57" s="387"/>
      <c r="AF57" s="387"/>
      <c r="AG57" s="387"/>
    </row>
    <row r="58" spans="1:35" ht="51.75" thickTop="1" x14ac:dyDescent="0.2">
      <c r="A58" s="27" t="s">
        <v>78</v>
      </c>
      <c r="B58" s="76" t="s">
        <v>38</v>
      </c>
      <c r="C58" s="443" t="s">
        <v>104</v>
      </c>
      <c r="D58" s="78" t="s">
        <v>39</v>
      </c>
      <c r="E58" s="79" t="s">
        <v>38</v>
      </c>
      <c r="F58" s="77" t="s">
        <v>34</v>
      </c>
      <c r="G58" s="80" t="s">
        <v>39</v>
      </c>
      <c r="H58" s="268"/>
      <c r="I58" s="27" t="s">
        <v>85</v>
      </c>
      <c r="J58" s="442" t="s">
        <v>103</v>
      </c>
      <c r="K58" s="443" t="s">
        <v>104</v>
      </c>
      <c r="L58" s="444" t="s">
        <v>105</v>
      </c>
      <c r="M58" s="445" t="s">
        <v>103</v>
      </c>
      <c r="N58" s="443" t="s">
        <v>104</v>
      </c>
      <c r="O58" s="446" t="s">
        <v>105</v>
      </c>
      <c r="AA58" s="387"/>
      <c r="AB58" s="394"/>
      <c r="AC58" s="395"/>
      <c r="AD58" s="395"/>
      <c r="AE58" s="396"/>
      <c r="AF58" s="396"/>
      <c r="AG58" s="396"/>
    </row>
    <row r="59" spans="1:35" ht="13.5" thickBot="1" x14ac:dyDescent="0.25">
      <c r="A59" s="28"/>
      <c r="B59" s="56" t="s">
        <v>90</v>
      </c>
      <c r="C59" s="57"/>
      <c r="D59" s="68"/>
      <c r="E59" s="69" t="s">
        <v>97</v>
      </c>
      <c r="F59" s="57"/>
      <c r="G59" s="58"/>
      <c r="H59" s="268"/>
      <c r="I59" s="28"/>
      <c r="J59" s="56" t="s">
        <v>90</v>
      </c>
      <c r="K59" s="57"/>
      <c r="L59" s="68"/>
      <c r="M59" s="69" t="s">
        <v>97</v>
      </c>
      <c r="N59" s="57"/>
      <c r="O59" s="58"/>
      <c r="P59" s="313"/>
      <c r="AA59" s="387"/>
      <c r="AB59" s="394"/>
      <c r="AC59" s="395"/>
      <c r="AD59" s="395"/>
      <c r="AE59" s="396"/>
      <c r="AF59" s="396"/>
      <c r="AG59" s="396"/>
    </row>
    <row r="60" spans="1:35" ht="13.5" thickTop="1" x14ac:dyDescent="0.2">
      <c r="A60" s="52">
        <v>18</v>
      </c>
      <c r="B60" s="59">
        <v>3.0127462340672072E-3</v>
      </c>
      <c r="C60" s="60">
        <v>3.3321641529287971E-3</v>
      </c>
      <c r="D60" s="70">
        <v>3.5770647027880066E-3</v>
      </c>
      <c r="E60" s="71">
        <v>0</v>
      </c>
      <c r="F60" s="60">
        <v>0</v>
      </c>
      <c r="G60" s="61">
        <v>0</v>
      </c>
      <c r="H60" s="268"/>
      <c r="I60" s="52">
        <v>18</v>
      </c>
      <c r="J60" s="59">
        <v>4.2711104887270691E-3</v>
      </c>
      <c r="K60" s="60">
        <v>3.1707544530448569E-3</v>
      </c>
      <c r="L60" s="70">
        <v>3.4137209558418673E-3</v>
      </c>
      <c r="M60" s="71">
        <v>6.5573770491803279E-4</v>
      </c>
      <c r="N60" s="60">
        <v>5.1072522982635344E-4</v>
      </c>
      <c r="O60" s="61">
        <v>5.5991041433370661E-4</v>
      </c>
      <c r="P60" s="313"/>
      <c r="AA60" s="387"/>
      <c r="AB60" s="394"/>
      <c r="AC60" s="395"/>
      <c r="AD60" s="395"/>
      <c r="AE60" s="396"/>
      <c r="AF60" s="396"/>
      <c r="AG60" s="396"/>
    </row>
    <row r="61" spans="1:35" x14ac:dyDescent="0.2">
      <c r="A61" s="53">
        <v>19</v>
      </c>
      <c r="B61" s="62">
        <v>0.53395133256083438</v>
      </c>
      <c r="C61" s="63">
        <v>0.52990178884601891</v>
      </c>
      <c r="D61" s="72">
        <v>0.51709626512361917</v>
      </c>
      <c r="E61" s="348">
        <v>7.0442992011619465E-2</v>
      </c>
      <c r="F61" s="63">
        <v>6.2875888463641338E-2</v>
      </c>
      <c r="G61" s="64">
        <v>5.2536231884057968E-2</v>
      </c>
      <c r="H61" s="268"/>
      <c r="I61" s="53">
        <v>19</v>
      </c>
      <c r="J61" s="62">
        <v>0.50644167483545721</v>
      </c>
      <c r="K61" s="63">
        <v>0.51711274829805087</v>
      </c>
      <c r="L61" s="72">
        <v>0.50501046140292916</v>
      </c>
      <c r="M61" s="348">
        <v>6.6557377049180327E-2</v>
      </c>
      <c r="N61" s="63">
        <v>6.4351378958120528E-2</v>
      </c>
      <c r="O61" s="64">
        <v>5.823068309070549E-2</v>
      </c>
      <c r="P61" s="313"/>
      <c r="AA61" s="387"/>
      <c r="AB61" s="394"/>
      <c r="AC61" s="395"/>
      <c r="AD61" s="395"/>
      <c r="AE61" s="396"/>
      <c r="AF61" s="396"/>
      <c r="AG61" s="396"/>
    </row>
    <row r="62" spans="1:35" x14ac:dyDescent="0.2">
      <c r="A62" s="53">
        <v>20</v>
      </c>
      <c r="B62" s="62">
        <v>0.27224797219003477</v>
      </c>
      <c r="C62" s="63">
        <v>0.27279901788846017</v>
      </c>
      <c r="D62" s="72">
        <v>0.27596002104155709</v>
      </c>
      <c r="E62" s="347">
        <v>9.4771241830065356E-2</v>
      </c>
      <c r="F62" s="63">
        <v>9.0759978130125762E-2</v>
      </c>
      <c r="G62" s="64">
        <v>9.1183574879227042E-2</v>
      </c>
      <c r="H62" s="268"/>
      <c r="I62" s="53">
        <v>20</v>
      </c>
      <c r="J62" s="62">
        <v>0.27293096205013301</v>
      </c>
      <c r="K62" s="63">
        <v>0.27287139792968385</v>
      </c>
      <c r="L62" s="72">
        <v>0.27441911683735271</v>
      </c>
      <c r="M62" s="347">
        <v>8.5901639344262287E-2</v>
      </c>
      <c r="N62" s="63">
        <v>8.8866189989785502E-2</v>
      </c>
      <c r="O62" s="64">
        <v>8.9585666293393054E-2</v>
      </c>
      <c r="P62" s="313"/>
      <c r="AA62" s="387"/>
      <c r="AB62" s="394"/>
      <c r="AC62" s="395"/>
      <c r="AD62" s="395"/>
      <c r="AE62" s="396"/>
      <c r="AF62" s="396"/>
      <c r="AG62" s="396"/>
    </row>
    <row r="63" spans="1:35" x14ac:dyDescent="0.2">
      <c r="A63" s="53">
        <v>21</v>
      </c>
      <c r="B63" s="62">
        <v>9.7276940903823869E-2</v>
      </c>
      <c r="C63" s="63">
        <v>9.8123465450719038E-2</v>
      </c>
      <c r="D63" s="72">
        <v>0.10268279852709102</v>
      </c>
      <c r="E63" s="347">
        <v>9.2592592592592601E-2</v>
      </c>
      <c r="F63" s="63">
        <v>8.4199015855658838E-2</v>
      </c>
      <c r="G63" s="64">
        <v>8.3333333333333343E-2</v>
      </c>
      <c r="H63" s="268"/>
      <c r="I63" s="53">
        <v>21</v>
      </c>
      <c r="J63" s="62">
        <v>0.10880829015544041</v>
      </c>
      <c r="K63" s="63">
        <v>0.10743262146787279</v>
      </c>
      <c r="L63" s="72">
        <v>0.11276291157361523</v>
      </c>
      <c r="M63" s="347">
        <v>7.5409836065573776E-2</v>
      </c>
      <c r="N63" s="63">
        <v>6.8437180796731362E-2</v>
      </c>
      <c r="O63" s="64">
        <v>6.942889137737962E-2</v>
      </c>
      <c r="P63" s="313"/>
      <c r="AA63" s="387"/>
      <c r="AB63" s="394"/>
      <c r="AC63" s="395"/>
      <c r="AD63" s="395"/>
      <c r="AE63" s="396"/>
      <c r="AF63" s="396"/>
      <c r="AG63" s="396"/>
    </row>
    <row r="64" spans="1:35" x14ac:dyDescent="0.2">
      <c r="A64" s="53">
        <v>22</v>
      </c>
      <c r="B64" s="62">
        <v>4.5133256083429892E-2</v>
      </c>
      <c r="C64" s="63">
        <v>4.5071904594878989E-2</v>
      </c>
      <c r="D64" s="72">
        <v>4.765912677538138E-2</v>
      </c>
      <c r="E64" s="347">
        <v>6.6811909949164847E-2</v>
      </c>
      <c r="F64" s="63">
        <v>6.4516129032258063E-2</v>
      </c>
      <c r="G64" s="64">
        <v>6.4009661835748799E-2</v>
      </c>
      <c r="H64" s="268"/>
      <c r="I64" s="53">
        <v>22</v>
      </c>
      <c r="J64" s="62">
        <v>4.6282033328665449E-2</v>
      </c>
      <c r="K64" s="63">
        <v>4.1965867760887808E-2</v>
      </c>
      <c r="L64" s="72">
        <v>4.514921264177954E-2</v>
      </c>
      <c r="M64" s="347">
        <v>7.2459016393442613E-2</v>
      </c>
      <c r="N64" s="63">
        <v>6.8947906026557704E-2</v>
      </c>
      <c r="O64" s="64">
        <v>6.4949608062709968E-2</v>
      </c>
      <c r="P64" s="313"/>
      <c r="AA64" s="387"/>
      <c r="AB64" s="394"/>
      <c r="AC64" s="395"/>
      <c r="AD64" s="395"/>
      <c r="AE64" s="396"/>
      <c r="AF64" s="396"/>
      <c r="AG64" s="396"/>
    </row>
    <row r="65" spans="1:35" x14ac:dyDescent="0.2">
      <c r="A65" s="53">
        <v>23</v>
      </c>
      <c r="B65" s="62">
        <v>1.9524913093858634E-2</v>
      </c>
      <c r="C65" s="63">
        <v>2.0694493160294633E-2</v>
      </c>
      <c r="D65" s="72">
        <v>2.1357180431351919E-2</v>
      </c>
      <c r="E65" s="347">
        <v>6.0639070442992014E-2</v>
      </c>
      <c r="F65" s="63">
        <v>5.4127938764352103E-2</v>
      </c>
      <c r="G65" s="64">
        <v>5.5555555555555552E-2</v>
      </c>
      <c r="H65" s="268"/>
      <c r="I65" s="53">
        <v>23</v>
      </c>
      <c r="J65" s="62">
        <v>2.3316062176165803E-2</v>
      </c>
      <c r="K65" s="63">
        <v>2.1728993751748579E-2</v>
      </c>
      <c r="L65" s="72">
        <v>2.2464486290056162E-2</v>
      </c>
      <c r="M65" s="347">
        <v>6.5245901639344253E-2</v>
      </c>
      <c r="N65" s="63">
        <v>6.0265577119509708E-2</v>
      </c>
      <c r="O65" s="64">
        <v>6.1030235162374019E-2</v>
      </c>
      <c r="P65" s="313"/>
      <c r="AA65" s="387"/>
      <c r="AB65" s="394"/>
      <c r="AC65" s="395"/>
      <c r="AD65" s="395"/>
      <c r="AE65" s="396"/>
      <c r="AF65" s="396"/>
      <c r="AG65" s="396"/>
    </row>
    <row r="66" spans="1:35" x14ac:dyDescent="0.2">
      <c r="A66" s="53">
        <v>24</v>
      </c>
      <c r="B66" s="62">
        <v>8.5747392815758976E-3</v>
      </c>
      <c r="C66" s="63">
        <v>9.0319186250438447E-3</v>
      </c>
      <c r="D66" s="72">
        <v>9.3634928984744868E-3</v>
      </c>
      <c r="E66" s="347">
        <v>5.0835148874364557E-2</v>
      </c>
      <c r="F66" s="63">
        <v>4.8660470202296337E-2</v>
      </c>
      <c r="G66" s="64">
        <v>4.5893719806763288E-2</v>
      </c>
      <c r="H66" s="268"/>
      <c r="I66" s="53">
        <v>24</v>
      </c>
      <c r="J66" s="62">
        <v>1.2393222237781823E-2</v>
      </c>
      <c r="K66" s="63">
        <v>1.1843700456961672E-2</v>
      </c>
      <c r="L66" s="72">
        <v>1.1892963330029734E-2</v>
      </c>
      <c r="M66" s="347">
        <v>5.442622950819672E-2</v>
      </c>
      <c r="N66" s="63">
        <v>4.8518896833503578E-2</v>
      </c>
      <c r="O66" s="64">
        <v>5.0951847704367302E-2</v>
      </c>
      <c r="P66" s="313"/>
      <c r="AA66" s="387"/>
      <c r="AB66" s="394"/>
      <c r="AC66" s="395"/>
      <c r="AD66" s="395"/>
      <c r="AE66" s="396"/>
      <c r="AF66" s="396"/>
      <c r="AG66" s="396"/>
    </row>
    <row r="67" spans="1:35" x14ac:dyDescent="0.2">
      <c r="A67" s="53">
        <v>25</v>
      </c>
      <c r="B67" s="62">
        <v>5.0405561993047514E-3</v>
      </c>
      <c r="C67" s="63">
        <v>5.3490003507541215E-3</v>
      </c>
      <c r="D67" s="72">
        <v>5.3655970541820093E-3</v>
      </c>
      <c r="E67" s="347">
        <v>5.5555555555555552E-2</v>
      </c>
      <c r="F67" s="63">
        <v>5.4674685620557682E-2</v>
      </c>
      <c r="G67" s="64">
        <v>5.6159420289855072E-2</v>
      </c>
      <c r="H67" s="268"/>
      <c r="I67" s="53">
        <v>25</v>
      </c>
      <c r="J67" s="62">
        <v>5.6014563786584513E-3</v>
      </c>
      <c r="K67" s="63">
        <v>4.4763592278280334E-3</v>
      </c>
      <c r="L67" s="72">
        <v>4.8452813566787802E-3</v>
      </c>
      <c r="M67" s="347">
        <v>4.4590163934426226E-2</v>
      </c>
      <c r="N67" s="63">
        <v>4.698672114402451E-2</v>
      </c>
      <c r="O67" s="64">
        <v>4.9832026875699889E-2</v>
      </c>
      <c r="P67" s="313"/>
      <c r="AA67" s="387"/>
      <c r="AB67" s="394"/>
      <c r="AC67" s="395"/>
      <c r="AD67" s="395"/>
      <c r="AE67" s="396"/>
      <c r="AF67" s="396"/>
      <c r="AG67" s="396"/>
    </row>
    <row r="68" spans="1:35" x14ac:dyDescent="0.2">
      <c r="A68" s="53">
        <v>26</v>
      </c>
      <c r="B68" s="62">
        <v>2.9548088064889921E-3</v>
      </c>
      <c r="C68" s="63">
        <v>2.8060329708874078E-3</v>
      </c>
      <c r="D68" s="72">
        <v>3.1562335612835353E-3</v>
      </c>
      <c r="E68" s="347">
        <v>4.6840958605664486E-2</v>
      </c>
      <c r="F68" s="63">
        <v>5.084745762711864E-2</v>
      </c>
      <c r="G68" s="64">
        <v>4.9516908212560384E-2</v>
      </c>
      <c r="H68" s="268"/>
      <c r="I68" s="53">
        <v>26</v>
      </c>
      <c r="J68" s="62">
        <v>3.1508192129953787E-3</v>
      </c>
      <c r="K68" s="63">
        <v>3.1707544530448569E-3</v>
      </c>
      <c r="L68" s="72">
        <v>3.3036009250082586E-3</v>
      </c>
      <c r="M68" s="347">
        <v>5.1803278688524593E-2</v>
      </c>
      <c r="N68" s="63">
        <v>4.9029622063329927E-2</v>
      </c>
      <c r="O68" s="64">
        <v>5.0391937290033592E-2</v>
      </c>
      <c r="P68" s="313"/>
      <c r="AA68" s="387"/>
      <c r="AB68" s="394"/>
      <c r="AC68" s="395"/>
      <c r="AD68" s="395"/>
      <c r="AE68" s="396"/>
      <c r="AF68" s="396"/>
      <c r="AG68" s="396"/>
    </row>
    <row r="69" spans="1:35" x14ac:dyDescent="0.2">
      <c r="A69" s="53">
        <v>27</v>
      </c>
      <c r="B69" s="62">
        <v>1.9698725376593278E-3</v>
      </c>
      <c r="C69" s="63">
        <v>2.0168361978253244E-3</v>
      </c>
      <c r="D69" s="72">
        <v>2.3145712782745922E-3</v>
      </c>
      <c r="E69" s="347">
        <v>4.3209876543209874E-2</v>
      </c>
      <c r="F69" s="63">
        <v>4.5926735921268447E-2</v>
      </c>
      <c r="G69" s="64">
        <v>4.4685990338164255E-2</v>
      </c>
      <c r="H69" s="268"/>
      <c r="I69" s="53">
        <v>27</v>
      </c>
      <c r="J69" s="62">
        <v>3.0107828035289175E-3</v>
      </c>
      <c r="K69" s="63">
        <v>2.9842394852186887E-3</v>
      </c>
      <c r="L69" s="72">
        <v>3.0833608633410422E-3</v>
      </c>
      <c r="M69" s="347">
        <v>4.2950819672131144E-2</v>
      </c>
      <c r="N69" s="63">
        <v>4.0347293156281917E-2</v>
      </c>
      <c r="O69" s="64">
        <v>3.8073908174692049E-2</v>
      </c>
      <c r="P69" s="313"/>
      <c r="AA69" s="387"/>
      <c r="AB69" s="394"/>
      <c r="AC69" s="395"/>
      <c r="AD69" s="395"/>
      <c r="AE69" s="396"/>
      <c r="AF69" s="396"/>
      <c r="AG69" s="396"/>
    </row>
    <row r="70" spans="1:35" x14ac:dyDescent="0.2">
      <c r="A70" s="53">
        <v>28</v>
      </c>
      <c r="B70" s="62">
        <v>1.1587485515643105E-3</v>
      </c>
      <c r="C70" s="63">
        <v>8.7688530340231498E-4</v>
      </c>
      <c r="D70" s="72">
        <v>9.4687006838506046E-4</v>
      </c>
      <c r="E70" s="347">
        <v>5.1924473493100941E-2</v>
      </c>
      <c r="F70" s="63">
        <v>5.084745762711864E-2</v>
      </c>
      <c r="G70" s="64">
        <v>5.2536231884057968E-2</v>
      </c>
      <c r="H70" s="268"/>
      <c r="I70" s="53">
        <v>28</v>
      </c>
      <c r="J70" s="62">
        <v>2.7307099845959946E-3</v>
      </c>
      <c r="K70" s="63">
        <v>2.6112095495663527E-3</v>
      </c>
      <c r="L70" s="72">
        <v>2.5327607091729988E-3</v>
      </c>
      <c r="M70" s="347">
        <v>3.5409836065573769E-2</v>
      </c>
      <c r="N70" s="63">
        <v>3.2175689479060264E-2</v>
      </c>
      <c r="O70" s="64">
        <v>3.1914893617021274E-2</v>
      </c>
      <c r="P70" s="313"/>
      <c r="AA70" s="387"/>
      <c r="AB70" s="396"/>
      <c r="AC70" s="396"/>
      <c r="AD70" s="396"/>
      <c r="AE70" s="396"/>
      <c r="AF70" s="396"/>
      <c r="AG70" s="396"/>
    </row>
    <row r="71" spans="1:35" x14ac:dyDescent="0.2">
      <c r="A71" s="53">
        <v>29</v>
      </c>
      <c r="B71" s="62">
        <v>1.6801853997682502E-3</v>
      </c>
      <c r="C71" s="63">
        <v>1.8414591371448616E-3</v>
      </c>
      <c r="D71" s="72">
        <v>1.5781167806417677E-3</v>
      </c>
      <c r="E71" s="347">
        <v>3.6673928830791576E-2</v>
      </c>
      <c r="F71" s="63">
        <v>3.7725533078184798E-2</v>
      </c>
      <c r="G71" s="64">
        <v>3.8043478260869568E-2</v>
      </c>
      <c r="H71" s="268"/>
      <c r="I71" s="53">
        <v>29</v>
      </c>
      <c r="J71" s="62">
        <v>1.2603276851981516E-3</v>
      </c>
      <c r="K71" s="63">
        <v>1.3056047747831763E-3</v>
      </c>
      <c r="L71" s="72">
        <v>1.211320339169695E-3</v>
      </c>
      <c r="M71" s="347">
        <v>3.7377049180327873E-2</v>
      </c>
      <c r="N71" s="63">
        <v>3.5240040858018386E-2</v>
      </c>
      <c r="O71" s="64">
        <v>3.5274356103023513E-2</v>
      </c>
      <c r="P71" s="313"/>
      <c r="AA71" s="387"/>
      <c r="AB71" s="396"/>
      <c r="AC71" s="396"/>
      <c r="AD71" s="396"/>
      <c r="AE71" s="396"/>
      <c r="AF71" s="396"/>
      <c r="AG71" s="396"/>
      <c r="AI71" s="399"/>
    </row>
    <row r="72" spans="1:35" x14ac:dyDescent="0.2">
      <c r="A72" s="54" t="s">
        <v>25</v>
      </c>
      <c r="B72" s="65">
        <v>6.9999999999999993E-3</v>
      </c>
      <c r="C72" s="66">
        <v>8.0000000000000002E-3</v>
      </c>
      <c r="D72" s="74">
        <v>8.9999999999999993E-3</v>
      </c>
      <c r="E72" s="266">
        <v>0.33</v>
      </c>
      <c r="F72" s="66">
        <v>0.35399999999999998</v>
      </c>
      <c r="G72" s="67">
        <v>0.36699999999999999</v>
      </c>
      <c r="H72" s="268"/>
      <c r="I72" s="54" t="s">
        <v>25</v>
      </c>
      <c r="J72" s="65">
        <v>0.01</v>
      </c>
      <c r="K72" s="66">
        <v>8.9999999999999993E-3</v>
      </c>
      <c r="L72" s="74">
        <v>0.01</v>
      </c>
      <c r="M72" s="266">
        <v>0.36699999999999999</v>
      </c>
      <c r="N72" s="66">
        <v>0.39600000000000002</v>
      </c>
      <c r="O72" s="67">
        <v>0.4</v>
      </c>
      <c r="P72" s="313"/>
      <c r="AB72" s="397"/>
      <c r="AC72" s="397"/>
      <c r="AD72" s="397"/>
      <c r="AE72" s="397"/>
      <c r="AF72" s="397"/>
      <c r="AG72" s="397"/>
    </row>
    <row r="73" spans="1:35" ht="13.5" thickBot="1" x14ac:dyDescent="0.25">
      <c r="A73" s="29" t="s">
        <v>26</v>
      </c>
      <c r="B73" s="228">
        <v>19.91</v>
      </c>
      <c r="C73" s="229">
        <v>19.95</v>
      </c>
      <c r="D73" s="230">
        <v>19.989999999999998</v>
      </c>
      <c r="E73" s="231">
        <v>27.49</v>
      </c>
      <c r="F73" s="229">
        <v>27.96</v>
      </c>
      <c r="G73" s="232">
        <v>28.16</v>
      </c>
      <c r="H73" s="268"/>
      <c r="I73" s="29" t="s">
        <v>26</v>
      </c>
      <c r="J73" s="228">
        <v>20.05</v>
      </c>
      <c r="K73" s="229">
        <v>20.010000000000002</v>
      </c>
      <c r="L73" s="230">
        <v>19</v>
      </c>
      <c r="M73" s="231">
        <v>28.14</v>
      </c>
      <c r="N73" s="229">
        <v>28.45</v>
      </c>
      <c r="O73" s="232">
        <v>28.57</v>
      </c>
      <c r="P73" s="313"/>
      <c r="AI73" s="399"/>
    </row>
    <row r="74" spans="1:35" ht="13.5" thickTop="1" x14ac:dyDescent="0.2">
      <c r="A74" s="268"/>
      <c r="B74" s="268"/>
      <c r="C74" s="268"/>
      <c r="D74" s="268"/>
      <c r="E74" s="268"/>
      <c r="F74" s="269"/>
      <c r="G74" s="268"/>
      <c r="H74" s="268"/>
      <c r="I74" s="268"/>
      <c r="J74" s="313"/>
      <c r="K74" s="313"/>
      <c r="L74" s="314"/>
      <c r="M74" s="313"/>
      <c r="N74" s="314"/>
      <c r="O74" s="314"/>
      <c r="P74" s="324"/>
    </row>
    <row r="75" spans="1:35" ht="13.5" thickBot="1" x14ac:dyDescent="0.25">
      <c r="A75" s="26" t="s">
        <v>87</v>
      </c>
      <c r="B75" s="268"/>
      <c r="C75" s="268"/>
      <c r="D75" s="268"/>
      <c r="E75" s="268"/>
      <c r="F75" s="268"/>
      <c r="G75" s="268"/>
      <c r="H75" s="268"/>
      <c r="I75" s="26" t="s">
        <v>89</v>
      </c>
      <c r="J75" s="268"/>
      <c r="K75" s="268"/>
      <c r="L75" s="268"/>
      <c r="M75" s="268"/>
      <c r="N75" s="268"/>
      <c r="O75" s="268"/>
      <c r="P75" s="324"/>
      <c r="Q75" s="336"/>
      <c r="AA75" s="392"/>
      <c r="AB75" s="393"/>
      <c r="AC75" s="393"/>
      <c r="AD75" s="393"/>
      <c r="AE75" s="393"/>
      <c r="AF75" s="393"/>
      <c r="AG75" s="393"/>
    </row>
    <row r="76" spans="1:35" ht="51.75" thickTop="1" x14ac:dyDescent="0.2">
      <c r="A76" s="27" t="s">
        <v>88</v>
      </c>
      <c r="B76" s="442" t="s">
        <v>103</v>
      </c>
      <c r="C76" s="443" t="s">
        <v>104</v>
      </c>
      <c r="D76" s="444" t="s">
        <v>105</v>
      </c>
      <c r="E76" s="445" t="s">
        <v>103</v>
      </c>
      <c r="F76" s="443" t="s">
        <v>104</v>
      </c>
      <c r="G76" s="446" t="s">
        <v>105</v>
      </c>
      <c r="H76" s="268"/>
      <c r="I76" s="27" t="s">
        <v>91</v>
      </c>
      <c r="J76" s="442" t="s">
        <v>103</v>
      </c>
      <c r="K76" s="443" t="s">
        <v>104</v>
      </c>
      <c r="L76" s="444" t="s">
        <v>105</v>
      </c>
      <c r="M76" s="445" t="s">
        <v>103</v>
      </c>
      <c r="N76" s="443" t="s">
        <v>104</v>
      </c>
      <c r="O76" s="446" t="s">
        <v>105</v>
      </c>
      <c r="P76" s="270"/>
      <c r="Q76" s="336"/>
      <c r="T76" s="401"/>
      <c r="U76" s="401"/>
      <c r="V76" s="401"/>
      <c r="W76" s="401"/>
      <c r="Y76" s="401"/>
      <c r="AA76" s="386"/>
      <c r="AB76" s="387"/>
      <c r="AC76" s="387"/>
      <c r="AD76" s="387"/>
      <c r="AE76" s="387"/>
      <c r="AF76" s="387"/>
      <c r="AG76" s="387"/>
    </row>
    <row r="77" spans="1:35" ht="13.5" thickBot="1" x14ac:dyDescent="0.25">
      <c r="A77" s="28"/>
      <c r="B77" s="56" t="s">
        <v>90</v>
      </c>
      <c r="C77" s="57"/>
      <c r="D77" s="68"/>
      <c r="E77" s="69" t="s">
        <v>97</v>
      </c>
      <c r="F77" s="57"/>
      <c r="G77" s="58"/>
      <c r="H77" s="268"/>
      <c r="I77" s="28"/>
      <c r="J77" s="56" t="s">
        <v>90</v>
      </c>
      <c r="K77" s="57"/>
      <c r="L77" s="68"/>
      <c r="M77" s="69" t="s">
        <v>97</v>
      </c>
      <c r="N77" s="57"/>
      <c r="O77" s="58"/>
      <c r="P77" s="270"/>
      <c r="Q77" s="336"/>
      <c r="R77" s="496"/>
      <c r="S77" s="496"/>
      <c r="T77" s="401"/>
      <c r="U77" s="401"/>
      <c r="V77" s="401"/>
      <c r="W77" s="401"/>
      <c r="Y77" s="401"/>
      <c r="AA77" s="387"/>
      <c r="AB77" s="402"/>
      <c r="AC77" s="395"/>
      <c r="AD77" s="395"/>
      <c r="AE77" s="396"/>
      <c r="AF77" s="396"/>
      <c r="AG77" s="396"/>
    </row>
    <row r="78" spans="1:35" ht="13.5" thickTop="1" x14ac:dyDescent="0.2">
      <c r="A78" s="52">
        <v>18</v>
      </c>
      <c r="B78" s="360">
        <v>6.5402223675604977E-3</v>
      </c>
      <c r="C78" s="60">
        <v>6.2600777767238928E-3</v>
      </c>
      <c r="D78" s="70">
        <v>5.3136190366177664E-3</v>
      </c>
      <c r="E78" s="71">
        <v>4.7522063815342831E-2</v>
      </c>
      <c r="F78" s="60">
        <v>6.3111391606184908E-4</v>
      </c>
      <c r="G78" s="61">
        <v>3.6140224069389231E-4</v>
      </c>
      <c r="H78" s="268"/>
      <c r="I78" s="52">
        <v>18</v>
      </c>
      <c r="J78" s="360">
        <v>4.923455650434649E-3</v>
      </c>
      <c r="K78" s="60">
        <v>4.2415673601292666E-3</v>
      </c>
      <c r="L78" s="70">
        <v>4.2620555284948857E-3</v>
      </c>
      <c r="M78" s="71">
        <v>2.6226068712300026E-4</v>
      </c>
      <c r="N78" s="60">
        <v>3.667033370003667E-4</v>
      </c>
      <c r="O78" s="61">
        <v>0</v>
      </c>
      <c r="P78" s="270"/>
      <c r="Q78" s="336"/>
      <c r="R78" s="496"/>
      <c r="S78" s="496"/>
      <c r="T78" s="401"/>
      <c r="U78" s="401"/>
      <c r="V78" s="404"/>
      <c r="W78" s="404"/>
      <c r="Y78" s="401"/>
      <c r="AA78" s="387"/>
      <c r="AB78" s="402"/>
      <c r="AC78" s="395"/>
      <c r="AD78" s="395"/>
      <c r="AE78" s="396"/>
      <c r="AF78" s="396"/>
      <c r="AG78" s="396"/>
    </row>
    <row r="79" spans="1:35" x14ac:dyDescent="0.2">
      <c r="A79" s="53">
        <v>19</v>
      </c>
      <c r="B79" s="277">
        <v>0.53177953504964615</v>
      </c>
      <c r="C79" s="63">
        <v>0.51294697903822439</v>
      </c>
      <c r="D79" s="72">
        <v>0.49312694928959222</v>
      </c>
      <c r="E79" s="348">
        <v>5.1142792486988012E-2</v>
      </c>
      <c r="F79" s="63">
        <v>4.6071315872514985E-2</v>
      </c>
      <c r="G79" s="64">
        <v>4.300686664257318E-2</v>
      </c>
      <c r="H79" s="268"/>
      <c r="I79" s="53">
        <v>19</v>
      </c>
      <c r="J79" s="277">
        <v>0.52596353565658893</v>
      </c>
      <c r="K79" s="63">
        <v>0.51757220763482126</v>
      </c>
      <c r="L79" s="72">
        <v>0.4957379444715051</v>
      </c>
      <c r="M79" s="348">
        <v>6.2680304222397065E-2</v>
      </c>
      <c r="N79" s="63">
        <v>5.3171983865053174E-2</v>
      </c>
      <c r="O79" s="64">
        <v>5.0509164969450099E-2</v>
      </c>
      <c r="P79" s="270"/>
      <c r="Q79" s="336"/>
      <c r="R79" s="496"/>
      <c r="S79" s="496"/>
      <c r="T79" s="401"/>
      <c r="U79" s="401"/>
      <c r="V79" s="404"/>
      <c r="W79" s="404"/>
      <c r="X79" s="401"/>
      <c r="Y79" s="401"/>
      <c r="AA79" s="387"/>
      <c r="AB79" s="402"/>
      <c r="AC79" s="395"/>
      <c r="AD79" s="395"/>
      <c r="AE79" s="396"/>
      <c r="AF79" s="396"/>
      <c r="AG79" s="396"/>
    </row>
    <row r="80" spans="1:35" x14ac:dyDescent="0.2">
      <c r="A80" s="53">
        <v>20</v>
      </c>
      <c r="B80" s="277">
        <v>0.26351150484571023</v>
      </c>
      <c r="C80" s="63">
        <v>0.2705112396850991</v>
      </c>
      <c r="D80" s="72">
        <v>0.27723229756266604</v>
      </c>
      <c r="E80" s="347">
        <v>5.5668703326544472E-2</v>
      </c>
      <c r="F80" s="63">
        <v>4.8911328494793314E-2</v>
      </c>
      <c r="G80" s="64">
        <v>4.6620889049512108E-2</v>
      </c>
      <c r="H80" s="268"/>
      <c r="I80" s="53">
        <v>20</v>
      </c>
      <c r="J80" s="277">
        <v>0.26225094238018309</v>
      </c>
      <c r="K80" s="63">
        <v>0.26671379519289035</v>
      </c>
      <c r="L80" s="72">
        <v>0.27325864588407212</v>
      </c>
      <c r="M80" s="347">
        <v>7.5268817204301078E-2</v>
      </c>
      <c r="N80" s="63">
        <v>6.5639897323065646E-2</v>
      </c>
      <c r="O80" s="64">
        <v>6.313645621181263E-2</v>
      </c>
      <c r="P80" s="270"/>
      <c r="Q80" s="336"/>
      <c r="R80" s="497"/>
      <c r="S80" s="497"/>
      <c r="T80" s="401"/>
      <c r="U80" s="401"/>
      <c r="V80" s="404"/>
      <c r="W80" s="404"/>
      <c r="X80" s="401"/>
      <c r="Y80" s="401"/>
      <c r="AA80" s="387"/>
      <c r="AB80" s="402"/>
      <c r="AC80" s="395"/>
      <c r="AD80" s="395"/>
      <c r="AE80" s="396"/>
      <c r="AF80" s="396"/>
      <c r="AG80" s="396"/>
    </row>
    <row r="81" spans="1:35" x14ac:dyDescent="0.2">
      <c r="A81" s="53">
        <v>21</v>
      </c>
      <c r="B81" s="277">
        <v>9.8638444616207868E-2</v>
      </c>
      <c r="C81" s="63">
        <v>0.10129944038698663</v>
      </c>
      <c r="D81" s="72">
        <v>0.10858264987871086</v>
      </c>
      <c r="E81" s="347">
        <v>5.1821679112921473E-2</v>
      </c>
      <c r="F81" s="63">
        <v>5.2066898075102556E-2</v>
      </c>
      <c r="G81" s="64">
        <v>5.3126129382002167E-2</v>
      </c>
      <c r="H81" s="268"/>
      <c r="I81" s="53">
        <v>21</v>
      </c>
      <c r="J81" s="277">
        <v>9.3468728363720291E-2</v>
      </c>
      <c r="K81" s="63">
        <v>9.6849121389618265E-2</v>
      </c>
      <c r="L81" s="72">
        <v>0.10301997077447637</v>
      </c>
      <c r="M81" s="347">
        <v>6.3204825596643061E-2</v>
      </c>
      <c r="N81" s="63">
        <v>6.0506050605060507E-2</v>
      </c>
      <c r="O81" s="64">
        <v>5.9470468431771895E-2</v>
      </c>
      <c r="P81" s="270"/>
      <c r="Q81" s="336"/>
      <c r="R81" s="497"/>
      <c r="S81" s="497"/>
      <c r="T81" s="401"/>
      <c r="U81" s="401"/>
      <c r="V81" s="404"/>
      <c r="W81" s="404"/>
      <c r="X81" s="401"/>
      <c r="Y81" s="401"/>
      <c r="AA81" s="387"/>
      <c r="AB81" s="402"/>
      <c r="AC81" s="395"/>
      <c r="AD81" s="395"/>
      <c r="AE81" s="396"/>
      <c r="AF81" s="396"/>
      <c r="AG81" s="396"/>
    </row>
    <row r="82" spans="1:35" x14ac:dyDescent="0.2">
      <c r="A82" s="53">
        <v>22</v>
      </c>
      <c r="B82" s="277">
        <v>4.227361912123194E-2</v>
      </c>
      <c r="C82" s="63">
        <v>4.5053590059755289E-2</v>
      </c>
      <c r="D82" s="72">
        <v>4.7360517500288787E-2</v>
      </c>
      <c r="E82" s="347">
        <v>5.0690201403032355E-2</v>
      </c>
      <c r="F82" s="63">
        <v>5.1435784159040709E-2</v>
      </c>
      <c r="G82" s="64">
        <v>5.023491145645103E-2</v>
      </c>
      <c r="H82" s="268"/>
      <c r="I82" s="53">
        <v>22</v>
      </c>
      <c r="J82" s="277">
        <v>4.2157089006846678E-2</v>
      </c>
      <c r="K82" s="63">
        <v>4.5142395475661484E-2</v>
      </c>
      <c r="L82" s="72">
        <v>4.8222113979542132E-2</v>
      </c>
      <c r="M82" s="347">
        <v>6.7138735903488067E-2</v>
      </c>
      <c r="N82" s="63">
        <v>6.9306930693069313E-2</v>
      </c>
      <c r="O82" s="64">
        <v>6.8024439918533602E-2</v>
      </c>
      <c r="P82" s="270"/>
      <c r="Q82" s="336"/>
      <c r="R82" s="497"/>
      <c r="S82" s="497"/>
      <c r="T82" s="401"/>
      <c r="U82" s="401"/>
      <c r="V82" s="404"/>
      <c r="W82" s="404"/>
      <c r="X82" s="401"/>
      <c r="Y82" s="401"/>
      <c r="AA82" s="387"/>
      <c r="AB82" s="402"/>
      <c r="AC82" s="395"/>
      <c r="AD82" s="395"/>
      <c r="AE82" s="396"/>
      <c r="AF82" s="396"/>
      <c r="AG82" s="396"/>
    </row>
    <row r="83" spans="1:35" x14ac:dyDescent="0.2">
      <c r="A83" s="53">
        <v>23</v>
      </c>
      <c r="B83" s="277">
        <v>2.289077828646174E-2</v>
      </c>
      <c r="C83" s="63">
        <v>2.4945461443611875E-2</v>
      </c>
      <c r="D83" s="72">
        <v>2.6799122097724382E-2</v>
      </c>
      <c r="E83" s="347">
        <v>4.0733197556008148E-2</v>
      </c>
      <c r="F83" s="63">
        <v>5.0489113284947935E-2</v>
      </c>
      <c r="G83" s="64">
        <v>4.8789302493675454E-2</v>
      </c>
      <c r="H83" s="268"/>
      <c r="I83" s="53">
        <v>23</v>
      </c>
      <c r="J83" s="277">
        <v>2.1770905454265712E-2</v>
      </c>
      <c r="K83" s="63">
        <v>2.262169258735609E-2</v>
      </c>
      <c r="L83" s="72">
        <v>2.4111056989771066E-2</v>
      </c>
      <c r="M83" s="347">
        <v>5.8746393915552059E-2</v>
      </c>
      <c r="N83" s="63">
        <v>5.7205720572057209E-2</v>
      </c>
      <c r="O83" s="64">
        <v>5.5397148676171078E-2</v>
      </c>
      <c r="P83" s="270"/>
      <c r="Q83" s="336"/>
      <c r="R83" s="497"/>
      <c r="S83" s="497"/>
      <c r="T83" s="401"/>
      <c r="U83" s="401"/>
      <c r="V83" s="404"/>
      <c r="W83" s="404"/>
      <c r="X83" s="401"/>
      <c r="Y83" s="401"/>
      <c r="AA83" s="387"/>
      <c r="AB83" s="402"/>
      <c r="AC83" s="395"/>
      <c r="AD83" s="395"/>
      <c r="AE83" s="396"/>
      <c r="AF83" s="396"/>
      <c r="AG83" s="396"/>
    </row>
    <row r="84" spans="1:35" x14ac:dyDescent="0.2">
      <c r="A84" s="53">
        <v>24</v>
      </c>
      <c r="B84" s="277">
        <v>1.0880551756941555E-2</v>
      </c>
      <c r="C84" s="63">
        <v>1.2045907237029309E-2</v>
      </c>
      <c r="D84" s="72">
        <v>1.2706480304955527E-2</v>
      </c>
      <c r="E84" s="347">
        <v>3.8470242136229918E-2</v>
      </c>
      <c r="F84" s="63">
        <v>4.1022404544020195E-2</v>
      </c>
      <c r="G84" s="64">
        <v>4.1199855439103726E-2</v>
      </c>
      <c r="H84" s="268"/>
      <c r="I84" s="53">
        <v>24</v>
      </c>
      <c r="J84" s="277">
        <v>1.3231787060543119E-2</v>
      </c>
      <c r="K84" s="63">
        <v>1.3431629973742679E-2</v>
      </c>
      <c r="L84" s="72">
        <v>1.4612761811982464E-2</v>
      </c>
      <c r="M84" s="347">
        <v>5.035405192761605E-2</v>
      </c>
      <c r="N84" s="63">
        <v>5.1338467180051341E-2</v>
      </c>
      <c r="O84" s="64">
        <v>5.0509164969450099E-2</v>
      </c>
      <c r="P84" s="270"/>
      <c r="Q84" s="336"/>
      <c r="R84" s="497"/>
      <c r="S84" s="497"/>
      <c r="T84" s="401"/>
      <c r="U84" s="401"/>
      <c r="V84" s="404"/>
      <c r="W84" s="404"/>
      <c r="X84" s="401"/>
      <c r="Y84" s="401"/>
      <c r="AA84" s="387"/>
      <c r="AB84" s="402"/>
      <c r="AC84" s="395"/>
      <c r="AD84" s="395"/>
      <c r="AE84" s="396"/>
      <c r="AF84" s="396"/>
      <c r="AG84" s="396"/>
    </row>
    <row r="85" spans="1:35" x14ac:dyDescent="0.2">
      <c r="A85" s="53">
        <v>25</v>
      </c>
      <c r="B85" s="277">
        <v>5.2916344610262197E-3</v>
      </c>
      <c r="C85" s="63">
        <v>5.3115811438869389E-3</v>
      </c>
      <c r="D85" s="72">
        <v>5.6601594085710985E-3</v>
      </c>
      <c r="E85" s="347">
        <v>3.960171984611903E-2</v>
      </c>
      <c r="F85" s="63">
        <v>3.5026822341432631E-2</v>
      </c>
      <c r="G85" s="64">
        <v>3.6140224069389229E-2</v>
      </c>
      <c r="H85" s="268"/>
      <c r="I85" s="53">
        <v>25</v>
      </c>
      <c r="J85" s="277">
        <v>6.9236095084237248E-3</v>
      </c>
      <c r="K85" s="63">
        <v>6.6653201373459911E-3</v>
      </c>
      <c r="L85" s="72">
        <v>7.7934729663906481E-3</v>
      </c>
      <c r="M85" s="347">
        <v>4.8518227117755046E-2</v>
      </c>
      <c r="N85" s="63">
        <v>4.5471213788045473E-2</v>
      </c>
      <c r="O85" s="64">
        <v>4.8065173116089613E-2</v>
      </c>
      <c r="P85" s="270"/>
      <c r="Q85" s="336"/>
      <c r="R85" s="497"/>
      <c r="S85" s="497"/>
      <c r="T85" s="401"/>
      <c r="U85" s="401"/>
      <c r="V85" s="404"/>
      <c r="W85" s="404"/>
      <c r="X85" s="401"/>
      <c r="Y85" s="401"/>
      <c r="AA85" s="387"/>
      <c r="AB85" s="402"/>
      <c r="AC85" s="395"/>
      <c r="AD85" s="395"/>
      <c r="AE85" s="396"/>
      <c r="AF85" s="396"/>
      <c r="AG85" s="396"/>
    </row>
    <row r="86" spans="1:35" x14ac:dyDescent="0.2">
      <c r="A86" s="53">
        <v>26</v>
      </c>
      <c r="B86" s="277">
        <v>2.6755455140020216E-3</v>
      </c>
      <c r="C86" s="63">
        <v>3.6042872047804229E-3</v>
      </c>
      <c r="D86" s="72">
        <v>3.5809171768511035E-3</v>
      </c>
      <c r="E86" s="347">
        <v>3.8017651052274268E-2</v>
      </c>
      <c r="F86" s="63">
        <v>4.1969075418112969E-2</v>
      </c>
      <c r="G86" s="64">
        <v>4.3729671123960971E-2</v>
      </c>
      <c r="H86" s="268"/>
      <c r="I86" s="53">
        <v>26</v>
      </c>
      <c r="J86" s="277">
        <v>2.6155858142934071E-3</v>
      </c>
      <c r="K86" s="63">
        <v>1.9188042819632397E-3</v>
      </c>
      <c r="L86" s="72">
        <v>1.826595226497808E-3</v>
      </c>
      <c r="M86" s="347">
        <v>3.7241017571466035E-2</v>
      </c>
      <c r="N86" s="63">
        <v>3.4103410341034104E-2</v>
      </c>
      <c r="O86" s="64">
        <v>3.3808553971486764E-2</v>
      </c>
      <c r="P86" s="270"/>
      <c r="Q86" s="336"/>
      <c r="R86" s="497"/>
      <c r="S86" s="497"/>
      <c r="T86" s="401"/>
      <c r="U86" s="401"/>
      <c r="V86" s="404"/>
      <c r="W86" s="404"/>
      <c r="X86" s="401"/>
      <c r="Y86" s="401"/>
      <c r="AA86" s="387"/>
      <c r="AB86" s="402"/>
      <c r="AC86" s="395"/>
      <c r="AD86" s="395"/>
      <c r="AE86" s="396"/>
      <c r="AF86" s="396"/>
      <c r="AG86" s="396"/>
    </row>
    <row r="87" spans="1:35" x14ac:dyDescent="0.2">
      <c r="A87" s="53">
        <v>27</v>
      </c>
      <c r="B87" s="277">
        <v>1.8431535763125037E-3</v>
      </c>
      <c r="C87" s="63">
        <v>2.0866925922412975E-3</v>
      </c>
      <c r="D87" s="72">
        <v>2.4257826036733279E-3</v>
      </c>
      <c r="E87" s="347">
        <v>3.7565059968318625E-2</v>
      </c>
      <c r="F87" s="63">
        <v>3.8182391921741873E-2</v>
      </c>
      <c r="G87" s="64">
        <v>3.8308637513552582E-2</v>
      </c>
      <c r="H87" s="268"/>
      <c r="I87" s="53">
        <v>27</v>
      </c>
      <c r="J87" s="277">
        <v>2.6925148088314485E-3</v>
      </c>
      <c r="K87" s="63">
        <v>2.3227630781660269E-3</v>
      </c>
      <c r="L87" s="72">
        <v>2.5572333170969315E-3</v>
      </c>
      <c r="M87" s="347">
        <v>3.5929714135851033E-2</v>
      </c>
      <c r="N87" s="63">
        <v>3.0803080308030802E-2</v>
      </c>
      <c r="O87" s="64">
        <v>2.9327902240325866E-2</v>
      </c>
      <c r="P87" s="270"/>
      <c r="Q87" s="336"/>
      <c r="R87" s="497"/>
      <c r="S87" s="497"/>
      <c r="T87" s="401"/>
      <c r="U87" s="401"/>
      <c r="V87" s="404"/>
      <c r="W87" s="404"/>
      <c r="X87" s="401"/>
      <c r="Y87" s="401"/>
      <c r="AA87" s="387"/>
      <c r="AB87" s="402"/>
      <c r="AC87" s="395"/>
      <c r="AD87" s="395"/>
      <c r="AE87" s="396"/>
      <c r="AF87" s="396"/>
      <c r="AG87" s="396"/>
    </row>
    <row r="88" spans="1:35" x14ac:dyDescent="0.2">
      <c r="A88" s="53">
        <v>28</v>
      </c>
      <c r="B88" s="277">
        <v>1.4864141744455675E-3</v>
      </c>
      <c r="C88" s="63">
        <v>1.6124442758228207E-3</v>
      </c>
      <c r="D88" s="72">
        <v>1.8482153170844404E-3</v>
      </c>
      <c r="E88" s="347">
        <v>3.960171984611903E-2</v>
      </c>
      <c r="F88" s="63">
        <v>3.881350583780372E-2</v>
      </c>
      <c r="G88" s="64">
        <v>3.9754246476328151E-2</v>
      </c>
      <c r="H88" s="268"/>
      <c r="I88" s="53">
        <v>28</v>
      </c>
      <c r="J88" s="277">
        <v>2.5386568197553658E-3</v>
      </c>
      <c r="K88" s="63">
        <v>2.5247424762674209E-3</v>
      </c>
      <c r="L88" s="72">
        <v>2.8007793472966391E-3</v>
      </c>
      <c r="M88" s="347">
        <v>3.8027799632835035E-2</v>
      </c>
      <c r="N88" s="63">
        <v>3.9603960396039604E-2</v>
      </c>
      <c r="O88" s="64">
        <v>4.0325865580448067E-2</v>
      </c>
      <c r="P88" s="324"/>
      <c r="Q88" s="336"/>
      <c r="R88" s="497"/>
      <c r="S88" s="497"/>
      <c r="T88" s="401"/>
      <c r="U88" s="401"/>
      <c r="V88" s="404"/>
      <c r="W88" s="404"/>
      <c r="X88" s="401"/>
      <c r="Y88" s="401"/>
      <c r="AA88" s="387"/>
      <c r="AB88" s="402"/>
      <c r="AC88" s="395"/>
      <c r="AD88" s="395"/>
      <c r="AE88" s="396"/>
      <c r="AF88" s="396"/>
      <c r="AG88" s="396"/>
    </row>
    <row r="89" spans="1:35" x14ac:dyDescent="0.2">
      <c r="A89" s="53">
        <v>29</v>
      </c>
      <c r="B89" s="277">
        <v>1.4864141744455675E-3</v>
      </c>
      <c r="C89" s="63">
        <v>1.42274494925543E-3</v>
      </c>
      <c r="D89" s="72">
        <v>1.5016749451311079E-3</v>
      </c>
      <c r="E89" s="347">
        <v>3.960171984611903E-2</v>
      </c>
      <c r="F89" s="63">
        <v>3.9444619753865574E-2</v>
      </c>
      <c r="G89" s="64">
        <v>4.0477050957715942E-2</v>
      </c>
      <c r="H89" s="268"/>
      <c r="I89" s="53">
        <v>29</v>
      </c>
      <c r="J89" s="277">
        <v>1.9232248634510347E-3</v>
      </c>
      <c r="K89" s="63">
        <v>1.110886689557665E-3</v>
      </c>
      <c r="L89" s="72">
        <v>1.2177301509985387E-3</v>
      </c>
      <c r="M89" s="347">
        <v>3.3307107264621036E-2</v>
      </c>
      <c r="N89" s="63">
        <v>3.3003300330033E-2</v>
      </c>
      <c r="O89" s="64">
        <v>3.2993890020366602E-2</v>
      </c>
      <c r="P89" s="324"/>
      <c r="Q89" s="336"/>
      <c r="R89" s="497"/>
      <c r="S89" s="497"/>
      <c r="T89" s="401"/>
      <c r="U89" s="401"/>
      <c r="V89" s="404"/>
      <c r="W89" s="404"/>
      <c r="X89" s="401"/>
      <c r="Y89" s="401"/>
      <c r="AA89" s="387"/>
      <c r="AB89" s="402"/>
      <c r="AC89" s="396"/>
      <c r="AD89" s="396"/>
      <c r="AE89" s="396"/>
      <c r="AF89" s="396"/>
      <c r="AG89" s="396"/>
    </row>
    <row r="90" spans="1:35" x14ac:dyDescent="0.2">
      <c r="A90" s="54" t="s">
        <v>25</v>
      </c>
      <c r="B90" s="280">
        <v>1.0999999999999999E-2</v>
      </c>
      <c r="C90" s="66">
        <v>1.2999999999999999E-2</v>
      </c>
      <c r="D90" s="74">
        <v>1.4E-2</v>
      </c>
      <c r="E90" s="266">
        <v>0.56999999999999995</v>
      </c>
      <c r="F90" s="66">
        <v>0.51600000000000001</v>
      </c>
      <c r="G90" s="67">
        <v>0.51800000000000002</v>
      </c>
      <c r="H90" s="268"/>
      <c r="I90" s="54" t="s">
        <v>25</v>
      </c>
      <c r="J90" s="280">
        <v>1.9539964612662511E-2</v>
      </c>
      <c r="K90" s="66">
        <v>1.8784084023429608E-2</v>
      </c>
      <c r="L90" s="74">
        <v>2.0579639551875306E-2</v>
      </c>
      <c r="M90" s="266">
        <v>0.42932074482035143</v>
      </c>
      <c r="N90" s="66">
        <v>0.45947928126145948</v>
      </c>
      <c r="O90" s="67">
        <v>0.46843177189409368</v>
      </c>
      <c r="P90" s="270"/>
      <c r="Q90" s="336"/>
      <c r="R90" s="401"/>
      <c r="S90" s="401"/>
      <c r="T90" s="401"/>
      <c r="U90" s="401"/>
      <c r="V90" s="404"/>
      <c r="W90" s="404"/>
      <c r="X90" s="401"/>
      <c r="Y90" s="401"/>
      <c r="AA90" s="387"/>
      <c r="AB90" s="403"/>
      <c r="AC90" s="397"/>
      <c r="AD90" s="396"/>
      <c r="AE90" s="396"/>
      <c r="AF90" s="397"/>
      <c r="AG90" s="396"/>
    </row>
    <row r="91" spans="1:35" ht="13.5" thickBot="1" x14ac:dyDescent="0.25">
      <c r="A91" s="29" t="s">
        <v>26</v>
      </c>
      <c r="B91" s="228">
        <v>20</v>
      </c>
      <c r="C91" s="229">
        <v>20.079999999999998</v>
      </c>
      <c r="D91" s="230">
        <v>20.149999999999999</v>
      </c>
      <c r="E91" s="231">
        <v>30.87</v>
      </c>
      <c r="F91" s="229">
        <v>31</v>
      </c>
      <c r="G91" s="232">
        <v>31.07</v>
      </c>
      <c r="H91" s="268"/>
      <c r="I91" s="29" t="s">
        <v>26</v>
      </c>
      <c r="J91" s="228">
        <v>20.185014231863988</v>
      </c>
      <c r="K91" s="229">
        <v>20.182589375883659</v>
      </c>
      <c r="L91" s="230">
        <v>20.268753044325379</v>
      </c>
      <c r="M91" s="231">
        <v>29.200104904274848</v>
      </c>
      <c r="N91" s="229">
        <v>29.850751741840849</v>
      </c>
      <c r="O91" s="232">
        <v>29.982892057026476</v>
      </c>
      <c r="P91" s="270"/>
      <c r="Q91" s="336"/>
      <c r="R91" s="401"/>
      <c r="S91" s="401"/>
      <c r="T91" s="401"/>
      <c r="U91" s="401"/>
      <c r="V91" s="404"/>
      <c r="W91" s="404"/>
      <c r="X91" s="401"/>
      <c r="Y91" s="401"/>
      <c r="AB91" s="397"/>
      <c r="AC91" s="397"/>
      <c r="AD91" s="397"/>
      <c r="AE91" s="397"/>
      <c r="AF91" s="397"/>
      <c r="AG91" s="397"/>
      <c r="AI91" s="399"/>
    </row>
    <row r="92" spans="1:35" ht="13.5" thickTop="1" x14ac:dyDescent="0.2">
      <c r="A92" s="268"/>
      <c r="B92" s="302"/>
      <c r="C92" s="302"/>
      <c r="D92" s="302"/>
      <c r="E92" s="302"/>
      <c r="F92" s="302"/>
      <c r="G92" s="302"/>
      <c r="H92" s="268"/>
      <c r="I92" s="302"/>
      <c r="J92" s="356"/>
      <c r="K92" s="356"/>
      <c r="L92" s="354"/>
      <c r="M92" s="354"/>
      <c r="N92" s="354"/>
      <c r="O92" s="355"/>
      <c r="P92" s="270"/>
      <c r="Q92" s="336"/>
      <c r="R92" s="401"/>
      <c r="S92" s="401"/>
      <c r="T92" s="401"/>
      <c r="U92" s="401"/>
      <c r="V92" s="404"/>
      <c r="W92" s="404"/>
      <c r="X92" s="401"/>
      <c r="Y92" s="401"/>
    </row>
    <row r="93" spans="1:35" ht="13.5" thickBot="1" x14ac:dyDescent="0.25">
      <c r="A93" s="26" t="s">
        <v>108</v>
      </c>
      <c r="B93" s="268"/>
      <c r="C93" s="268"/>
      <c r="D93" s="268"/>
      <c r="E93" s="268"/>
      <c r="F93" s="268"/>
      <c r="G93" s="268"/>
      <c r="H93" s="268"/>
      <c r="I93" s="26" t="s">
        <v>118</v>
      </c>
      <c r="J93" s="268"/>
      <c r="K93" s="268"/>
      <c r="L93" s="268"/>
      <c r="M93" s="268"/>
      <c r="N93" s="268"/>
      <c r="O93" s="268"/>
      <c r="P93" s="326"/>
      <c r="Q93" s="401"/>
      <c r="R93" s="401"/>
      <c r="S93" s="401"/>
      <c r="T93" s="401"/>
      <c r="U93" s="401"/>
      <c r="V93" s="404"/>
      <c r="W93" s="404"/>
      <c r="X93" s="401"/>
      <c r="Y93" s="401"/>
      <c r="Z93" s="397"/>
      <c r="AA93" s="397"/>
      <c r="AB93" s="397"/>
    </row>
    <row r="94" spans="1:35" ht="51.75" thickTop="1" x14ac:dyDescent="0.2">
      <c r="A94" s="27" t="s">
        <v>109</v>
      </c>
      <c r="B94" s="442" t="s">
        <v>103</v>
      </c>
      <c r="C94" s="443" t="s">
        <v>104</v>
      </c>
      <c r="D94" s="444" t="s">
        <v>105</v>
      </c>
      <c r="E94" s="445" t="s">
        <v>103</v>
      </c>
      <c r="F94" s="443" t="s">
        <v>104</v>
      </c>
      <c r="G94" s="446" t="s">
        <v>105</v>
      </c>
      <c r="H94" s="268"/>
      <c r="I94" s="27" t="s">
        <v>119</v>
      </c>
      <c r="J94" s="442" t="s">
        <v>103</v>
      </c>
      <c r="K94" s="443" t="s">
        <v>104</v>
      </c>
      <c r="L94" s="444" t="s">
        <v>105</v>
      </c>
      <c r="M94" s="445" t="s">
        <v>103</v>
      </c>
      <c r="N94" s="443" t="s">
        <v>104</v>
      </c>
      <c r="O94" s="446" t="s">
        <v>105</v>
      </c>
      <c r="P94" s="326"/>
      <c r="Q94" s="401"/>
      <c r="R94" s="401"/>
      <c r="S94" s="401"/>
      <c r="T94" s="401"/>
      <c r="U94" s="401"/>
      <c r="V94" s="404"/>
      <c r="W94" s="404"/>
      <c r="X94" s="401"/>
      <c r="Y94" s="401"/>
    </row>
    <row r="95" spans="1:35" ht="13.5" thickBot="1" x14ac:dyDescent="0.25">
      <c r="A95" s="28"/>
      <c r="B95" s="56" t="s">
        <v>90</v>
      </c>
      <c r="C95" s="57"/>
      <c r="D95" s="68"/>
      <c r="E95" s="69" t="s">
        <v>97</v>
      </c>
      <c r="F95" s="57"/>
      <c r="G95" s="58"/>
      <c r="H95" s="268"/>
      <c r="I95" s="28"/>
      <c r="J95" s="56" t="s">
        <v>90</v>
      </c>
      <c r="K95" s="57"/>
      <c r="L95" s="68"/>
      <c r="M95" s="69" t="s">
        <v>97</v>
      </c>
      <c r="N95" s="57"/>
      <c r="O95" s="58"/>
      <c r="P95" s="326"/>
      <c r="Q95" s="401"/>
      <c r="R95" s="401"/>
      <c r="S95" s="401"/>
      <c r="T95" s="401"/>
      <c r="U95" s="401"/>
      <c r="V95" s="404"/>
      <c r="W95" s="404"/>
      <c r="X95" s="401"/>
      <c r="Y95" s="401"/>
    </row>
    <row r="96" spans="1:35" ht="13.5" thickTop="1" x14ac:dyDescent="0.2">
      <c r="A96" s="52">
        <v>18</v>
      </c>
      <c r="B96" s="360">
        <v>3.8861071668784097E-3</v>
      </c>
      <c r="C96" s="60">
        <v>3.4702682423560305E-3</v>
      </c>
      <c r="D96" s="70">
        <v>3.1868882312770319E-3</v>
      </c>
      <c r="E96" s="71">
        <v>4.4964028776978414E-4</v>
      </c>
      <c r="F96" s="60">
        <v>6.4020486555697821E-4</v>
      </c>
      <c r="G96" s="61">
        <v>7.1633237822349568E-4</v>
      </c>
      <c r="H96" s="268"/>
      <c r="I96" s="52">
        <v>18</v>
      </c>
      <c r="J96" s="360">
        <v>5.7705840957072482E-3</v>
      </c>
      <c r="K96" s="60">
        <v>6.1616527727437476E-3</v>
      </c>
      <c r="L96" s="70">
        <v>6.0406952098346761E-3</v>
      </c>
      <c r="M96" s="71">
        <v>5.9999999999999995E-4</v>
      </c>
      <c r="N96" s="60">
        <v>2.8826751225136929E-4</v>
      </c>
      <c r="O96" s="61">
        <v>3.2247662044501772E-4</v>
      </c>
      <c r="P96" s="356"/>
      <c r="Q96" s="356"/>
      <c r="R96" s="404"/>
      <c r="S96" s="404"/>
      <c r="T96" s="404"/>
      <c r="U96" s="404"/>
      <c r="V96" s="404"/>
      <c r="W96" s="404"/>
      <c r="X96" s="401"/>
      <c r="Y96" s="401"/>
    </row>
    <row r="97" spans="1:25" x14ac:dyDescent="0.2">
      <c r="A97" s="53">
        <v>19</v>
      </c>
      <c r="B97" s="277">
        <v>0.50429713773260598</v>
      </c>
      <c r="C97" s="63">
        <v>0.49746764209341587</v>
      </c>
      <c r="D97" s="72">
        <v>0.4792852264966993</v>
      </c>
      <c r="E97" s="348">
        <v>5.8228417266187049E-2</v>
      </c>
      <c r="F97" s="63">
        <v>5.1536491677336746E-2</v>
      </c>
      <c r="G97" s="64">
        <v>4.6919770773638972E-2</v>
      </c>
      <c r="H97" s="268"/>
      <c r="I97" s="53">
        <v>19</v>
      </c>
      <c r="J97" s="277">
        <v>0.49007741027445462</v>
      </c>
      <c r="K97" s="63">
        <v>0.48142442914099309</v>
      </c>
      <c r="L97" s="72">
        <v>0.468524798643493</v>
      </c>
      <c r="M97" s="348">
        <v>5.1999999999999998E-2</v>
      </c>
      <c r="N97" s="63">
        <v>4.9582012107235514E-2</v>
      </c>
      <c r="O97" s="64">
        <v>4.385682038052241E-2</v>
      </c>
      <c r="P97" s="356"/>
      <c r="Q97" s="356"/>
      <c r="R97" s="404"/>
      <c r="S97" s="404"/>
      <c r="T97" s="404"/>
      <c r="U97" s="404"/>
      <c r="V97" s="404"/>
      <c r="W97" s="404"/>
      <c r="X97" s="401"/>
      <c r="Y97" s="401"/>
    </row>
    <row r="98" spans="1:25" x14ac:dyDescent="0.2">
      <c r="A98" s="53">
        <v>20</v>
      </c>
      <c r="B98" s="277">
        <v>0.27725879979074808</v>
      </c>
      <c r="C98" s="63">
        <v>0.27912211592571751</v>
      </c>
      <c r="D98" s="72">
        <v>0.28750284543592075</v>
      </c>
      <c r="E98" s="347">
        <v>7.9361510791366913E-2</v>
      </c>
      <c r="F98" s="63">
        <v>7.2343149807938531E-2</v>
      </c>
      <c r="G98" s="64">
        <v>7.1633237822349566E-2</v>
      </c>
      <c r="H98" s="268"/>
      <c r="I98" s="53">
        <v>20</v>
      </c>
      <c r="J98" s="277">
        <v>0.27424349049964813</v>
      </c>
      <c r="K98" s="63">
        <v>0.27799927509967381</v>
      </c>
      <c r="L98" s="72">
        <v>0.27956761339550656</v>
      </c>
      <c r="M98" s="347">
        <v>8.1199999999999994E-2</v>
      </c>
      <c r="N98" s="63">
        <v>7.7255693283366969E-2</v>
      </c>
      <c r="O98" s="64">
        <v>7.6104482425024184E-2</v>
      </c>
      <c r="P98" s="356"/>
      <c r="Q98" s="356"/>
      <c r="R98" s="404"/>
      <c r="S98" s="404"/>
      <c r="T98" s="404"/>
      <c r="U98" s="404"/>
      <c r="V98" s="404"/>
      <c r="W98" s="404"/>
      <c r="X98" s="401"/>
      <c r="Y98" s="401"/>
    </row>
    <row r="99" spans="1:25" x14ac:dyDescent="0.2">
      <c r="A99" s="53">
        <v>21</v>
      </c>
      <c r="B99" s="277">
        <v>9.9693595396457668E-2</v>
      </c>
      <c r="C99" s="63">
        <v>0.10213843556555993</v>
      </c>
      <c r="D99" s="72">
        <v>0.10664693831094924</v>
      </c>
      <c r="E99" s="347">
        <v>7.2841726618705027E-2</v>
      </c>
      <c r="F99" s="63">
        <v>6.7221510883482716E-2</v>
      </c>
      <c r="G99" s="64">
        <v>6.6618911174785106E-2</v>
      </c>
      <c r="H99" s="268"/>
      <c r="I99" s="53">
        <v>21</v>
      </c>
      <c r="J99" s="277">
        <v>0.10696692470091484</v>
      </c>
      <c r="K99" s="63">
        <v>0.10837259876766944</v>
      </c>
      <c r="L99" s="72">
        <v>0.11286562102585841</v>
      </c>
      <c r="M99" s="347">
        <v>7.2599999999999998E-2</v>
      </c>
      <c r="N99" s="63">
        <v>6.6013260305563565E-2</v>
      </c>
      <c r="O99" s="64">
        <v>6.3850370848113513E-2</v>
      </c>
      <c r="P99" s="356"/>
      <c r="Q99" s="356"/>
      <c r="R99" s="404"/>
      <c r="S99" s="404"/>
      <c r="T99" s="404"/>
      <c r="U99" s="404"/>
      <c r="V99" s="404"/>
      <c r="W99" s="404"/>
      <c r="X99" s="401"/>
      <c r="Y99" s="401"/>
    </row>
    <row r="100" spans="1:25" x14ac:dyDescent="0.2">
      <c r="A100" s="53">
        <v>22</v>
      </c>
      <c r="B100" s="277">
        <v>4.3120842986323897E-2</v>
      </c>
      <c r="C100" s="63">
        <v>4.3425248546238977E-2</v>
      </c>
      <c r="D100" s="72">
        <v>4.6437514227179601E-2</v>
      </c>
      <c r="E100" s="347">
        <v>6.1825539568345321E-2</v>
      </c>
      <c r="F100" s="63">
        <v>5.7618437900128043E-2</v>
      </c>
      <c r="G100" s="64">
        <v>5.730659025787966E-2</v>
      </c>
      <c r="H100" s="268"/>
      <c r="I100" s="53">
        <v>22</v>
      </c>
      <c r="J100" s="277">
        <v>4.6586910626319492E-2</v>
      </c>
      <c r="K100" s="63">
        <v>4.8296484233417904E-2</v>
      </c>
      <c r="L100" s="72">
        <v>5.1292920729122511E-2</v>
      </c>
      <c r="M100" s="347">
        <v>6.0400000000000002E-2</v>
      </c>
      <c r="N100" s="63">
        <v>5.5347362352262897E-2</v>
      </c>
      <c r="O100" s="64">
        <v>5.3531118993872945E-2</v>
      </c>
      <c r="P100" s="356"/>
      <c r="Q100" s="356"/>
      <c r="R100" s="404"/>
      <c r="S100" s="404"/>
      <c r="T100" s="404"/>
      <c r="U100" s="404"/>
      <c r="V100" s="404"/>
      <c r="W100" s="404"/>
      <c r="X100" s="401"/>
      <c r="Y100" s="401"/>
    </row>
    <row r="101" spans="1:25" x14ac:dyDescent="0.2">
      <c r="A101" s="53">
        <v>23</v>
      </c>
      <c r="B101" s="277">
        <v>2.4960765264180552E-2</v>
      </c>
      <c r="C101" s="63">
        <v>2.5042205965109737E-2</v>
      </c>
      <c r="D101" s="72">
        <v>2.5608923287047575E-2</v>
      </c>
      <c r="E101" s="347">
        <v>5.3956834532374105E-2</v>
      </c>
      <c r="F101" s="63">
        <v>5.3137003841229193E-2</v>
      </c>
      <c r="G101" s="64">
        <v>5.300859598853868E-2</v>
      </c>
      <c r="H101" s="268"/>
      <c r="I101" s="53">
        <v>23</v>
      </c>
      <c r="J101" s="277">
        <v>2.6741731175228711E-2</v>
      </c>
      <c r="K101" s="63">
        <v>2.6549474447263501E-2</v>
      </c>
      <c r="L101" s="72">
        <v>2.8401865197117421E-2</v>
      </c>
      <c r="M101" s="347">
        <v>5.0999999999999997E-2</v>
      </c>
      <c r="N101" s="63">
        <v>4.9293744594984146E-2</v>
      </c>
      <c r="O101" s="64">
        <v>4.8049016446307644E-2</v>
      </c>
      <c r="P101" s="356"/>
      <c r="Q101" s="356"/>
      <c r="R101" s="404"/>
      <c r="S101" s="404"/>
      <c r="T101" s="404"/>
      <c r="U101" s="404"/>
      <c r="V101" s="404"/>
      <c r="W101" s="404"/>
      <c r="X101" s="401"/>
      <c r="Y101" s="401"/>
    </row>
    <row r="102" spans="1:25" x14ac:dyDescent="0.2">
      <c r="A102" s="53">
        <v>24</v>
      </c>
      <c r="B102" s="277">
        <v>1.3227710933413048E-2</v>
      </c>
      <c r="C102" s="63">
        <v>1.4631401238041644E-2</v>
      </c>
      <c r="D102" s="72">
        <v>1.6048258593216479E-2</v>
      </c>
      <c r="E102" s="347">
        <v>5.3507194244604317E-2</v>
      </c>
      <c r="F102" s="63">
        <v>5.3137003841229193E-2</v>
      </c>
      <c r="G102" s="64">
        <v>5.2650429799426933E-2</v>
      </c>
      <c r="H102" s="268"/>
      <c r="I102" s="53">
        <v>24</v>
      </c>
      <c r="J102" s="277">
        <v>1.4004222378606615E-2</v>
      </c>
      <c r="K102" s="63">
        <v>1.3138818412468285E-2</v>
      </c>
      <c r="L102" s="72">
        <v>1.3459092835947435E-2</v>
      </c>
      <c r="M102" s="347">
        <v>5.0999999999999997E-2</v>
      </c>
      <c r="N102" s="63">
        <v>5.1599884692995097E-2</v>
      </c>
      <c r="O102" s="64">
        <v>5.3208642373427928E-2</v>
      </c>
      <c r="P102" s="356"/>
      <c r="Q102" s="356"/>
      <c r="R102" s="404"/>
      <c r="S102" s="404"/>
      <c r="T102" s="404"/>
      <c r="U102" s="404"/>
      <c r="V102" s="404"/>
      <c r="W102" s="404"/>
      <c r="X102" s="401"/>
      <c r="Y102" s="401"/>
    </row>
    <row r="103" spans="1:25" x14ac:dyDescent="0.2">
      <c r="A103" s="53">
        <v>25</v>
      </c>
      <c r="B103" s="277">
        <v>5.9786264105821689E-3</v>
      </c>
      <c r="C103" s="63">
        <v>5.5336709810542119E-3</v>
      </c>
      <c r="D103" s="72">
        <v>6.2599590257227415E-3</v>
      </c>
      <c r="E103" s="347">
        <v>4.5863309352517992E-2</v>
      </c>
      <c r="F103" s="63">
        <v>4.5774647887323938E-2</v>
      </c>
      <c r="G103" s="64">
        <v>4.6203438395415478E-2</v>
      </c>
      <c r="H103" s="268"/>
      <c r="I103" s="53">
        <v>25</v>
      </c>
      <c r="J103" s="277">
        <v>7.5299085151301903E-3</v>
      </c>
      <c r="K103" s="63">
        <v>7.8832910474809711E-3</v>
      </c>
      <c r="L103" s="72">
        <v>7.7363289529461636E-3</v>
      </c>
      <c r="M103" s="347">
        <v>4.2200000000000001E-2</v>
      </c>
      <c r="N103" s="63">
        <v>4.2663591813202652E-2</v>
      </c>
      <c r="O103" s="64">
        <v>4.385682038052241E-2</v>
      </c>
      <c r="P103" s="356"/>
      <c r="Q103" s="356"/>
      <c r="R103" s="404"/>
      <c r="S103" s="404"/>
      <c r="T103" s="404"/>
      <c r="U103" s="404"/>
      <c r="V103" s="404"/>
      <c r="W103" s="404"/>
      <c r="X103" s="401"/>
      <c r="Y103" s="401"/>
    </row>
    <row r="104" spans="1:25" x14ac:dyDescent="0.2">
      <c r="A104" s="53">
        <v>26</v>
      </c>
      <c r="B104" s="277">
        <v>2.9893132052910844E-3</v>
      </c>
      <c r="C104" s="63">
        <v>2.9075220408928907E-3</v>
      </c>
      <c r="D104" s="72">
        <v>3.0730707944457091E-3</v>
      </c>
      <c r="E104" s="347">
        <v>3.8444244604316544E-2</v>
      </c>
      <c r="F104" s="63">
        <v>3.9372599231754159E-2</v>
      </c>
      <c r="G104" s="64">
        <v>3.6891117478510031E-2</v>
      </c>
      <c r="H104" s="268"/>
      <c r="I104" s="53">
        <v>26</v>
      </c>
      <c r="J104" s="277">
        <v>3.8705137227304713E-3</v>
      </c>
      <c r="K104" s="63">
        <v>3.4432765494744472E-3</v>
      </c>
      <c r="L104" s="72">
        <v>3.2852903772785077E-3</v>
      </c>
      <c r="M104" s="347">
        <v>3.6600000000000001E-2</v>
      </c>
      <c r="N104" s="63">
        <v>3.2862496396656095E-2</v>
      </c>
      <c r="O104" s="64">
        <v>3.3537568526281841E-2</v>
      </c>
      <c r="P104" s="356"/>
      <c r="Q104" s="356"/>
      <c r="R104" s="404"/>
      <c r="S104" s="404"/>
      <c r="T104" s="404"/>
      <c r="U104" s="404"/>
      <c r="V104" s="404"/>
      <c r="W104" s="404"/>
      <c r="X104" s="401"/>
      <c r="Y104" s="401"/>
    </row>
    <row r="105" spans="1:25" x14ac:dyDescent="0.2">
      <c r="A105" s="53">
        <v>27</v>
      </c>
      <c r="B105" s="277">
        <v>2.615649054629699E-3</v>
      </c>
      <c r="C105" s="63">
        <v>2.2509848058525606E-3</v>
      </c>
      <c r="D105" s="72">
        <v>2.2763487366264513E-3</v>
      </c>
      <c r="E105" s="347">
        <v>3.8893884892086332E-2</v>
      </c>
      <c r="F105" s="63">
        <v>3.8412291933418691E-2</v>
      </c>
      <c r="G105" s="64">
        <v>3.7965616045845273E-2</v>
      </c>
      <c r="H105" s="268"/>
      <c r="I105" s="53">
        <v>27</v>
      </c>
      <c r="J105" s="277">
        <v>2.3926812104152007E-3</v>
      </c>
      <c r="K105" s="63">
        <v>2.627763682493657E-3</v>
      </c>
      <c r="L105" s="72">
        <v>2.5434506146672321E-3</v>
      </c>
      <c r="M105" s="347">
        <v>3.8399999999999997E-2</v>
      </c>
      <c r="N105" s="63">
        <v>3.4880368982415678E-2</v>
      </c>
      <c r="O105" s="64">
        <v>3.4504998387616899E-2</v>
      </c>
      <c r="P105" s="356"/>
      <c r="Q105" s="356"/>
      <c r="R105" s="404"/>
      <c r="S105" s="404"/>
      <c r="T105" s="404"/>
      <c r="U105" s="404"/>
      <c r="V105" s="404"/>
      <c r="W105" s="404"/>
      <c r="X105" s="401"/>
      <c r="Y105" s="401"/>
    </row>
    <row r="106" spans="1:25" x14ac:dyDescent="0.2">
      <c r="A106" s="53">
        <v>28</v>
      </c>
      <c r="B106" s="277">
        <v>2.7651147148942527E-3</v>
      </c>
      <c r="C106" s="63">
        <v>2.9075220408928907E-3</v>
      </c>
      <c r="D106" s="72">
        <v>2.1625312997951285E-3</v>
      </c>
      <c r="E106" s="347">
        <v>3.5746402877697842E-2</v>
      </c>
      <c r="F106" s="63">
        <v>3.5851472471190783E-2</v>
      </c>
      <c r="G106" s="64">
        <v>3.7249283667621778E-2</v>
      </c>
      <c r="H106" s="268"/>
      <c r="I106" s="53">
        <v>28</v>
      </c>
      <c r="J106" s="277">
        <v>2.1815622800844476E-3</v>
      </c>
      <c r="K106" s="63">
        <v>1.9028633562885103E-3</v>
      </c>
      <c r="L106" s="72">
        <v>2.1195421788893598E-3</v>
      </c>
      <c r="M106" s="347">
        <v>3.3799999999999997E-2</v>
      </c>
      <c r="N106" s="63">
        <v>3.6321706543672526E-2</v>
      </c>
      <c r="O106" s="64">
        <v>3.4827475008061916E-2</v>
      </c>
      <c r="P106" s="356"/>
      <c r="Q106" s="356"/>
      <c r="R106" s="404"/>
      <c r="S106" s="404"/>
      <c r="T106" s="404"/>
      <c r="U106" s="404"/>
      <c r="V106" s="404"/>
      <c r="W106" s="404"/>
      <c r="X106" s="401"/>
      <c r="Y106" s="401"/>
    </row>
    <row r="107" spans="1:25" x14ac:dyDescent="0.2">
      <c r="A107" s="53">
        <v>29</v>
      </c>
      <c r="B107" s="277">
        <v>1.7935879231746508E-3</v>
      </c>
      <c r="C107" s="63">
        <v>1.8758206715438002E-3</v>
      </c>
      <c r="D107" s="72">
        <v>2.1625312997951285E-3</v>
      </c>
      <c r="E107" s="347">
        <v>3.2823741007194242E-2</v>
      </c>
      <c r="F107" s="63">
        <v>3.4250960307298337E-2</v>
      </c>
      <c r="G107" s="64">
        <v>3.4025787965616047E-2</v>
      </c>
      <c r="H107" s="268"/>
      <c r="I107" s="53">
        <v>29</v>
      </c>
      <c r="J107" s="277">
        <v>9.1484869809992965E-4</v>
      </c>
      <c r="K107" s="63">
        <v>9.0612540775643347E-4</v>
      </c>
      <c r="L107" s="72">
        <v>1.0597710894446799E-3</v>
      </c>
      <c r="M107" s="347">
        <v>2.4799999999999999E-2</v>
      </c>
      <c r="N107" s="63">
        <v>2.5655808590371865E-2</v>
      </c>
      <c r="O107" s="64">
        <v>2.5475653015156401E-2</v>
      </c>
      <c r="P107" s="356"/>
      <c r="Q107" s="356"/>
      <c r="R107" s="404"/>
      <c r="S107" s="404"/>
      <c r="T107" s="404"/>
      <c r="U107" s="404"/>
      <c r="V107" s="404"/>
      <c r="W107" s="404"/>
      <c r="X107" s="401"/>
      <c r="Y107" s="401"/>
    </row>
    <row r="108" spans="1:25" x14ac:dyDescent="0.2">
      <c r="A108" s="54" t="s">
        <v>25</v>
      </c>
      <c r="B108" s="280">
        <v>1.6964352440026906E-2</v>
      </c>
      <c r="C108" s="66">
        <v>1.8945788782592385E-2</v>
      </c>
      <c r="D108" s="74">
        <v>1.9007511950830867E-2</v>
      </c>
      <c r="E108" s="266">
        <v>0.42805755395683454</v>
      </c>
      <c r="F108" s="66">
        <v>0.45070422535211263</v>
      </c>
      <c r="G108" s="67">
        <v>0.45881088825214905</v>
      </c>
      <c r="H108" s="268"/>
      <c r="I108" s="54" t="s">
        <v>25</v>
      </c>
      <c r="J108" s="280">
        <v>1.8719211822660099E-2</v>
      </c>
      <c r="K108" s="66">
        <v>2.1293947082276186E-2</v>
      </c>
      <c r="L108" s="74">
        <v>2.3103009749894023E-2</v>
      </c>
      <c r="M108" s="266">
        <v>0.45540000000000003</v>
      </c>
      <c r="N108" s="66">
        <v>0.47823580282502159</v>
      </c>
      <c r="O108" s="67">
        <v>0.4888745565946469</v>
      </c>
      <c r="P108" s="356"/>
      <c r="Q108" s="356"/>
      <c r="R108" s="404"/>
      <c r="S108" s="404"/>
      <c r="T108" s="404"/>
      <c r="U108" s="404"/>
      <c r="V108" s="404"/>
      <c r="W108" s="404"/>
      <c r="X108" s="401"/>
      <c r="Y108" s="401"/>
    </row>
    <row r="109" spans="1:25" ht="13.5" thickBot="1" x14ac:dyDescent="0.25">
      <c r="A109" s="29" t="s">
        <v>26</v>
      </c>
      <c r="B109" s="228">
        <v>20.183775700934579</v>
      </c>
      <c r="C109" s="229">
        <v>20.229852706632894</v>
      </c>
      <c r="D109" s="230">
        <v>20.276670841398154</v>
      </c>
      <c r="E109" s="231">
        <v>29.194469424460433</v>
      </c>
      <c r="F109" s="229">
        <v>29.750640204865558</v>
      </c>
      <c r="G109" s="232">
        <v>29.878939828080231</v>
      </c>
      <c r="H109" s="268"/>
      <c r="I109" s="29" t="s">
        <v>26</v>
      </c>
      <c r="J109" s="228">
        <v>20.240253342716397</v>
      </c>
      <c r="K109" s="229">
        <v>20.298930772018846</v>
      </c>
      <c r="L109" s="230">
        <v>20.36339550657058</v>
      </c>
      <c r="M109" s="231">
        <v>29.838799999999999</v>
      </c>
      <c r="N109" s="229">
        <v>30.41885269530124</v>
      </c>
      <c r="O109" s="232">
        <v>30.636568848758465</v>
      </c>
      <c r="P109" s="326"/>
      <c r="Q109" s="515"/>
      <c r="R109" s="516"/>
      <c r="S109" s="516"/>
      <c r="T109" s="516"/>
      <c r="U109" s="516"/>
      <c r="V109" s="516"/>
      <c r="W109" s="404"/>
      <c r="X109" s="401"/>
      <c r="Y109" s="401"/>
    </row>
    <row r="110" spans="1:25" ht="13.5" thickTop="1" x14ac:dyDescent="0.2">
      <c r="A110" s="362"/>
      <c r="B110" s="498"/>
      <c r="C110" s="498"/>
      <c r="D110" s="498"/>
      <c r="E110" s="498"/>
      <c r="F110" s="498"/>
      <c r="G110" s="498"/>
      <c r="H110" s="268"/>
      <c r="I110" s="302"/>
      <c r="J110" s="356"/>
      <c r="K110" s="356"/>
      <c r="L110" s="356"/>
      <c r="M110" s="356"/>
      <c r="N110" s="356"/>
      <c r="O110" s="356"/>
      <c r="P110" s="326"/>
      <c r="Q110" s="326"/>
      <c r="R110" s="401"/>
      <c r="S110" s="401"/>
      <c r="T110" s="401"/>
      <c r="U110" s="404"/>
      <c r="V110" s="404"/>
      <c r="W110" s="404"/>
      <c r="X110" s="401"/>
      <c r="Y110" s="401"/>
    </row>
    <row r="111" spans="1:25" ht="13.5" thickBot="1" x14ac:dyDescent="0.25">
      <c r="A111" s="26" t="s">
        <v>121</v>
      </c>
      <c r="B111" s="268"/>
      <c r="C111" s="268"/>
      <c r="D111" s="268"/>
      <c r="E111" s="268"/>
      <c r="F111" s="268"/>
      <c r="G111" s="268"/>
      <c r="I111" s="26" t="s">
        <v>132</v>
      </c>
      <c r="J111" s="268"/>
      <c r="K111" s="268"/>
      <c r="L111" s="268"/>
      <c r="M111" s="268"/>
      <c r="N111" s="268"/>
      <c r="O111" s="268"/>
      <c r="P111" s="16"/>
    </row>
    <row r="112" spans="1:25" ht="51.75" thickTop="1" x14ac:dyDescent="0.2">
      <c r="A112" s="27" t="s">
        <v>131</v>
      </c>
      <c r="B112" s="442" t="s">
        <v>103</v>
      </c>
      <c r="C112" s="443" t="s">
        <v>104</v>
      </c>
      <c r="D112" s="444" t="s">
        <v>105</v>
      </c>
      <c r="E112" s="445" t="s">
        <v>103</v>
      </c>
      <c r="F112" s="443" t="s">
        <v>104</v>
      </c>
      <c r="G112" s="446" t="s">
        <v>105</v>
      </c>
      <c r="I112" s="27" t="s">
        <v>135</v>
      </c>
      <c r="J112" s="442" t="s">
        <v>103</v>
      </c>
      <c r="K112" s="443" t="s">
        <v>104</v>
      </c>
      <c r="L112" s="444" t="s">
        <v>105</v>
      </c>
      <c r="M112" s="445" t="s">
        <v>103</v>
      </c>
      <c r="N112" s="443" t="s">
        <v>104</v>
      </c>
      <c r="O112" s="446" t="s">
        <v>105</v>
      </c>
      <c r="P112" s="16"/>
    </row>
    <row r="113" spans="1:17" ht="13.5" thickBot="1" x14ac:dyDescent="0.25">
      <c r="A113" s="28"/>
      <c r="B113" s="56" t="s">
        <v>90</v>
      </c>
      <c r="C113" s="57"/>
      <c r="D113" s="68"/>
      <c r="E113" s="69" t="s">
        <v>97</v>
      </c>
      <c r="F113" s="57"/>
      <c r="G113" s="58"/>
      <c r="I113" s="28"/>
      <c r="J113" s="56" t="s">
        <v>90</v>
      </c>
      <c r="K113" s="57"/>
      <c r="L113" s="68"/>
      <c r="M113" s="69" t="s">
        <v>97</v>
      </c>
      <c r="N113" s="57"/>
      <c r="O113" s="58"/>
      <c r="P113" s="16"/>
    </row>
    <row r="114" spans="1:17" ht="13.5" thickTop="1" x14ac:dyDescent="0.2">
      <c r="A114" s="52">
        <v>18</v>
      </c>
      <c r="B114" s="360">
        <v>3.7944903999392885E-3</v>
      </c>
      <c r="C114" s="60">
        <v>4.0260736196319029E-3</v>
      </c>
      <c r="D114" s="70">
        <v>4.0174471992653797E-3</v>
      </c>
      <c r="E114" s="71">
        <v>4.037956793862303E-4</v>
      </c>
      <c r="F114" s="60">
        <v>5.8088875980249772E-4</v>
      </c>
      <c r="G114" s="61">
        <v>6.4412238325281795E-4</v>
      </c>
      <c r="I114" s="52">
        <v>18</v>
      </c>
      <c r="J114" s="360">
        <f>+List1!M6</f>
        <v>5.0200803212851397E-3</v>
      </c>
      <c r="K114" s="60">
        <f>+List1!N6</f>
        <v>5.0086688499325766E-3</v>
      </c>
      <c r="L114" s="70">
        <f>+List1!O6</f>
        <v>5.163317993040744E-3</v>
      </c>
      <c r="M114" s="71">
        <f>+List1!J6</f>
        <v>2.0559210526315791E-4</v>
      </c>
      <c r="N114" s="60">
        <f>+List1!K6</f>
        <v>2.8860028860028855E-4</v>
      </c>
      <c r="O114" s="61">
        <f>+List1!L6</f>
        <v>3.1776294884016521E-4</v>
      </c>
      <c r="P114" s="16"/>
      <c r="Q114" s="320"/>
    </row>
    <row r="115" spans="1:17" x14ac:dyDescent="0.2">
      <c r="A115" s="53">
        <v>19</v>
      </c>
      <c r="B115" s="277">
        <v>0.44441071564088941</v>
      </c>
      <c r="C115" s="63">
        <v>0.44315567484662588</v>
      </c>
      <c r="D115" s="72">
        <v>0.43067033976124874</v>
      </c>
      <c r="E115" s="348">
        <v>4.8657379366040754E-2</v>
      </c>
      <c r="F115" s="63">
        <v>3.6305547487656104E-2</v>
      </c>
      <c r="G115" s="64">
        <v>3.2528180354267307E-2</v>
      </c>
      <c r="I115" s="53">
        <v>19</v>
      </c>
      <c r="J115" s="277">
        <f>+List1!M7</f>
        <v>0.43751930800123573</v>
      </c>
      <c r="K115" s="63">
        <f>+List1!N7</f>
        <v>0.43257561163552311</v>
      </c>
      <c r="L115" s="72">
        <f>+List1!O7</f>
        <v>0.42327982938601411</v>
      </c>
      <c r="M115" s="348">
        <f>+List1!J7</f>
        <v>4.8519736842105268E-2</v>
      </c>
      <c r="N115" s="63">
        <f>+List1!K7</f>
        <v>4.2135642135642123E-2</v>
      </c>
      <c r="O115" s="64">
        <f>+List1!L7</f>
        <v>3.8767079758500161E-2</v>
      </c>
      <c r="P115" s="16"/>
    </row>
    <row r="116" spans="1:17" x14ac:dyDescent="0.2">
      <c r="A116" s="53">
        <v>20</v>
      </c>
      <c r="B116" s="277">
        <v>0.30545647719511271</v>
      </c>
      <c r="C116" s="63">
        <v>0.30310582822085896</v>
      </c>
      <c r="D116" s="72">
        <v>0.30234159779614322</v>
      </c>
      <c r="E116" s="347">
        <v>8.5806581869573947E-2</v>
      </c>
      <c r="F116" s="63">
        <v>8.3357537031658421E-2</v>
      </c>
      <c r="G116" s="64">
        <v>7.9871175523349436E-2</v>
      </c>
      <c r="I116" s="53">
        <v>20</v>
      </c>
      <c r="J116" s="277">
        <f>+List1!M8</f>
        <v>0.28336422613531048</v>
      </c>
      <c r="K116" s="63">
        <f>+List1!N8</f>
        <v>0.28867270275476792</v>
      </c>
      <c r="L116" s="72">
        <f>+List1!O8</f>
        <v>0.28869682343697378</v>
      </c>
      <c r="M116" s="347">
        <f>+List1!J8</f>
        <v>7.0723684210526314E-2</v>
      </c>
      <c r="N116" s="63">
        <f>+List1!K8</f>
        <v>5.9163059163059153E-2</v>
      </c>
      <c r="O116" s="64">
        <f>+List1!L8</f>
        <v>5.7197330791229746E-2</v>
      </c>
      <c r="P116" s="16"/>
    </row>
    <row r="117" spans="1:17" x14ac:dyDescent="0.2">
      <c r="A117" s="53">
        <v>21</v>
      </c>
      <c r="B117" s="277">
        <v>0.11254458526219929</v>
      </c>
      <c r="C117" s="63">
        <v>0.11474309815950923</v>
      </c>
      <c r="D117" s="72">
        <v>0.12201561065197426</v>
      </c>
      <c r="E117" s="347">
        <v>7.8336361800928692E-2</v>
      </c>
      <c r="F117" s="63">
        <v>7.3482428115015958E-2</v>
      </c>
      <c r="G117" s="64">
        <v>7.0853462157809993E-2</v>
      </c>
      <c r="I117" s="53">
        <v>21</v>
      </c>
      <c r="J117" s="277">
        <f>+List1!M9</f>
        <v>0.12557924003707135</v>
      </c>
      <c r="K117" s="63">
        <f>+List1!N9</f>
        <v>0.12637256790599116</v>
      </c>
      <c r="L117" s="72">
        <f>+List1!O9</f>
        <v>0.13211359299584688</v>
      </c>
      <c r="M117" s="347">
        <f>+List1!J9</f>
        <v>7.5246710526315791E-2</v>
      </c>
      <c r="N117" s="63">
        <f>+List1!K9</f>
        <v>7.417027417027415E-2</v>
      </c>
      <c r="O117" s="64">
        <f>+List1!L9</f>
        <v>7.3085478233238008E-2</v>
      </c>
      <c r="P117" s="16"/>
    </row>
    <row r="118" spans="1:17" x14ac:dyDescent="0.2">
      <c r="A118" s="53">
        <v>22</v>
      </c>
      <c r="B118" s="277">
        <v>5.6386127343097822E-2</v>
      </c>
      <c r="C118" s="63">
        <v>5.6365030674846633E-2</v>
      </c>
      <c r="D118" s="72">
        <v>5.8080808080808073E-2</v>
      </c>
      <c r="E118" s="347">
        <v>7.3490813648293921E-2</v>
      </c>
      <c r="F118" s="63">
        <v>7.115887307580597E-2</v>
      </c>
      <c r="G118" s="64">
        <v>6.8921095008051533E-2</v>
      </c>
      <c r="I118" s="53">
        <v>22</v>
      </c>
      <c r="J118" s="277">
        <f>+List1!M10</f>
        <v>6.1631139944392954E-2</v>
      </c>
      <c r="K118" s="63">
        <f>+List1!N10</f>
        <v>6.1741475630899642E-2</v>
      </c>
      <c r="L118" s="72">
        <f>+List1!O10</f>
        <v>6.0949601526546174E-2</v>
      </c>
      <c r="M118" s="347">
        <f>+List1!J10</f>
        <v>7.2779605263157895E-2</v>
      </c>
      <c r="N118" s="63">
        <f>+List1!K10</f>
        <v>7.1572871572871552E-2</v>
      </c>
      <c r="O118" s="64">
        <f>+List1!L10</f>
        <v>7.1496663489037188E-2</v>
      </c>
      <c r="P118" s="16"/>
    </row>
    <row r="119" spans="1:17" x14ac:dyDescent="0.2">
      <c r="A119" s="53">
        <v>23</v>
      </c>
      <c r="B119" s="277">
        <v>3.0280033391515516E-2</v>
      </c>
      <c r="C119" s="63">
        <v>2.9907975460122707E-2</v>
      </c>
      <c r="D119" s="72">
        <v>3.0532598714416891E-2</v>
      </c>
      <c r="E119" s="347">
        <v>5.7944679991924056E-2</v>
      </c>
      <c r="F119" s="63">
        <v>5.431309904153353E-2</v>
      </c>
      <c r="G119" s="64">
        <v>5.2495974235104673E-2</v>
      </c>
      <c r="I119" s="53">
        <v>23</v>
      </c>
      <c r="J119" s="277">
        <f>+List1!M11</f>
        <v>3.3673154155081868E-2</v>
      </c>
      <c r="K119" s="63">
        <f>+List1!N11</f>
        <v>3.4482758620689662E-2</v>
      </c>
      <c r="L119" s="72">
        <f>+List1!O11</f>
        <v>3.5918733864631264E-2</v>
      </c>
      <c r="M119" s="347">
        <f>+List1!J11</f>
        <v>6.7845394736842105E-2</v>
      </c>
      <c r="N119" s="63">
        <f>+List1!K11</f>
        <v>6.7243867243867231E-2</v>
      </c>
      <c r="O119" s="64">
        <f>+List1!L11</f>
        <v>6.7365745154115031E-2</v>
      </c>
      <c r="P119" s="16"/>
    </row>
    <row r="120" spans="1:17" x14ac:dyDescent="0.2">
      <c r="A120" s="53">
        <v>24</v>
      </c>
      <c r="B120" s="277">
        <v>1.5102071791758367E-2</v>
      </c>
      <c r="C120" s="63">
        <v>1.5816717791411045E-2</v>
      </c>
      <c r="D120" s="72">
        <v>1.6988062442607893E-2</v>
      </c>
      <c r="E120" s="347">
        <v>5.3301029678982405E-2</v>
      </c>
      <c r="F120" s="63">
        <v>5.0827766482718549E-2</v>
      </c>
      <c r="G120" s="64">
        <v>5.1529790660225443E-2</v>
      </c>
      <c r="I120" s="53">
        <v>24</v>
      </c>
      <c r="J120" s="277">
        <f>+List1!M12</f>
        <v>2.0389249304911955E-2</v>
      </c>
      <c r="K120" s="63">
        <f>+List1!N12</f>
        <v>1.9649393180504723E-2</v>
      </c>
      <c r="L120" s="72">
        <f>+List1!O12</f>
        <v>2.1102256145470868E-2</v>
      </c>
      <c r="M120" s="347">
        <f>+List1!J12</f>
        <v>5.5509868421052627E-2</v>
      </c>
      <c r="N120" s="63">
        <f>+List1!K12</f>
        <v>5.6854256854256838E-2</v>
      </c>
      <c r="O120" s="64">
        <f>+List1!L12</f>
        <v>5.5290753098188754E-2</v>
      </c>
      <c r="P120" s="16"/>
    </row>
    <row r="121" spans="1:17" x14ac:dyDescent="0.2">
      <c r="A121" s="53">
        <v>25</v>
      </c>
      <c r="B121" s="277">
        <v>7.2095317598846473E-3</v>
      </c>
      <c r="C121" s="63">
        <v>7.4769938650306768E-3</v>
      </c>
      <c r="D121" s="72">
        <v>8.2644628099173539E-3</v>
      </c>
      <c r="E121" s="347">
        <v>4.5427013930950916E-2</v>
      </c>
      <c r="F121" s="63">
        <v>4.4728434504792317E-2</v>
      </c>
      <c r="G121" s="64">
        <v>4.5410628019323669E-2</v>
      </c>
      <c r="I121" s="53">
        <v>25</v>
      </c>
      <c r="J121" s="277">
        <f>+List1!M13</f>
        <v>1.0580784677170219E-2</v>
      </c>
      <c r="K121" s="63">
        <f>+List1!N13</f>
        <v>1.0691581583509923E-2</v>
      </c>
      <c r="L121" s="72">
        <f>+List1!O13</f>
        <v>1.122460433269727E-2</v>
      </c>
      <c r="M121" s="347">
        <f>+List1!J13</f>
        <v>4.2146381578947373E-2</v>
      </c>
      <c r="N121" s="63">
        <f>+List1!K13</f>
        <v>3.7518037518037513E-2</v>
      </c>
      <c r="O121" s="64">
        <f>+List1!L13</f>
        <v>3.8767079758500161E-2</v>
      </c>
      <c r="P121" s="16"/>
    </row>
    <row r="122" spans="1:17" x14ac:dyDescent="0.2">
      <c r="A122" s="53">
        <v>26</v>
      </c>
      <c r="B122" s="277">
        <v>3.1873719359490019E-3</v>
      </c>
      <c r="C122" s="63">
        <v>3.8343558282208593E-3</v>
      </c>
      <c r="D122" s="72">
        <v>4.3617998163452696E-3</v>
      </c>
      <c r="E122" s="347">
        <v>3.5332121946295154E-2</v>
      </c>
      <c r="F122" s="63">
        <v>3.6305547487656104E-2</v>
      </c>
      <c r="G122" s="64">
        <v>3.6714975845410627E-2</v>
      </c>
      <c r="I122" s="53">
        <v>26</v>
      </c>
      <c r="J122" s="277">
        <f>+List1!M14</f>
        <v>2.8575841828853876E-3</v>
      </c>
      <c r="K122" s="63">
        <f>+List1!N14</f>
        <v>2.6969755345790797E-3</v>
      </c>
      <c r="L122" s="72">
        <f>+List1!O14</f>
        <v>2.6939050398473445E-3</v>
      </c>
      <c r="M122" s="347">
        <f>+List1!J14</f>
        <v>4.0912828947368425E-2</v>
      </c>
      <c r="N122" s="63">
        <f>+List1!K14</f>
        <v>4.0404040404040401E-2</v>
      </c>
      <c r="O122" s="64">
        <f>+List1!L14</f>
        <v>4.1309183349221484E-2</v>
      </c>
      <c r="P122" s="16"/>
    </row>
    <row r="123" spans="1:17" x14ac:dyDescent="0.2">
      <c r="A123" s="53">
        <v>27</v>
      </c>
      <c r="B123" s="277">
        <v>1.7454655839720726E-3</v>
      </c>
      <c r="C123" s="63">
        <v>1.6296012269938654E-3</v>
      </c>
      <c r="D123" s="72">
        <v>1.8365472910927452E-3</v>
      </c>
      <c r="E123" s="347">
        <v>3.7351100343226307E-2</v>
      </c>
      <c r="F123" s="63">
        <v>3.8629102526866098E-2</v>
      </c>
      <c r="G123" s="64">
        <v>3.639291465378422E-2</v>
      </c>
      <c r="I123" s="53">
        <v>27</v>
      </c>
      <c r="J123" s="277">
        <f>+List1!M15</f>
        <v>1.3901760889712697E-3</v>
      </c>
      <c r="K123" s="63">
        <f>+List1!N15</f>
        <v>9.6320554806395703E-4</v>
      </c>
      <c r="L123" s="72">
        <f>+List1!O15</f>
        <v>1.0102143899427542E-3</v>
      </c>
      <c r="M123" s="347">
        <f>+List1!J15</f>
        <v>3.5567434210526314E-2</v>
      </c>
      <c r="N123" s="63">
        <f>+List1!K15</f>
        <v>3.8095238095238085E-2</v>
      </c>
      <c r="O123" s="64">
        <f>+List1!L15</f>
        <v>3.8449316809659996E-2</v>
      </c>
      <c r="P123" s="16"/>
    </row>
    <row r="124" spans="1:17" x14ac:dyDescent="0.2">
      <c r="A124" s="53">
        <v>28</v>
      </c>
      <c r="B124" s="277">
        <v>1.9731350079684297E-3</v>
      </c>
      <c r="C124" s="63">
        <v>1.7254601226993867E-3</v>
      </c>
      <c r="D124" s="72">
        <v>1.7217630853994486E-3</v>
      </c>
      <c r="E124" s="347">
        <v>3.109226731273974E-2</v>
      </c>
      <c r="F124" s="63">
        <v>3.3110659308742366E-2</v>
      </c>
      <c r="G124" s="64">
        <v>3.3494363929146537E-2</v>
      </c>
      <c r="I124" s="53">
        <v>28</v>
      </c>
      <c r="J124" s="277">
        <f>+List1!M16</f>
        <v>1.004016064257028E-3</v>
      </c>
      <c r="K124" s="63">
        <f>+List1!N16</f>
        <v>9.6320554806395703E-4</v>
      </c>
      <c r="L124" s="72">
        <f>+List1!O16</f>
        <v>1.0102143899427542E-3</v>
      </c>
      <c r="M124" s="347">
        <f>+List1!J16</f>
        <v>2.6521381578947366E-2</v>
      </c>
      <c r="N124" s="63">
        <f>+List1!K16</f>
        <v>2.5685425685425679E-2</v>
      </c>
      <c r="O124" s="64">
        <f>+List1!L16</f>
        <v>2.5738798856053381E-2</v>
      </c>
      <c r="P124" s="16"/>
    </row>
    <row r="125" spans="1:17" x14ac:dyDescent="0.2">
      <c r="A125" s="53">
        <v>29</v>
      </c>
      <c r="B125" s="277">
        <v>1.8213553919708583E-3</v>
      </c>
      <c r="C125" s="63">
        <v>1.6296012269938654E-3</v>
      </c>
      <c r="D125" s="72">
        <v>1.6069788797061521E-3</v>
      </c>
      <c r="E125" s="347">
        <v>2.8265697557036121E-2</v>
      </c>
      <c r="F125" s="63">
        <v>2.9915771129828631E-2</v>
      </c>
      <c r="G125" s="64">
        <v>2.8985507246376812E-2</v>
      </c>
      <c r="I125" s="53">
        <v>29</v>
      </c>
      <c r="J125" s="277">
        <f>+List1!M17</f>
        <v>2.008032128514056E-3</v>
      </c>
      <c r="K125" s="63">
        <f>+List1!N17</f>
        <v>2.0227316509343098E-3</v>
      </c>
      <c r="L125" s="72">
        <f>+List1!O17</f>
        <v>2.0204287798855085E-3</v>
      </c>
      <c r="M125" s="347">
        <f>+List1!J17</f>
        <v>2.4465460526315787E-2</v>
      </c>
      <c r="N125" s="63">
        <f>+List1!K17</f>
        <v>2.3088023088023081E-2</v>
      </c>
      <c r="O125" s="64">
        <f>+List1!L17</f>
        <v>2.3832221163012392E-2</v>
      </c>
      <c r="P125" s="16"/>
    </row>
    <row r="126" spans="1:17" x14ac:dyDescent="0.2">
      <c r="A126" s="54" t="s">
        <v>25</v>
      </c>
      <c r="B126" s="280">
        <v>1.6088639295742578E-2</v>
      </c>
      <c r="C126" s="66">
        <v>1.6583588957055209E-2</v>
      </c>
      <c r="D126" s="74">
        <v>1.7561983471074374E-2</v>
      </c>
      <c r="E126" s="266">
        <v>0.42459115687462123</v>
      </c>
      <c r="F126" s="66">
        <v>0.4472843450479233</v>
      </c>
      <c r="G126" s="67">
        <v>0.46215780998389699</v>
      </c>
      <c r="I126" s="54" t="s">
        <v>25</v>
      </c>
      <c r="J126" s="280">
        <f>+List1!M18</f>
        <v>1.4905776953969723E-2</v>
      </c>
      <c r="K126" s="66">
        <f>+List1!N18</f>
        <v>1.4159121556540168E-2</v>
      </c>
      <c r="L126" s="74">
        <f>+List1!O18</f>
        <v>1.4816477719160392E-2</v>
      </c>
      <c r="M126" s="266">
        <f>+List1!J18</f>
        <v>0.43955592105263169</v>
      </c>
      <c r="N126" s="66">
        <f>+List1!K18</f>
        <v>0.46378066378066357</v>
      </c>
      <c r="O126" s="67">
        <f>+List1!L18</f>
        <v>0.4683825865904036</v>
      </c>
      <c r="P126" s="16"/>
    </row>
    <row r="127" spans="1:17" ht="13.5" thickBot="1" x14ac:dyDescent="0.25">
      <c r="A127" s="29" t="s">
        <v>26</v>
      </c>
      <c r="B127" s="228">
        <v>20.309858086059048</v>
      </c>
      <c r="C127" s="229">
        <v>20.325728527607378</v>
      </c>
      <c r="D127" s="230">
        <v>20.379132231404956</v>
      </c>
      <c r="E127" s="231">
        <v>29.236422370280621</v>
      </c>
      <c r="F127" s="229">
        <v>29.761835608480968</v>
      </c>
      <c r="G127" s="232">
        <v>30.02737520128824</v>
      </c>
      <c r="I127" s="29" t="s">
        <v>26</v>
      </c>
      <c r="J127" s="228">
        <f>+List1!S48</f>
        <v>20.343759654000614</v>
      </c>
      <c r="K127" s="229">
        <f>+List1!T48</f>
        <v>20.333750722404158</v>
      </c>
      <c r="L127" s="230">
        <f>+List1!U48</f>
        <v>20.367381299809189</v>
      </c>
      <c r="M127" s="231">
        <f>+List1!P48</f>
        <v>29.51541940789474</v>
      </c>
      <c r="N127" s="229">
        <f>+List1!Q48</f>
        <v>30.012121212121201</v>
      </c>
      <c r="O127" s="232">
        <f>+List1!R48</f>
        <v>30.108992691452176</v>
      </c>
      <c r="P127" s="16"/>
    </row>
    <row r="128" spans="1:17" ht="13.5" thickTop="1" x14ac:dyDescent="0.2">
      <c r="J128" s="16"/>
      <c r="K128" s="16"/>
      <c r="L128" s="16"/>
      <c r="M128" s="16"/>
      <c r="N128" s="16"/>
      <c r="O128" s="16"/>
      <c r="P128" s="16"/>
    </row>
    <row r="129" spans="1:16" ht="13.5" thickBot="1" x14ac:dyDescent="0.25">
      <c r="A129" s="26" t="s">
        <v>134</v>
      </c>
      <c r="B129" s="268"/>
      <c r="C129" s="268"/>
      <c r="D129" s="268"/>
      <c r="E129" s="268"/>
      <c r="F129" s="268"/>
      <c r="G129" s="268"/>
      <c r="I129" s="26" t="s">
        <v>137</v>
      </c>
      <c r="J129" s="268"/>
      <c r="K129" s="268"/>
      <c r="L129" s="268"/>
      <c r="M129" s="268"/>
      <c r="N129" s="268"/>
      <c r="O129" s="268"/>
      <c r="P129" s="16"/>
    </row>
    <row r="130" spans="1:16" ht="51.75" thickTop="1" x14ac:dyDescent="0.2">
      <c r="A130" s="27" t="s">
        <v>136</v>
      </c>
      <c r="B130" s="442" t="s">
        <v>103</v>
      </c>
      <c r="C130" s="443" t="s">
        <v>104</v>
      </c>
      <c r="D130" s="444" t="s">
        <v>105</v>
      </c>
      <c r="E130" s="445" t="s">
        <v>103</v>
      </c>
      <c r="F130" s="443" t="s">
        <v>104</v>
      </c>
      <c r="G130" s="446" t="s">
        <v>105</v>
      </c>
      <c r="I130" s="27" t="s">
        <v>138</v>
      </c>
      <c r="J130" s="442" t="s">
        <v>103</v>
      </c>
      <c r="K130" s="443" t="s">
        <v>104</v>
      </c>
      <c r="L130" s="444" t="s">
        <v>105</v>
      </c>
      <c r="M130" s="445" t="s">
        <v>103</v>
      </c>
      <c r="N130" s="443" t="s">
        <v>104</v>
      </c>
      <c r="O130" s="446" t="s">
        <v>105</v>
      </c>
      <c r="P130" s="16"/>
    </row>
    <row r="131" spans="1:16" ht="13.5" thickBot="1" x14ac:dyDescent="0.25">
      <c r="A131" s="28"/>
      <c r="B131" s="56" t="s">
        <v>90</v>
      </c>
      <c r="C131" s="57"/>
      <c r="D131" s="68"/>
      <c r="E131" s="69" t="s">
        <v>97</v>
      </c>
      <c r="F131" s="57"/>
      <c r="G131" s="58"/>
      <c r="I131" s="28"/>
      <c r="J131" s="56" t="s">
        <v>90</v>
      </c>
      <c r="K131" s="57"/>
      <c r="L131" s="68"/>
      <c r="M131" s="69" t="s">
        <v>97</v>
      </c>
      <c r="N131" s="57"/>
      <c r="O131" s="58"/>
      <c r="P131" s="16"/>
    </row>
    <row r="132" spans="1:16" ht="13.5" thickTop="1" x14ac:dyDescent="0.2">
      <c r="A132" s="52">
        <v>18</v>
      </c>
      <c r="B132" s="360">
        <f>57/'voš_druh studia '!C61</f>
        <v>4.506997706966079E-3</v>
      </c>
      <c r="C132" s="60">
        <f>45/'voš_druh studia '!H61</f>
        <v>4.3855374719812884E-3</v>
      </c>
      <c r="D132" s="70">
        <f>36/'voš_druh studia '!I61</f>
        <v>4.1308089500860581E-3</v>
      </c>
      <c r="E132" s="71">
        <f>1/'voš_druh studia '!C62</f>
        <v>2.010454362685967E-4</v>
      </c>
      <c r="F132" s="60">
        <f>0/'voš_druh studia '!H62</f>
        <v>0</v>
      </c>
      <c r="G132" s="61">
        <f>0/'voš_druh studia '!I62</f>
        <v>0</v>
      </c>
      <c r="I132" s="52">
        <v>18</v>
      </c>
      <c r="J132" s="360">
        <f>64/'voš_druh studia '!C65</f>
        <v>5.5574852379298365E-3</v>
      </c>
      <c r="K132" s="60">
        <f>53/'voš_druh studia '!H65</f>
        <v>5.6281193586067754E-3</v>
      </c>
      <c r="L132" s="70">
        <f>46/'voš_druh studia '!I65</f>
        <v>5.6483300589390967E-3</v>
      </c>
      <c r="M132" s="71">
        <f>3/'voš_druh studia '!$C$66</f>
        <v>6.2695924764890286E-4</v>
      </c>
      <c r="N132" s="60">
        <f>3/'voš_druh studia '!$H$66</f>
        <v>9.5693779904306223E-4</v>
      </c>
      <c r="O132" s="61">
        <f>2/'voš_druh studia '!$I$66</f>
        <v>7.0796460176991152E-4</v>
      </c>
      <c r="P132" s="16"/>
    </row>
    <row r="133" spans="1:16" x14ac:dyDescent="0.2">
      <c r="A133" s="53">
        <v>19</v>
      </c>
      <c r="B133" s="277">
        <f>5221/'voš_druh studia '!C61</f>
        <v>0.41282517593105084</v>
      </c>
      <c r="C133" s="63">
        <f>4160/'voš_druh studia '!H61</f>
        <v>0.40541857518760355</v>
      </c>
      <c r="D133" s="72">
        <f>3453/'voš_druh studia '!I61</f>
        <v>0.3962134251290878</v>
      </c>
      <c r="E133" s="348">
        <f>246/'voš_druh studia '!C62</f>
        <v>4.9457177322074788E-2</v>
      </c>
      <c r="F133" s="63">
        <f>133/'voš_druh studia '!H62</f>
        <v>3.750705019740553E-2</v>
      </c>
      <c r="G133" s="64">
        <f>104/'voš_druh studia '!I62</f>
        <v>3.2745591939546598E-2</v>
      </c>
      <c r="I133" s="53">
        <v>19</v>
      </c>
      <c r="J133" s="277">
        <f>4639/'voš_druh studia '!C65</f>
        <v>0.40283084404307051</v>
      </c>
      <c r="K133" s="63">
        <f>3777/'voš_druh studia '!H65</f>
        <v>0.40108314749920354</v>
      </c>
      <c r="L133" s="72">
        <f>3212/'voš_druh studia '!I65</f>
        <v>0.39440078585461691</v>
      </c>
      <c r="M133" s="348">
        <f>234/'voš_druh studia '!$C$66</f>
        <v>4.8902821316614421E-2</v>
      </c>
      <c r="N133" s="63">
        <f>119/'voš_druh studia '!$H$66</f>
        <v>3.7958532695374803E-2</v>
      </c>
      <c r="O133" s="64">
        <f>93/'voš_druh studia '!$I$66</f>
        <v>3.2920353982300886E-2</v>
      </c>
      <c r="P133" s="16"/>
    </row>
    <row r="134" spans="1:16" x14ac:dyDescent="0.2">
      <c r="A134" s="53">
        <v>20</v>
      </c>
      <c r="B134" s="277">
        <f>3826/'voš_druh studia '!C61</f>
        <v>0.30252233731319683</v>
      </c>
      <c r="C134" s="63">
        <f>3137/'voš_druh studia '!H61</f>
        <v>0.30572068999122892</v>
      </c>
      <c r="D134" s="72">
        <f>2647/'voš_druh studia '!I61</f>
        <v>0.30372920252438323</v>
      </c>
      <c r="E134" s="347">
        <f>415/'voš_druh studia '!C62</f>
        <v>8.3433856051467636E-2</v>
      </c>
      <c r="F134" s="63">
        <f>257/'voš_druh studia '!H62</f>
        <v>7.2476029328821204E-2</v>
      </c>
      <c r="G134" s="64">
        <f>223/'voš_druh studia '!I62</f>
        <v>7.0214105793450887E-2</v>
      </c>
      <c r="I134" s="53">
        <v>20</v>
      </c>
      <c r="J134" s="277">
        <f>3312/'voš_druh studia '!C65</f>
        <v>0.28759986106286906</v>
      </c>
      <c r="K134" s="63">
        <f>2689/'voš_druh studia '!H65</f>
        <v>0.28554741425082297</v>
      </c>
      <c r="L134" s="72">
        <f>2311/'voš_druh studia '!I65</f>
        <v>0.28376719056974459</v>
      </c>
      <c r="M134" s="347">
        <f>364/'voš_druh studia '!$C$66</f>
        <v>7.6071055381400216E-2</v>
      </c>
      <c r="N134" s="63">
        <f>223/'voš_druh studia '!$H$66</f>
        <v>7.1132376395534297E-2</v>
      </c>
      <c r="O134" s="64">
        <f>194/'voš_druh studia '!$I$66</f>
        <v>6.8672566371681412E-2</v>
      </c>
      <c r="P134" s="16"/>
    </row>
    <row r="135" spans="1:16" x14ac:dyDescent="0.2">
      <c r="A135" s="53">
        <v>21</v>
      </c>
      <c r="B135" s="277">
        <f>1499/'voš_druh studia '!C61</f>
        <v>0.11852613267968688</v>
      </c>
      <c r="C135" s="63">
        <f>1235/'voš_druh studia '!H61</f>
        <v>0.12035863950881981</v>
      </c>
      <c r="D135" s="72">
        <f>1101/'voš_druh studia '!I61</f>
        <v>0.12633390705679862</v>
      </c>
      <c r="E135" s="347">
        <f>363/'voš_druh studia '!C62</f>
        <v>7.2979493365500608E-2</v>
      </c>
      <c r="F135" s="63">
        <f>238/'voš_druh studia '!H62</f>
        <v>6.7117879300620423E-2</v>
      </c>
      <c r="G135" s="64">
        <f>208/'voš_druh studia '!I62</f>
        <v>6.5491183879093195E-2</v>
      </c>
      <c r="I135" s="53">
        <v>21</v>
      </c>
      <c r="J135" s="277">
        <f>1457/'voš_druh studia '!C65</f>
        <v>0.12651962486974644</v>
      </c>
      <c r="K135" s="63">
        <f>1219/'voš_druh studia '!H65</f>
        <v>0.12944674524795582</v>
      </c>
      <c r="L135" s="72">
        <f>1075/'voš_druh studia '!I65</f>
        <v>0.13199901768172889</v>
      </c>
      <c r="M135" s="347">
        <f>379/'voš_druh studia '!$C$66</f>
        <v>7.9205851619644718E-2</v>
      </c>
      <c r="N135" s="63">
        <f>233/'voš_druh studia '!$H$66</f>
        <v>7.4322169059011164E-2</v>
      </c>
      <c r="O135" s="64">
        <f>210/'voš_druh studia '!$I$66</f>
        <v>7.4336283185840707E-2</v>
      </c>
      <c r="P135" s="16"/>
    </row>
    <row r="136" spans="1:16" x14ac:dyDescent="0.2">
      <c r="A136" s="53">
        <v>22</v>
      </c>
      <c r="B136" s="277">
        <f>816/'voš_druh studia '!C61</f>
        <v>6.4521230331303872E-2</v>
      </c>
      <c r="C136" s="63">
        <f>672/'voš_druh studia '!H61</f>
        <v>6.5490692914920573E-2</v>
      </c>
      <c r="D136" s="72">
        <f>590/'voš_druh studia '!I61</f>
        <v>6.7699368904188179E-2</v>
      </c>
      <c r="E136" s="347">
        <f>384/'voš_druh studia '!C62</f>
        <v>7.7201447527141129E-2</v>
      </c>
      <c r="F136" s="63">
        <f>256/'voš_druh studia '!H62</f>
        <v>7.219402143260012E-2</v>
      </c>
      <c r="G136" s="64">
        <f>225/'voš_druh studia '!I62</f>
        <v>7.0843828715365237E-2</v>
      </c>
      <c r="I136" s="53">
        <v>22</v>
      </c>
      <c r="J136" s="277">
        <f>738/'voš_druh studia '!C65</f>
        <v>6.4084751649878424E-2</v>
      </c>
      <c r="K136" s="63">
        <f>606/'voš_druh studia '!H65</f>
        <v>6.4351704364447274E-2</v>
      </c>
      <c r="L136" s="72">
        <f>546/'voš_druh studia '!I65</f>
        <v>6.7043222003929273E-2</v>
      </c>
      <c r="M136" s="347">
        <f>306/'voš_druh studia '!$C$66</f>
        <v>6.3949843260188086E-2</v>
      </c>
      <c r="N136" s="63">
        <f>196/'voš_druh studia '!$H$66</f>
        <v>6.2519936204146725E-2</v>
      </c>
      <c r="O136" s="64">
        <f>176/'voš_druh studia '!$I$66</f>
        <v>6.2300884955752214E-2</v>
      </c>
      <c r="P136" s="16"/>
    </row>
    <row r="137" spans="1:16" x14ac:dyDescent="0.2">
      <c r="A137" s="53">
        <v>23</v>
      </c>
      <c r="B137" s="277">
        <f>484/'voš_druh studia '!C61</f>
        <v>3.8269945441606702E-2</v>
      </c>
      <c r="C137" s="63">
        <f>410/'voš_druh studia '!H61</f>
        <v>3.9957119189162851E-2</v>
      </c>
      <c r="D137" s="72">
        <f>360/'voš_druh studia '!I61</f>
        <v>4.1308089500860588E-2</v>
      </c>
      <c r="E137" s="347">
        <f>331/'voš_druh studia '!C62</f>
        <v>6.6546039404905513E-2</v>
      </c>
      <c r="F137" s="63">
        <f>250/'voš_druh studia '!H62</f>
        <v>7.0501974055273545E-2</v>
      </c>
      <c r="G137" s="64">
        <f>226/'voš_druh studia '!I62</f>
        <v>7.1158690176322412E-2</v>
      </c>
      <c r="I137" s="53">
        <v>23</v>
      </c>
      <c r="J137" s="277">
        <f>503/'voš_druh studia '!C65</f>
        <v>4.367836054185481E-2</v>
      </c>
      <c r="K137" s="63">
        <f>427/'voš_druh studia '!H65</f>
        <v>4.5343527662737602E-2</v>
      </c>
      <c r="L137" s="72">
        <f>384/'voš_druh studia '!I65</f>
        <v>4.7151277013752456E-2</v>
      </c>
      <c r="M137" s="347">
        <f>340/'voš_druh studia '!$C$66</f>
        <v>7.1055381400208992E-2</v>
      </c>
      <c r="N137" s="63">
        <f>221/'voš_druh studia '!$H$66</f>
        <v>7.0494417862838915E-2</v>
      </c>
      <c r="O137" s="64">
        <f>192/'voš_druh studia '!$I$66</f>
        <v>6.7964601769911509E-2</v>
      </c>
      <c r="P137" s="16"/>
    </row>
    <row r="138" spans="1:16" x14ac:dyDescent="0.2">
      <c r="A138" s="53">
        <v>24</v>
      </c>
      <c r="B138" s="277">
        <f>286/'voš_druh studia '!C61</f>
        <v>2.2614058670040325E-2</v>
      </c>
      <c r="C138" s="63">
        <f>230/'voš_druh studia '!H61</f>
        <v>2.2414969301237698E-2</v>
      </c>
      <c r="D138" s="72">
        <f>204/'voš_druh studia '!I61</f>
        <v>2.3407917383821E-2</v>
      </c>
      <c r="E138" s="347">
        <f>314/'voš_druh studia '!C62</f>
        <v>6.3128266988339371E-2</v>
      </c>
      <c r="F138" s="63">
        <f>230/'voš_druh studia '!H62</f>
        <v>6.4861816130851666E-2</v>
      </c>
      <c r="G138" s="64">
        <f>203/'voš_druh studia '!I62</f>
        <v>6.3916876574307308E-2</v>
      </c>
      <c r="I138" s="53">
        <v>24</v>
      </c>
      <c r="J138" s="277">
        <f>297/'voš_druh studia '!C65</f>
        <v>2.5790204932268149E-2</v>
      </c>
      <c r="K138" s="63">
        <f>257/'voš_druh studia '!H65</f>
        <v>2.7291069342678137E-2</v>
      </c>
      <c r="L138" s="72">
        <f>226/'voš_druh studia '!I65</f>
        <v>2.7750491159135561E-2</v>
      </c>
      <c r="M138" s="347">
        <f>264/'voš_druh studia '!$C$66</f>
        <v>5.5172413793103448E-2</v>
      </c>
      <c r="N138" s="63">
        <f>156/'voš_druh studia '!$H$66</f>
        <v>4.9760765550239235E-2</v>
      </c>
      <c r="O138" s="64">
        <f>135/'voš_druh studia '!$I$66</f>
        <v>4.7787610619469026E-2</v>
      </c>
      <c r="P138" s="16"/>
    </row>
    <row r="139" spans="1:16" x14ac:dyDescent="0.2">
      <c r="A139" s="53">
        <v>25</v>
      </c>
      <c r="B139" s="277">
        <f>141/'voš_druh studia '!C61</f>
        <v>1.1148889064600301E-2</v>
      </c>
      <c r="C139" s="63">
        <f>118/'voš_druh studia '!H61</f>
        <v>1.1499853815417601E-2</v>
      </c>
      <c r="D139" s="72">
        <f>105/'voš_druh studia '!I61</f>
        <v>1.2048192771084338E-2</v>
      </c>
      <c r="E139" s="347">
        <f>236/'voš_druh studia '!C62</f>
        <v>4.7446722959388822E-2</v>
      </c>
      <c r="F139" s="63">
        <f>175/'voš_druh studia '!H62</f>
        <v>4.9351381838691484E-2</v>
      </c>
      <c r="G139" s="64">
        <f>163/'voš_druh studia '!I62</f>
        <v>5.1322418136020148E-2</v>
      </c>
      <c r="I139" s="53">
        <v>25</v>
      </c>
      <c r="J139" s="277">
        <f>150/'voš_druh studia '!C65</f>
        <v>1.3025356026398056E-2</v>
      </c>
      <c r="K139" s="63">
        <f>120/'voš_druh studia '!H65</f>
        <v>1.2742911755336095E-2</v>
      </c>
      <c r="L139" s="72">
        <f>107/'voš_druh studia '!I65</f>
        <v>1.3138506876227897E-2</v>
      </c>
      <c r="M139" s="347">
        <f>258/'voš_druh studia '!$C$66</f>
        <v>5.3918495297805645E-2</v>
      </c>
      <c r="N139" s="63">
        <f>146/'voš_druh studia '!$H$66</f>
        <v>4.657097288676236E-2</v>
      </c>
      <c r="O139" s="64">
        <f>136/'voš_druh studia '!$I$66</f>
        <v>4.8141592920353984E-2</v>
      </c>
      <c r="P139" s="16"/>
    </row>
    <row r="140" spans="1:16" x14ac:dyDescent="0.2">
      <c r="A140" s="53">
        <v>26</v>
      </c>
      <c r="B140" s="277">
        <f>40/'voš_druh studia '!C61</f>
        <v>3.1628054083972482E-3</v>
      </c>
      <c r="C140" s="63">
        <f>34/'voš_druh studia '!H61</f>
        <v>3.313517201052529E-3</v>
      </c>
      <c r="D140" s="72">
        <f>29/'voš_druh studia '!I61</f>
        <v>3.3275960986804362E-3</v>
      </c>
      <c r="E140" s="347">
        <f>211/'voš_druh studia '!C62</f>
        <v>4.2420587052673903E-2</v>
      </c>
      <c r="F140" s="63">
        <f>156/'voš_druh studia '!H62</f>
        <v>4.3993231810490696E-2</v>
      </c>
      <c r="G140" s="64">
        <f>135/'voš_druh studia '!I62</f>
        <v>4.2506297229219142E-2</v>
      </c>
      <c r="I140" s="53">
        <v>26</v>
      </c>
      <c r="J140" s="277">
        <f>46/'voš_druh studia '!C65</f>
        <v>3.9944425147620697E-3</v>
      </c>
      <c r="K140" s="63">
        <f>36/'voš_druh studia '!H65</f>
        <v>3.8228735266008281E-3</v>
      </c>
      <c r="L140" s="72">
        <f>29/'voš_druh studia '!I65</f>
        <v>3.5609037328094301E-3</v>
      </c>
      <c r="M140" s="347">
        <f>205/'voš_druh studia '!$C$66</f>
        <v>4.2842215256008356E-2</v>
      </c>
      <c r="N140" s="63">
        <f>132/'voš_druh studia '!$H$66</f>
        <v>4.2105263157894736E-2</v>
      </c>
      <c r="O140" s="64">
        <f>122/'voš_druh studia '!$I$66</f>
        <v>4.31858407079646E-2</v>
      </c>
      <c r="P140" s="16"/>
    </row>
    <row r="141" spans="1:16" x14ac:dyDescent="0.2">
      <c r="A141" s="53">
        <v>27</v>
      </c>
      <c r="B141" s="277">
        <f>33/'voš_druh studia '!C61</f>
        <v>2.6093144619277297E-3</v>
      </c>
      <c r="C141" s="63">
        <f>22/'voš_druh studia '!H61</f>
        <v>2.1440405418575188E-3</v>
      </c>
      <c r="D141" s="72">
        <f>19/'voš_druh studia '!I61</f>
        <v>2.1801491681009751E-3</v>
      </c>
      <c r="E141" s="347">
        <f>172/'voš_druh studia '!C62</f>
        <v>3.4579815038198632E-2</v>
      </c>
      <c r="F141" s="63">
        <f>116/'voš_druh studia '!H62</f>
        <v>3.2712915961646924E-2</v>
      </c>
      <c r="G141" s="64">
        <f>106/'voš_druh studia '!I62</f>
        <v>3.3375314861460954E-2</v>
      </c>
      <c r="I141" s="53">
        <v>27</v>
      </c>
      <c r="J141" s="277">
        <f>32/'voš_druh studia '!C65</f>
        <v>2.7787426189649182E-3</v>
      </c>
      <c r="K141" s="63">
        <f>26/'voš_druh studia '!H65</f>
        <v>2.7609642136561538E-3</v>
      </c>
      <c r="L141" s="72">
        <f>26/'voš_druh studia '!I65</f>
        <v>3.1925343811394892E-3</v>
      </c>
      <c r="M141" s="347">
        <f>167/'voš_druh studia '!$C$66</f>
        <v>3.4900731452455591E-2</v>
      </c>
      <c r="N141" s="63">
        <f>110/'voš_druh studia '!$H$66</f>
        <v>3.5087719298245612E-2</v>
      </c>
      <c r="O141" s="64">
        <f>102/'voš_druh studia '!$I$66</f>
        <v>3.6106194690265485E-2</v>
      </c>
      <c r="P141" s="16"/>
    </row>
    <row r="142" spans="1:16" x14ac:dyDescent="0.2">
      <c r="A142" s="53">
        <v>28</v>
      </c>
      <c r="B142" s="277">
        <f>24/'voš_druh studia '!C61</f>
        <v>1.897683245038349E-3</v>
      </c>
      <c r="C142" s="63">
        <f>20/'voš_druh studia '!H61</f>
        <v>1.9491277653250171E-3</v>
      </c>
      <c r="D142" s="72">
        <f>18/'voš_druh studia '!I61</f>
        <v>2.0654044750430291E-3</v>
      </c>
      <c r="E142" s="347">
        <f>153/'voš_druh studia '!C62</f>
        <v>3.0759951749095297E-2</v>
      </c>
      <c r="F142" s="63">
        <f>117/'voš_druh studia '!H62</f>
        <v>3.2994923857868022E-2</v>
      </c>
      <c r="G142" s="64">
        <f>105/'voš_druh studia '!I62</f>
        <v>3.306045340050378E-2</v>
      </c>
      <c r="I142" s="53">
        <v>28</v>
      </c>
      <c r="J142" s="277">
        <f>24/'voš_druh studia '!C65</f>
        <v>2.0840569642236887E-3</v>
      </c>
      <c r="K142" s="63">
        <f>17/'voš_druh studia '!H65</f>
        <v>1.8052458320059466E-3</v>
      </c>
      <c r="L142" s="72">
        <f>16/'voš_druh studia '!I65</f>
        <v>1.9646365422396855E-3</v>
      </c>
      <c r="M142" s="347">
        <f>135/'voš_druh studia '!$C$66</f>
        <v>2.8213166144200628E-2</v>
      </c>
      <c r="N142" s="63">
        <f>82/'voš_druh studia '!$H$66</f>
        <v>2.6156299840510367E-2</v>
      </c>
      <c r="O142" s="64">
        <f>74/'voš_druh studia '!$I$66</f>
        <v>2.6194690265486726E-2</v>
      </c>
      <c r="P142" s="16"/>
    </row>
    <row r="143" spans="1:16" x14ac:dyDescent="0.2">
      <c r="A143" s="53">
        <v>29</v>
      </c>
      <c r="B143" s="277">
        <f>27/'voš_druh studia '!C61</f>
        <v>2.1348936506681427E-3</v>
      </c>
      <c r="C143" s="63">
        <f>20/'voš_druh studia '!H61</f>
        <v>1.9491277653250171E-3</v>
      </c>
      <c r="D143" s="72">
        <f>15/'voš_druh studia '!I61</f>
        <v>1.7211703958691911E-3</v>
      </c>
      <c r="E143" s="347">
        <f>153/'voš_druh studia '!C62</f>
        <v>3.0759951749095297E-2</v>
      </c>
      <c r="F143" s="63">
        <f>102/'voš_druh studia '!H62</f>
        <v>2.8764805414551606E-2</v>
      </c>
      <c r="G143" s="64">
        <f>95/'voš_druh studia '!I62</f>
        <v>2.991183879093199E-2</v>
      </c>
      <c r="I143" s="53">
        <v>29</v>
      </c>
      <c r="J143" s="277">
        <f>24/'voš_druh studia '!C65</f>
        <v>2.0840569642236887E-3</v>
      </c>
      <c r="K143" s="63">
        <f>17/'voš_druh studia '!H65</f>
        <v>1.8052458320059466E-3</v>
      </c>
      <c r="L143" s="72">
        <f>16/'voš_druh studia '!I65</f>
        <v>1.9646365422396855E-3</v>
      </c>
      <c r="M143" s="347">
        <f>121/'voš_druh studia '!$C$66</f>
        <v>2.528735632183908E-2</v>
      </c>
      <c r="N143" s="63">
        <f>86/'voš_druh studia '!$H$66</f>
        <v>2.7432216905901117E-2</v>
      </c>
      <c r="O143" s="64">
        <f>79/'voš_druh studia '!$I$66</f>
        <v>2.7964601769911505E-2</v>
      </c>
      <c r="P143" s="16"/>
    </row>
    <row r="144" spans="1:16" x14ac:dyDescent="0.2">
      <c r="A144" s="54" t="s">
        <v>25</v>
      </c>
      <c r="B144" s="280">
        <f>193/'voš_druh studia '!C61</f>
        <v>1.5260536095516723E-2</v>
      </c>
      <c r="C144" s="66">
        <f>158/'voš_druh studia '!H61</f>
        <v>1.5398109346067635E-2</v>
      </c>
      <c r="D144" s="74">
        <f>138/'voš_druh studia '!I61</f>
        <v>1.5834767641996556E-2</v>
      </c>
      <c r="E144" s="266">
        <f>1995/'voš_druh studia '!C62</f>
        <v>0.4010856453558504</v>
      </c>
      <c r="F144" s="66">
        <f>1516/'voš_druh studia '!H62</f>
        <v>0.42752397067117881</v>
      </c>
      <c r="G144" s="67">
        <f>1383/'voš_druh studia '!I62</f>
        <v>0.43545340050377834</v>
      </c>
      <c r="I144" s="54" t="s">
        <v>25</v>
      </c>
      <c r="J144" s="280">
        <f>230/'voš_druh studia '!C65</f>
        <v>1.997221257381035E-2</v>
      </c>
      <c r="K144" s="66">
        <f>173/'voš_druh studia '!H65</f>
        <v>1.8371031113942869E-2</v>
      </c>
      <c r="L144" s="74">
        <f>150/'voš_druh studia '!I65</f>
        <v>1.8418467583497054E-2</v>
      </c>
      <c r="M144" s="266">
        <f>2009/'voš_druh studia '!$C$66</f>
        <v>0.4198537095088819</v>
      </c>
      <c r="N144" s="66">
        <f>1428/'voš_druh studia '!$H$66</f>
        <v>0.45550239234449763</v>
      </c>
      <c r="O144" s="67">
        <f>1310/'voš_druh studia '!$I$66</f>
        <v>0.46371681415929206</v>
      </c>
      <c r="P144" s="16"/>
    </row>
    <row r="145" spans="1:16" ht="13.5" thickBot="1" x14ac:dyDescent="0.25">
      <c r="A145" s="29" t="s">
        <v>26</v>
      </c>
      <c r="B145" s="228">
        <v>20.415828999999999</v>
      </c>
      <c r="C145" s="229">
        <v>20.432219</v>
      </c>
      <c r="D145" s="230">
        <v>20.470911999999998</v>
      </c>
      <c r="E145" s="231">
        <v>29.155207000000001</v>
      </c>
      <c r="F145" s="229">
        <v>29.609137</v>
      </c>
      <c r="G145" s="232">
        <v>29.757558</v>
      </c>
      <c r="I145" s="29" t="s">
        <v>26</v>
      </c>
      <c r="J145" s="228">
        <v>20.569700000000001</v>
      </c>
      <c r="K145" s="229">
        <v>20.555</v>
      </c>
      <c r="L145" s="230">
        <v>20.585799999999999</v>
      </c>
      <c r="M145" s="231">
        <v>29.440999999999999</v>
      </c>
      <c r="N145" s="229">
        <v>30.116099999999999</v>
      </c>
      <c r="O145" s="232">
        <v>30.3034</v>
      </c>
      <c r="P145" s="16"/>
    </row>
    <row r="146" spans="1:16" ht="13.5" thickTop="1" x14ac:dyDescent="0.2">
      <c r="J146" s="16"/>
      <c r="K146" s="16"/>
      <c r="L146" s="16"/>
      <c r="M146" s="16"/>
      <c r="N146" s="16"/>
      <c r="O146" s="16"/>
      <c r="P146" s="16"/>
    </row>
    <row r="147" spans="1:16" ht="13.5" thickBot="1" x14ac:dyDescent="0.25">
      <c r="A147" s="26" t="s">
        <v>139</v>
      </c>
      <c r="B147" s="268"/>
      <c r="C147" s="268"/>
      <c r="D147" s="268"/>
      <c r="E147" s="268"/>
      <c r="F147" s="268"/>
      <c r="G147" s="268"/>
      <c r="I147" s="26" t="s">
        <v>142</v>
      </c>
      <c r="J147" s="268"/>
      <c r="K147" s="268"/>
      <c r="L147" s="268"/>
      <c r="M147" s="268"/>
      <c r="N147" s="268"/>
      <c r="O147" s="268"/>
      <c r="P147" s="16"/>
    </row>
    <row r="148" spans="1:16" ht="51.75" thickTop="1" x14ac:dyDescent="0.2">
      <c r="A148" s="27" t="s">
        <v>141</v>
      </c>
      <c r="B148" s="442" t="s">
        <v>103</v>
      </c>
      <c r="C148" s="443" t="s">
        <v>104</v>
      </c>
      <c r="D148" s="444" t="s">
        <v>105</v>
      </c>
      <c r="E148" s="445" t="s">
        <v>103</v>
      </c>
      <c r="F148" s="443" t="s">
        <v>104</v>
      </c>
      <c r="G148" s="446" t="s">
        <v>105</v>
      </c>
      <c r="I148" s="27" t="s">
        <v>143</v>
      </c>
      <c r="J148" s="442" t="s">
        <v>103</v>
      </c>
      <c r="K148" s="443" t="s">
        <v>104</v>
      </c>
      <c r="L148" s="444" t="s">
        <v>105</v>
      </c>
      <c r="M148" s="445" t="s">
        <v>103</v>
      </c>
      <c r="N148" s="443" t="s">
        <v>104</v>
      </c>
      <c r="O148" s="446" t="s">
        <v>105</v>
      </c>
      <c r="P148" s="16"/>
    </row>
    <row r="149" spans="1:16" ht="13.5" thickBot="1" x14ac:dyDescent="0.25">
      <c r="A149" s="28"/>
      <c r="B149" s="56" t="s">
        <v>90</v>
      </c>
      <c r="C149" s="57"/>
      <c r="D149" s="68"/>
      <c r="E149" s="69" t="s">
        <v>97</v>
      </c>
      <c r="F149" s="57"/>
      <c r="G149" s="58"/>
      <c r="I149" s="28"/>
      <c r="J149" s="56" t="s">
        <v>90</v>
      </c>
      <c r="K149" s="57"/>
      <c r="L149" s="68"/>
      <c r="M149" s="69" t="s">
        <v>97</v>
      </c>
      <c r="N149" s="57"/>
      <c r="O149" s="58"/>
      <c r="P149" s="16"/>
    </row>
    <row r="150" spans="1:16" ht="13.5" thickTop="1" x14ac:dyDescent="0.2">
      <c r="A150" s="52">
        <v>18</v>
      </c>
      <c r="B150" s="360">
        <f>52/'voš_druh studia '!$C$69</f>
        <v>5.1256776737309022E-3</v>
      </c>
      <c r="C150" s="60">
        <f>35/'voš_druh studia '!$H$69</f>
        <v>4.1676589664205767E-3</v>
      </c>
      <c r="D150" s="70">
        <f>29/'voš_druh studia '!$I$69</f>
        <v>4.0650406504065045E-3</v>
      </c>
      <c r="E150" s="71">
        <f>1/'voš_druh studia '!$C$70</f>
        <v>2.2109219544550078E-4</v>
      </c>
      <c r="F150" s="60">
        <f>1/'voš_druh studia '!$H$70</f>
        <v>3.076923076923077E-4</v>
      </c>
      <c r="G150" s="61">
        <f>1/'voš_druh studia '!$I$70</f>
        <v>3.4317089910775565E-4</v>
      </c>
      <c r="I150" s="52">
        <v>18</v>
      </c>
      <c r="J150" s="360">
        <f>65/'voš_druh studia '!$C$73</f>
        <v>7.3189956086026344E-3</v>
      </c>
      <c r="K150" s="60">
        <f>46/'voš_druh studia '!$H$73</f>
        <v>6.2178967288456337E-3</v>
      </c>
      <c r="L150" s="70">
        <f>43/'voš_druh studia '!$I$73</f>
        <v>6.7801955219173766E-3</v>
      </c>
      <c r="M150" s="71">
        <f>3/'voš_druh studia '!$C$74</f>
        <v>7.4386312918423014E-4</v>
      </c>
      <c r="N150" s="60">
        <f>1/'voš_druh studia '!$H$74</f>
        <v>3.2948929159802305E-4</v>
      </c>
      <c r="O150" s="61">
        <f>1/'voš_druh studia '!$I$74</f>
        <v>3.6927621861152144E-4</v>
      </c>
      <c r="P150" s="16"/>
    </row>
    <row r="151" spans="1:16" x14ac:dyDescent="0.2">
      <c r="A151" s="53">
        <v>19</v>
      </c>
      <c r="B151" s="277">
        <f>4207/'voš_druh studia '!$C$69</f>
        <v>0.41468703794972894</v>
      </c>
      <c r="C151" s="63">
        <f>3424/'voš_druh studia '!$H$69</f>
        <v>0.40771612288640152</v>
      </c>
      <c r="D151" s="72">
        <f>2849/'voš_druh studia '!$I$69</f>
        <v>0.39935520044855621</v>
      </c>
      <c r="E151" s="348">
        <f>215/'voš_druh studia '!$C$70</f>
        <v>4.7534822020782665E-2</v>
      </c>
      <c r="F151" s="63">
        <f>112/'voš_druh studia '!$H$70</f>
        <v>3.446153846153846E-2</v>
      </c>
      <c r="G151" s="64">
        <f>99/'voš_druh studia '!$I$70</f>
        <v>3.3973919011667811E-2</v>
      </c>
      <c r="I151" s="53">
        <v>19</v>
      </c>
      <c r="J151" s="277">
        <f>3649/'voš_druh studia '!$C$73</f>
        <v>0.4108771534737079</v>
      </c>
      <c r="K151" s="63">
        <f>2969/'voš_druh studia '!$H$73</f>
        <v>0.40132468234658014</v>
      </c>
      <c r="L151" s="72">
        <f>2474/'voš_druh studia '!$I$73</f>
        <v>0.39009776095868809</v>
      </c>
      <c r="M151" s="348">
        <f>220/'voš_druh studia '!$C$74</f>
        <v>5.4549962806843544E-2</v>
      </c>
      <c r="N151" s="63">
        <f>140/'voš_druh studia '!$H$74</f>
        <v>4.6128500823723231E-2</v>
      </c>
      <c r="O151" s="64">
        <f>118/'voš_druh studia '!$I$74</f>
        <v>4.3574593796159529E-2</v>
      </c>
      <c r="P151" s="16"/>
    </row>
    <row r="152" spans="1:16" x14ac:dyDescent="0.2">
      <c r="A152" s="53">
        <v>20</v>
      </c>
      <c r="B152" s="277">
        <f>2697/'voš_druh studia '!$C$69</f>
        <v>0.26584524396254311</v>
      </c>
      <c r="C152" s="63">
        <f>2224/'voš_druh studia '!$H$69</f>
        <v>0.26482495832341035</v>
      </c>
      <c r="D152" s="72">
        <f>1888/'voš_druh studia '!$I$69</f>
        <v>0.26464816372301653</v>
      </c>
      <c r="E152" s="347">
        <f>324/'voš_druh studia '!$C$70</f>
        <v>7.1633871324342249E-2</v>
      </c>
      <c r="F152" s="63">
        <f>210/'voš_druh studia '!$H$70</f>
        <v>6.4615384615384616E-2</v>
      </c>
      <c r="G152" s="64">
        <f>172/'voš_druh studia '!$I$70</f>
        <v>5.9025394646533974E-2</v>
      </c>
      <c r="I152" s="53">
        <v>20</v>
      </c>
      <c r="J152" s="277">
        <f>2348/'voš_druh studia '!$C$73</f>
        <v>0.26438464136921519</v>
      </c>
      <c r="K152" s="63">
        <f>1929/'voš_druh studia '!$H$73</f>
        <v>0.26074614760746145</v>
      </c>
      <c r="L152" s="72">
        <f>1680/'voš_druh studia '!$I$73</f>
        <v>0.26490066225165565</v>
      </c>
      <c r="M152" s="347">
        <f>308/'voš_druh studia '!$C$74</f>
        <v>7.6369947929580961E-2</v>
      </c>
      <c r="N152" s="63">
        <f>213/'voš_druh studia '!$H$74</f>
        <v>7.0181219110378917E-2</v>
      </c>
      <c r="O152" s="64">
        <f>187/'voš_druh studia '!$I$74</f>
        <v>6.9054652880354506E-2</v>
      </c>
      <c r="P152" s="16"/>
    </row>
    <row r="153" spans="1:16" x14ac:dyDescent="0.2">
      <c r="A153" s="53">
        <v>21</v>
      </c>
      <c r="B153" s="277">
        <f>1261/'voš_druh studia '!$C$69</f>
        <v>0.12429768358797437</v>
      </c>
      <c r="C153" s="63">
        <f>1068/'voš_druh studia '!$H$69</f>
        <v>0.12717313646106215</v>
      </c>
      <c r="D153" s="72">
        <f>919/'voš_druh studia '!$I$69</f>
        <v>0.12881973647322681</v>
      </c>
      <c r="E153" s="347">
        <f>329/'voš_druh studia '!$C$70</f>
        <v>7.2739332301569759E-2</v>
      </c>
      <c r="F153" s="63">
        <f>223/'voš_druh studia '!$H$70</f>
        <v>6.861538461538462E-2</v>
      </c>
      <c r="G153" s="64">
        <f>185/'voš_druh studia '!$I$70</f>
        <v>6.3486616334934798E-2</v>
      </c>
      <c r="I153" s="53">
        <v>21</v>
      </c>
      <c r="J153" s="277">
        <f>1008/'voš_druh studia '!$C$73</f>
        <v>0.11350073189956086</v>
      </c>
      <c r="K153" s="63">
        <f>878/'voš_druh studia '!$H$73</f>
        <v>0.11868072452014058</v>
      </c>
      <c r="L153" s="72">
        <f>762/'voš_druh studia '!$I$73</f>
        <v>0.12015137180700095</v>
      </c>
      <c r="M153" s="347">
        <f>301/'voš_druh studia '!$C$74</f>
        <v>7.4634267294817758E-2</v>
      </c>
      <c r="N153" s="63">
        <f>214/'voš_druh studia '!$H$74</f>
        <v>7.0510708401976929E-2</v>
      </c>
      <c r="O153" s="64">
        <f>191/'voš_druh studia '!$I$74</f>
        <v>7.0531757754800598E-2</v>
      </c>
      <c r="P153" s="16"/>
    </row>
    <row r="154" spans="1:16" x14ac:dyDescent="0.2">
      <c r="A154" s="53">
        <v>22</v>
      </c>
      <c r="B154" s="277">
        <f>714/'voš_druh studia '!$C$69</f>
        <v>7.0379497289305079E-2</v>
      </c>
      <c r="C154" s="63">
        <f>599/'voš_druh studia '!$H$69</f>
        <v>7.1326506311026439E-2</v>
      </c>
      <c r="D154" s="72">
        <f>531/'voš_druh studia '!$I$69</f>
        <v>7.4432296047098404E-2</v>
      </c>
      <c r="E154" s="347">
        <f>343/'voš_druh studia '!$C$70</f>
        <v>7.5834623037806762E-2</v>
      </c>
      <c r="F154" s="63">
        <f>239/'voš_druh studia '!$H$70</f>
        <v>7.3538461538461539E-2</v>
      </c>
      <c r="G154" s="64">
        <f>224/'voš_druh studia '!$I$70</f>
        <v>7.6870281400137269E-2</v>
      </c>
      <c r="I154" s="53">
        <v>22</v>
      </c>
      <c r="J154" s="277">
        <f>644/'voš_druh studia '!$C$73</f>
        <v>7.2514356491386101E-2</v>
      </c>
      <c r="K154" s="63">
        <f>559/'voš_druh studia '!$H$73</f>
        <v>7.5560962422276293E-2</v>
      </c>
      <c r="L154" s="72">
        <f>478/'voš_druh studia '!$I$73</f>
        <v>7.537054556922107E-2</v>
      </c>
      <c r="M154" s="347">
        <f>317/'voš_druh studia '!$C$74</f>
        <v>7.8601537317133652E-2</v>
      </c>
      <c r="N154" s="63">
        <f>215/'voš_druh studia '!$H$74</f>
        <v>7.0840197693574955E-2</v>
      </c>
      <c r="O154" s="64">
        <f>183/'voš_druh studia '!$I$74</f>
        <v>6.7577548005908414E-2</v>
      </c>
      <c r="P154" s="16"/>
    </row>
    <row r="155" spans="1:16" x14ac:dyDescent="0.2">
      <c r="A155" s="53">
        <v>23</v>
      </c>
      <c r="B155" s="277">
        <f>477/'voš_druh studia '!$C$69</f>
        <v>4.7018235584031544E-2</v>
      </c>
      <c r="C155" s="63">
        <f>416/'voš_druh studia '!$H$69</f>
        <v>4.9535603715170282E-2</v>
      </c>
      <c r="D155" s="72">
        <f>364/'voš_druh studia '!$I$69</f>
        <v>5.1023268853378191E-2</v>
      </c>
      <c r="E155" s="347">
        <f>316/'voš_druh studia '!$C$70</f>
        <v>6.9865133760778242E-2</v>
      </c>
      <c r="F155" s="63">
        <f>222/'voš_druh studia '!$H$70</f>
        <v>6.8307692307692305E-2</v>
      </c>
      <c r="G155" s="64">
        <f>198/'voš_druh studia '!$I$70</f>
        <v>6.7947838023335622E-2</v>
      </c>
      <c r="I155" s="53">
        <v>23</v>
      </c>
      <c r="J155" s="277">
        <f>444/'voš_druh studia '!$C$73</f>
        <v>4.9994370003377996E-2</v>
      </c>
      <c r="K155" s="63">
        <f>397/'voš_druh studia '!$H$73</f>
        <v>5.3663152203298189E-2</v>
      </c>
      <c r="L155" s="72">
        <f>358/'voš_druh studia '!$I$73</f>
        <v>5.6449069694102808E-2</v>
      </c>
      <c r="M155" s="347">
        <f>258/'voš_druh studia '!$C$74</f>
        <v>6.3972229109843792E-2</v>
      </c>
      <c r="N155" s="63">
        <f>199/'voš_druh studia '!$H$74</f>
        <v>6.5568369028006585E-2</v>
      </c>
      <c r="O155" s="64">
        <f>172/'voš_druh studia '!$I$74</f>
        <v>6.3515509601181686E-2</v>
      </c>
      <c r="P155" s="16"/>
    </row>
    <row r="156" spans="1:16" x14ac:dyDescent="0.2">
      <c r="A156" s="53">
        <v>24</v>
      </c>
      <c r="B156" s="277">
        <f>274/'voš_druh studia '!$C$69</f>
        <v>2.7008378511582061E-2</v>
      </c>
      <c r="C156" s="63">
        <f>237/'voš_druh studia '!$H$69</f>
        <v>2.822100500119076E-2</v>
      </c>
      <c r="D156" s="72">
        <f>208/'voš_druh studia '!$I$69</f>
        <v>2.9156153630501822E-2</v>
      </c>
      <c r="E156" s="347">
        <f>276/'voš_druh studia '!$C$70</f>
        <v>6.1021445942958212E-2</v>
      </c>
      <c r="F156" s="63">
        <f>195/'voš_druh studia '!$H$70</f>
        <v>0.06</v>
      </c>
      <c r="G156" s="64">
        <f>170/'voš_druh studia '!$I$70</f>
        <v>5.8339052848318459E-2</v>
      </c>
      <c r="I156" s="53">
        <v>24</v>
      </c>
      <c r="J156" s="277">
        <f>266/'voš_druh studia '!$C$73</f>
        <v>2.9951582029050784E-2</v>
      </c>
      <c r="K156" s="278">
        <f>229/'voš_druh studia '!$H$73</f>
        <v>3.0954311976209785E-2</v>
      </c>
      <c r="L156" s="72">
        <f>201/'voš_druh studia '!$I$73</f>
        <v>3.1693472090823085E-2</v>
      </c>
      <c r="M156" s="347">
        <f>221/'voš_druh studia '!$C$74</f>
        <v>5.4797917183238287E-2</v>
      </c>
      <c r="N156" s="63">
        <f>166/'voš_druh studia '!$H$74</f>
        <v>5.4695222405271832E-2</v>
      </c>
      <c r="O156" s="64">
        <f>148/'voš_druh studia '!$I$74</f>
        <v>5.4652880354505169E-2</v>
      </c>
      <c r="P156" s="16"/>
    </row>
    <row r="157" spans="1:16" x14ac:dyDescent="0.2">
      <c r="A157" s="53">
        <v>25</v>
      </c>
      <c r="B157" s="277">
        <f>173/'voš_druh studia '!$C$69</f>
        <v>1.7052735337604732E-2</v>
      </c>
      <c r="C157" s="63">
        <f>151/'voš_druh studia '!$H$69</f>
        <v>1.7980471540843059E-2</v>
      </c>
      <c r="D157" s="72">
        <f>138/'voš_druh studia '!$I$69</f>
        <v>1.9343986543313711E-2</v>
      </c>
      <c r="E157" s="347">
        <f>232/'voš_druh studia '!$C$70</f>
        <v>5.1293389343356179E-2</v>
      </c>
      <c r="F157" s="63">
        <f>155/'voš_druh studia '!$H$70</f>
        <v>4.7692307692307694E-2</v>
      </c>
      <c r="G157" s="64">
        <f>141/'voš_druh studia '!$I$70</f>
        <v>4.8387096774193547E-2</v>
      </c>
      <c r="I157" s="53">
        <v>25</v>
      </c>
      <c r="J157" s="277">
        <f>151/'voš_druh studia '!$C$73</f>
        <v>1.700258979844612E-2</v>
      </c>
      <c r="K157" s="63">
        <f>136/'voš_druh studia '!$H$73</f>
        <v>1.8383346850500134E-2</v>
      </c>
      <c r="L157" s="72">
        <f>127/'voš_druh studia '!$I$73</f>
        <v>2.0025228634500156E-2</v>
      </c>
      <c r="M157" s="347">
        <f>217/'voš_druh studia '!$C$74</f>
        <v>5.3806099677659314E-2</v>
      </c>
      <c r="N157" s="63">
        <f>170/'voš_druh studia '!$H$74</f>
        <v>5.6013179571663921E-2</v>
      </c>
      <c r="O157" s="64">
        <f>146/'voš_druh studia '!$I$74</f>
        <v>5.391432791728213E-2</v>
      </c>
      <c r="P157" s="16"/>
    </row>
    <row r="158" spans="1:16" x14ac:dyDescent="0.2">
      <c r="A158" s="53">
        <v>26</v>
      </c>
      <c r="B158" s="277">
        <f>33/'voš_druh studia '!$C$69</f>
        <v>3.2528339083292262E-3</v>
      </c>
      <c r="C158" s="63">
        <f>28/'voš_druh studia '!$H$69</f>
        <v>3.334127173136461E-3</v>
      </c>
      <c r="D158" s="72">
        <f>19/'voš_druh studia '!$I$69</f>
        <v>2.6633024950939166E-3</v>
      </c>
      <c r="E158" s="347">
        <f>207/'voš_druh studia '!$C$70</f>
        <v>4.5766084457218657E-2</v>
      </c>
      <c r="F158" s="63">
        <f>148/'voš_druh studia '!$H$70</f>
        <v>4.5538461538461542E-2</v>
      </c>
      <c r="G158" s="64">
        <f>136/'voš_druh studia '!$I$70</f>
        <v>4.6671242278654768E-2</v>
      </c>
      <c r="I158" s="53">
        <v>26</v>
      </c>
      <c r="J158" s="277">
        <f>29/'voš_druh studia '!$C$73</f>
        <v>3.2653980407611753E-3</v>
      </c>
      <c r="K158" s="63">
        <f>24/'voš_druh studia '!$H$73</f>
        <v>3.2441200324412004E-3</v>
      </c>
      <c r="L158" s="72">
        <f>20/'voš_druh studia '!$I$73</f>
        <v>3.1535793125197099E-3</v>
      </c>
      <c r="M158" s="347">
        <f>176/'voš_druh studia '!$C$74</f>
        <v>4.3639970245474835E-2</v>
      </c>
      <c r="N158" s="63">
        <f>125/'voš_druh studia '!$H$74</f>
        <v>4.118616144975288E-2</v>
      </c>
      <c r="O158" s="64">
        <f>112/'voš_druh studia '!$I$74</f>
        <v>4.1358936484490398E-2</v>
      </c>
      <c r="P158" s="16"/>
    </row>
    <row r="159" spans="1:16" x14ac:dyDescent="0.2">
      <c r="A159" s="53">
        <v>27</v>
      </c>
      <c r="B159" s="277">
        <f>25/'voš_druh studia '!$C$69</f>
        <v>2.4642681123706258E-3</v>
      </c>
      <c r="C159" s="63">
        <f>17/'voš_druh studia '!$H$69</f>
        <v>2.0242914979757085E-3</v>
      </c>
      <c r="D159" s="72">
        <f>17/'voš_druh studia '!$I$69</f>
        <v>2.382954864031399E-3</v>
      </c>
      <c r="E159" s="347">
        <f>138/'voš_druh studia '!$C$70</f>
        <v>3.0510722971479106E-2</v>
      </c>
      <c r="F159" s="63">
        <f>95/'voš_druh studia '!$H$70</f>
        <v>2.923076923076923E-2</v>
      </c>
      <c r="G159" s="64">
        <f>90/'voš_druh studia '!$I$70</f>
        <v>3.0885380919698009E-2</v>
      </c>
      <c r="I159" s="53">
        <v>27</v>
      </c>
      <c r="J159" s="277">
        <f>30/'voš_druh studia '!$C$73</f>
        <v>3.377997973201216E-3</v>
      </c>
      <c r="K159" s="63">
        <f>22/'voš_druh studia '!$H$73</f>
        <v>2.9737766964044337E-3</v>
      </c>
      <c r="L159" s="72">
        <f>19/'voš_druh studia '!$I$73</f>
        <v>2.9959003468937244E-3</v>
      </c>
      <c r="M159" s="347">
        <f>153/'voš_druh studia '!$C$74</f>
        <v>3.7937019588395737E-2</v>
      </c>
      <c r="N159" s="63">
        <f>128/'voš_druh studia '!$H$74</f>
        <v>4.217462932454695E-2</v>
      </c>
      <c r="O159" s="64">
        <f>118/'voš_druh studia '!$I$74</f>
        <v>4.3574593796159529E-2</v>
      </c>
      <c r="P159" s="16"/>
    </row>
    <row r="160" spans="1:16" x14ac:dyDescent="0.2">
      <c r="A160" s="53">
        <v>28</v>
      </c>
      <c r="B160" s="277">
        <f>18/'voš_druh studia '!$C$69</f>
        <v>1.7742730409068506E-3</v>
      </c>
      <c r="C160" s="63">
        <f>15/'voš_druh studia '!$H$69</f>
        <v>1.7861395570373899E-3</v>
      </c>
      <c r="D160" s="72">
        <f>13/'voš_druh studia '!$I$69</f>
        <v>1.8222596019063638E-3</v>
      </c>
      <c r="E160" s="347">
        <f>127/'voš_druh studia '!$C$70</f>
        <v>2.8078708821578598E-2</v>
      </c>
      <c r="F160" s="63">
        <f>86/'voš_druh studia '!$H$70</f>
        <v>2.646153846153846E-2</v>
      </c>
      <c r="G160" s="64">
        <f>82/'voš_druh studia '!$I$70</f>
        <v>2.8140013726835965E-2</v>
      </c>
      <c r="I160" s="53">
        <v>28</v>
      </c>
      <c r="J160" s="277">
        <f>28/'voš_druh studia '!$C$73</f>
        <v>3.1527981083211351E-3</v>
      </c>
      <c r="K160" s="63">
        <f>26/'voš_druh studia '!$H$73</f>
        <v>3.5144633684779671E-3</v>
      </c>
      <c r="L160" s="72">
        <f>23/'voš_druh studia '!$I$73</f>
        <v>3.6266162093976663E-3</v>
      </c>
      <c r="M160" s="347">
        <f>120/'voš_druh studia '!$C$74</f>
        <v>2.9754525167369206E-2</v>
      </c>
      <c r="N160" s="63">
        <f>95/'voš_druh studia '!$H$74</f>
        <v>3.130148270181219E-2</v>
      </c>
      <c r="O160" s="64">
        <f>89/'voš_druh studia '!$I$74</f>
        <v>3.2865583456425408E-2</v>
      </c>
      <c r="P160" s="16"/>
    </row>
    <row r="161" spans="1:16" x14ac:dyDescent="0.2">
      <c r="A161" s="53">
        <v>29</v>
      </c>
      <c r="B161" s="277">
        <f>20/'voš_druh studia '!$C$69</f>
        <v>1.9714144898965009E-3</v>
      </c>
      <c r="C161" s="63">
        <f>13/'voš_druh studia '!$H$69</f>
        <v>1.5479876160990713E-3</v>
      </c>
      <c r="D161" s="72">
        <f>11/'voš_druh studia '!$I$69</f>
        <v>1.5419119708438463E-3</v>
      </c>
      <c r="E161" s="347">
        <f>137/'voš_druh studia '!$C$70</f>
        <v>3.0289630776033607E-2</v>
      </c>
      <c r="F161" s="63">
        <f>102/'voš_druh studia '!$H$70</f>
        <v>3.1384615384615386E-2</v>
      </c>
      <c r="G161" s="64">
        <f>91/'voš_druh studia '!$I$70</f>
        <v>3.1228551818805766E-2</v>
      </c>
      <c r="I161" s="53">
        <v>29</v>
      </c>
      <c r="J161" s="277">
        <f>19/'voš_druh studia '!$C$73</f>
        <v>2.13939871636077E-3</v>
      </c>
      <c r="K161" s="63">
        <f>16/'voš_druh studia '!$H$73</f>
        <v>2.1627466882941336E-3</v>
      </c>
      <c r="L161" s="72">
        <f>14/'voš_druh studia '!$I$73</f>
        <v>2.2075055187637969E-3</v>
      </c>
      <c r="M161" s="347">
        <f>101/'voš_druh studia '!$C$74</f>
        <v>2.5043392015869081E-2</v>
      </c>
      <c r="N161" s="63">
        <f>81/'voš_druh studia '!$H$74</f>
        <v>2.6688632619439868E-2</v>
      </c>
      <c r="O161" s="64">
        <f>70/'voš_druh studia '!$I$74</f>
        <v>2.58493353028065E-2</v>
      </c>
      <c r="P161" s="16"/>
    </row>
    <row r="162" spans="1:16" x14ac:dyDescent="0.2">
      <c r="A162" s="54" t="s">
        <v>25</v>
      </c>
      <c r="B162" s="280">
        <f>194/'voš_druh studia '!$C$69</f>
        <v>1.9122720551996056E-2</v>
      </c>
      <c r="C162" s="66">
        <f>171/'voš_druh studia '!$H$69</f>
        <v>2.0361990950226245E-2</v>
      </c>
      <c r="D162" s="74">
        <f>148/'voš_druh studia '!$I$69</f>
        <v>2.0745724698626296E-2</v>
      </c>
      <c r="E162" s="266">
        <f>1878/'voš_druh studia '!$C$70</f>
        <v>0.41521114304665047</v>
      </c>
      <c r="F162" s="66">
        <f>1462/'voš_druh studia '!$H$70</f>
        <v>0.44984615384615384</v>
      </c>
      <c r="G162" s="67">
        <f>1325/'voš_druh studia '!$I$70</f>
        <v>0.45470144131777623</v>
      </c>
      <c r="I162" s="54" t="s">
        <v>25</v>
      </c>
      <c r="J162" s="280">
        <f>200/'voš_druh studia '!$C$73</f>
        <v>2.2519986488008108E-2</v>
      </c>
      <c r="K162" s="66">
        <f>167/'voš_druh studia '!$H$73</f>
        <v>2.2573668559070018E-2</v>
      </c>
      <c r="L162" s="74">
        <f>143/'voš_druh studia '!$I$73</f>
        <v>2.2548092084515924E-2</v>
      </c>
      <c r="M162" s="266">
        <f>1638/'voš_druh studia '!$C$74</f>
        <v>0.40614926853458966</v>
      </c>
      <c r="N162" s="66">
        <f>1288/'voš_druh studia '!$H$74</f>
        <v>0.42438220757825373</v>
      </c>
      <c r="O162" s="67">
        <f>1173/'voš_druh studia '!$I$74</f>
        <v>0.43316100443131461</v>
      </c>
      <c r="P162" s="16"/>
    </row>
    <row r="163" spans="1:16" ht="13.5" thickBot="1" x14ac:dyDescent="0.25">
      <c r="A163" s="29" t="s">
        <v>26</v>
      </c>
      <c r="B163" s="228">
        <v>20.584299999999999</v>
      </c>
      <c r="C163" s="229">
        <v>20.638000000000002</v>
      </c>
      <c r="D163" s="230">
        <v>20.674199999999999</v>
      </c>
      <c r="E163" s="231">
        <v>29.549399999999999</v>
      </c>
      <c r="F163" s="229">
        <v>30.232600000000001</v>
      </c>
      <c r="G163" s="232">
        <v>30.368200000000002</v>
      </c>
      <c r="I163" s="29" t="s">
        <v>26</v>
      </c>
      <c r="J163" s="228">
        <v>20.683499999999999</v>
      </c>
      <c r="K163" s="229">
        <v>20.731999999999999</v>
      </c>
      <c r="L163" s="230">
        <v>20.767099999999999</v>
      </c>
      <c r="M163" s="231">
        <v>29.361499999999999</v>
      </c>
      <c r="N163" s="229">
        <v>29.8339</v>
      </c>
      <c r="O163" s="232">
        <v>30.0015</v>
      </c>
      <c r="P163" s="16"/>
    </row>
    <row r="164" spans="1:16" ht="13.5" thickTop="1" x14ac:dyDescent="0.2">
      <c r="J164" s="16"/>
      <c r="K164" s="16"/>
      <c r="L164" s="16"/>
      <c r="M164" s="16"/>
      <c r="N164" s="16"/>
      <c r="O164" s="16"/>
      <c r="P164" s="16"/>
    </row>
    <row r="165" spans="1:16" ht="13.5" thickBot="1" x14ac:dyDescent="0.25">
      <c r="A165" s="26" t="s">
        <v>145</v>
      </c>
      <c r="B165" s="268"/>
      <c r="C165" s="268"/>
      <c r="D165" s="268"/>
      <c r="E165" s="268"/>
      <c r="F165" s="268"/>
      <c r="G165" s="268"/>
      <c r="I165" s="26" t="s">
        <v>148</v>
      </c>
      <c r="J165" s="268"/>
      <c r="K165" s="268"/>
      <c r="L165" s="268"/>
      <c r="M165" s="268"/>
      <c r="N165" s="268"/>
      <c r="O165" s="268"/>
      <c r="P165" s="16"/>
    </row>
    <row r="166" spans="1:16" ht="51.75" thickTop="1" x14ac:dyDescent="0.2">
      <c r="A166" s="27" t="s">
        <v>146</v>
      </c>
      <c r="B166" s="442" t="s">
        <v>103</v>
      </c>
      <c r="C166" s="443" t="s">
        <v>104</v>
      </c>
      <c r="D166" s="444" t="s">
        <v>105</v>
      </c>
      <c r="E166" s="445" t="s">
        <v>103</v>
      </c>
      <c r="F166" s="443" t="s">
        <v>104</v>
      </c>
      <c r="G166" s="446" t="s">
        <v>105</v>
      </c>
      <c r="I166" s="27" t="s">
        <v>150</v>
      </c>
      <c r="J166" s="442" t="s">
        <v>103</v>
      </c>
      <c r="K166" s="443" t="s">
        <v>104</v>
      </c>
      <c r="L166" s="444" t="s">
        <v>105</v>
      </c>
      <c r="M166" s="445" t="s">
        <v>103</v>
      </c>
      <c r="N166" s="443" t="s">
        <v>104</v>
      </c>
      <c r="O166" s="446" t="s">
        <v>105</v>
      </c>
      <c r="P166" s="16"/>
    </row>
    <row r="167" spans="1:16" ht="13.5" thickBot="1" x14ac:dyDescent="0.25">
      <c r="A167" s="28"/>
      <c r="B167" s="56" t="s">
        <v>90</v>
      </c>
      <c r="C167" s="57"/>
      <c r="D167" s="68"/>
      <c r="E167" s="69" t="s">
        <v>97</v>
      </c>
      <c r="F167" s="57"/>
      <c r="G167" s="58"/>
      <c r="I167" s="28"/>
      <c r="J167" s="56" t="s">
        <v>90</v>
      </c>
      <c r="K167" s="57"/>
      <c r="L167" s="68"/>
      <c r="M167" s="69" t="s">
        <v>97</v>
      </c>
      <c r="N167" s="57"/>
      <c r="O167" s="58"/>
      <c r="P167" s="16"/>
    </row>
    <row r="168" spans="1:16" ht="13.5" thickTop="1" x14ac:dyDescent="0.2">
      <c r="A168" s="52" t="s">
        <v>147</v>
      </c>
      <c r="B168" s="360">
        <f>64/'voš_druh studia '!$C$77</f>
        <v>8.3583648948674424E-3</v>
      </c>
      <c r="C168" s="60">
        <f>54/'voš_druh studia '!$H$77</f>
        <v>8.4878968877711413E-3</v>
      </c>
      <c r="D168" s="70">
        <f>53/'voš_druh studia '!$I$77</f>
        <v>9.7265553312534409E-3</v>
      </c>
      <c r="E168" s="71">
        <f>1/'voš_druh studia '!$C$78</f>
        <v>2.3413720440177945E-4</v>
      </c>
      <c r="F168" s="60">
        <f>0/'voš_druh studia '!$H$78</f>
        <v>0</v>
      </c>
      <c r="G168" s="61">
        <f>0/'voš_druh studia '!$I$78</f>
        <v>0</v>
      </c>
      <c r="I168" s="52" t="s">
        <v>147</v>
      </c>
      <c r="J168" s="360">
        <v>2.8999999999999998E-3</v>
      </c>
      <c r="K168" s="60">
        <v>3.3E-3</v>
      </c>
      <c r="L168" s="70">
        <v>3.2000000000000002E-3</v>
      </c>
      <c r="M168" s="71">
        <v>6.9999999999999999E-4</v>
      </c>
      <c r="N168" s="60">
        <v>2.9999999999999997E-4</v>
      </c>
      <c r="O168" s="61">
        <v>4.0000000000000002E-4</v>
      </c>
      <c r="P168" s="16"/>
    </row>
    <row r="169" spans="1:16" x14ac:dyDescent="0.2">
      <c r="A169" s="53">
        <v>19</v>
      </c>
      <c r="B169" s="277">
        <f>3101/'voš_druh studia '!$C$77</f>
        <v>0.404988899046624</v>
      </c>
      <c r="C169" s="63">
        <f>2516/'voš_druh studia '!$H$77</f>
        <v>0.39547312165985538</v>
      </c>
      <c r="D169" s="72">
        <f>2093/'voš_druh studia '!$I$77</f>
        <v>0.38410717562855567</v>
      </c>
      <c r="E169" s="348">
        <f>206/'voš_druh studia '!$C$78</f>
        <v>4.8232264106766565E-2</v>
      </c>
      <c r="F169" s="63">
        <f>133/'voš_druh studia '!$H$78</f>
        <v>4.1176470588235294E-2</v>
      </c>
      <c r="G169" s="64">
        <f>109/'voš_druh studia '!$I$78</f>
        <v>3.7860368183397011E-2</v>
      </c>
      <c r="I169" s="53">
        <v>19</v>
      </c>
      <c r="J169" s="277">
        <v>0.42070000000000002</v>
      </c>
      <c r="K169" s="63">
        <v>0.40849999999999997</v>
      </c>
      <c r="L169" s="72">
        <v>0.3997</v>
      </c>
      <c r="M169" s="348">
        <v>5.6300000000000003E-2</v>
      </c>
      <c r="N169" s="63">
        <v>4.5900000000000003E-2</v>
      </c>
      <c r="O169" s="64">
        <v>4.36E-2</v>
      </c>
      <c r="P169" s="16"/>
    </row>
    <row r="170" spans="1:16" x14ac:dyDescent="0.2">
      <c r="A170" s="53">
        <v>20</v>
      </c>
      <c r="B170" s="277">
        <f>2054/'voš_druh studia '!$C$77</f>
        <v>0.26825127334465193</v>
      </c>
      <c r="C170" s="63">
        <f>1704/'voš_druh studia '!$H$77</f>
        <v>0.26784030179188933</v>
      </c>
      <c r="D170" s="72">
        <f>1441/'voš_druh studia '!$I$77</f>
        <v>0.26445219306294732</v>
      </c>
      <c r="E170" s="347">
        <f>329/'voš_druh studia '!$C$78</f>
        <v>7.7031140248185442E-2</v>
      </c>
      <c r="F170" s="63">
        <f>244/'voš_druh studia '!$H$78</f>
        <v>7.5541795665634681E-2</v>
      </c>
      <c r="G170" s="64">
        <f>200/'voš_druh studia '!$I$78</f>
        <v>6.9468565474122959E-2</v>
      </c>
      <c r="I170" s="53">
        <v>20</v>
      </c>
      <c r="J170" s="277">
        <v>0.26519999999999999</v>
      </c>
      <c r="K170" s="63">
        <v>0.26219999999999999</v>
      </c>
      <c r="L170" s="72">
        <v>0.26040000000000002</v>
      </c>
      <c r="M170" s="347">
        <v>8.1699999999999995E-2</v>
      </c>
      <c r="N170" s="63">
        <v>7.4499999999999997E-2</v>
      </c>
      <c r="O170" s="64">
        <v>7.3499999999999996E-2</v>
      </c>
      <c r="P170" s="16"/>
    </row>
    <row r="171" spans="1:16" x14ac:dyDescent="0.2">
      <c r="A171" s="53">
        <v>21</v>
      </c>
      <c r="B171" s="277">
        <f>887/'voš_druh studia '!$C$77</f>
        <v>0.11584171346480344</v>
      </c>
      <c r="C171" s="63">
        <f>757/'voš_druh studia '!$H$77</f>
        <v>0.11898773970449544</v>
      </c>
      <c r="D171" s="72">
        <f>662/'voš_druh studia '!$I$77</f>
        <v>0.12149018168471279</v>
      </c>
      <c r="E171" s="347">
        <f>292/'voš_druh studia '!$C$78</f>
        <v>6.8368063685319599E-2</v>
      </c>
      <c r="F171" s="63">
        <f>207/'voš_druh studia '!$H$78</f>
        <v>6.408668730650155E-2</v>
      </c>
      <c r="G171" s="64">
        <f>183/'voš_druh studia '!$I$78</f>
        <v>6.3563737408822513E-2</v>
      </c>
      <c r="I171" s="53">
        <v>21</v>
      </c>
      <c r="J171" s="277">
        <v>0.11210000000000001</v>
      </c>
      <c r="K171" s="63">
        <v>0.1147</v>
      </c>
      <c r="L171" s="72">
        <v>0.11600000000000001</v>
      </c>
      <c r="M171" s="347">
        <v>7.2900000000000006E-2</v>
      </c>
      <c r="N171" s="63">
        <v>7.0400000000000004E-2</v>
      </c>
      <c r="O171" s="64">
        <v>6.9500000000000006E-2</v>
      </c>
      <c r="P171" s="16"/>
    </row>
    <row r="172" spans="1:16" x14ac:dyDescent="0.2">
      <c r="A172" s="53">
        <v>22</v>
      </c>
      <c r="B172" s="277">
        <f>519/'voš_druh studia '!$C$77</f>
        <v>6.778111531931566E-2</v>
      </c>
      <c r="C172" s="63">
        <f>439/'voš_druh studia '!$H$77</f>
        <v>6.9003458032065382E-2</v>
      </c>
      <c r="D172" s="72">
        <f>386/'voš_druh studia '!$I$77</f>
        <v>7.083868599743072E-2</v>
      </c>
      <c r="E172" s="347">
        <f>258/'voš_druh studia '!$C$78</f>
        <v>6.0407398735659097E-2</v>
      </c>
      <c r="F172" s="63">
        <f>203/'voš_druh studia '!$H$78</f>
        <v>6.2848297213622298E-2</v>
      </c>
      <c r="G172" s="64">
        <f>173/'voš_druh studia '!$I$78</f>
        <v>6.0090309135116357E-2</v>
      </c>
      <c r="I172" s="53">
        <v>22</v>
      </c>
      <c r="J172" s="277">
        <v>6.3100000000000003E-2</v>
      </c>
      <c r="K172" s="63">
        <v>6.6199999999999995E-2</v>
      </c>
      <c r="L172" s="72">
        <v>6.8199999999999997E-2</v>
      </c>
      <c r="M172" s="347">
        <v>6.1199999999999997E-2</v>
      </c>
      <c r="N172" s="63">
        <v>6.1499999999999999E-2</v>
      </c>
      <c r="O172" s="64">
        <v>6.1199999999999997E-2</v>
      </c>
      <c r="P172" s="16"/>
    </row>
    <row r="173" spans="1:16" x14ac:dyDescent="0.2">
      <c r="A173" s="53">
        <v>23</v>
      </c>
      <c r="B173" s="277">
        <f>354/'voš_druh studia '!$C$77</f>
        <v>4.6232205824735535E-2</v>
      </c>
      <c r="C173" s="63">
        <f>313/'voš_druh studia '!$H$77</f>
        <v>4.9198365293932726E-2</v>
      </c>
      <c r="D173" s="72">
        <f>281/'voš_druh studia '!$I$77</f>
        <v>5.1569095246834284E-2</v>
      </c>
      <c r="E173" s="347">
        <f>267/'voš_druh studia '!$C$78</f>
        <v>6.2514633575275105E-2</v>
      </c>
      <c r="F173" s="63">
        <f>193/'voš_druh studia '!$H$78</f>
        <v>5.9752321981424147E-2</v>
      </c>
      <c r="G173" s="64">
        <f>164/'voš_druh studia '!$I$78</f>
        <v>5.6964223688780825E-2</v>
      </c>
      <c r="I173" s="53">
        <v>23</v>
      </c>
      <c r="J173" s="277">
        <v>4.7100000000000003E-2</v>
      </c>
      <c r="K173" s="63">
        <v>5.11E-2</v>
      </c>
      <c r="L173" s="72">
        <v>5.3199999999999997E-2</v>
      </c>
      <c r="M173" s="347">
        <v>6.3E-2</v>
      </c>
      <c r="N173" s="63">
        <v>6.5600000000000006E-2</v>
      </c>
      <c r="O173" s="64">
        <v>6.6600000000000006E-2</v>
      </c>
      <c r="P173" s="16"/>
    </row>
    <row r="174" spans="1:16" x14ac:dyDescent="0.2">
      <c r="A174" s="53">
        <v>24</v>
      </c>
      <c r="B174" s="277">
        <f>236/'voš_druh studia '!$C$77</f>
        <v>3.082147054982369E-2</v>
      </c>
      <c r="C174" s="63">
        <f>205/'voš_druh studia '!$H$77</f>
        <v>3.222257151839044E-2</v>
      </c>
      <c r="D174" s="72">
        <f>191/'voš_druh studia '!$I$77</f>
        <v>3.5052303174894474E-2</v>
      </c>
      <c r="E174" s="347">
        <f>252/'voš_druh studia '!$C$78</f>
        <v>5.9002575509248423E-2</v>
      </c>
      <c r="F174" s="63">
        <f>187/'voš_druh studia '!$H$78</f>
        <v>5.7894736842105263E-2</v>
      </c>
      <c r="G174" s="64">
        <f>164/'voš_druh studia '!$I$78</f>
        <v>5.6964223688780825E-2</v>
      </c>
      <c r="I174" s="53">
        <v>24</v>
      </c>
      <c r="J174" s="277">
        <v>2.9700000000000001E-2</v>
      </c>
      <c r="K174" s="63">
        <v>3.2199999999999999E-2</v>
      </c>
      <c r="L174" s="72">
        <v>3.4000000000000002E-2</v>
      </c>
      <c r="M174" s="347">
        <v>5.5800000000000002E-2</v>
      </c>
      <c r="N174" s="63">
        <v>5.9200000000000003E-2</v>
      </c>
      <c r="O174" s="64">
        <v>5.8299999999999998E-2</v>
      </c>
      <c r="P174" s="16"/>
    </row>
    <row r="175" spans="1:16" x14ac:dyDescent="0.2">
      <c r="A175" s="53">
        <v>25</v>
      </c>
      <c r="B175" s="277">
        <f>122/'voš_druh studia '!$C$77</f>
        <v>1.5933133080841062E-2</v>
      </c>
      <c r="C175" s="63">
        <f>105/'voš_druh studia '!$H$77</f>
        <v>1.6504243948443884E-2</v>
      </c>
      <c r="D175" s="72">
        <f>101/'voš_druh studia '!$I$77</f>
        <v>1.853551110295467E-2</v>
      </c>
      <c r="E175" s="347">
        <f>201/'voš_druh studia '!$C$78</f>
        <v>4.7061578084757666E-2</v>
      </c>
      <c r="F175" s="63">
        <f>151/'voš_druh studia '!$H$78</f>
        <v>4.6749226006191948E-2</v>
      </c>
      <c r="G175" s="64">
        <f>139/'voš_druh studia '!$I$78</f>
        <v>4.8280653004515457E-2</v>
      </c>
      <c r="I175" s="53">
        <v>25</v>
      </c>
      <c r="J175" s="277">
        <v>2.01E-2</v>
      </c>
      <c r="K175" s="63">
        <v>2.1999999999999999E-2</v>
      </c>
      <c r="L175" s="72">
        <v>2.3900000000000001E-2</v>
      </c>
      <c r="M175" s="347">
        <v>4.3799999999999999E-2</v>
      </c>
      <c r="N175" s="63">
        <v>4.1700000000000001E-2</v>
      </c>
      <c r="O175" s="64">
        <v>4.1399999999999999E-2</v>
      </c>
      <c r="P175" s="16"/>
    </row>
    <row r="176" spans="1:16" x14ac:dyDescent="0.2">
      <c r="A176" s="53">
        <v>26</v>
      </c>
      <c r="B176" s="277">
        <f>33/'voš_druh studia '!$C$77</f>
        <v>4.3097818989160245E-3</v>
      </c>
      <c r="C176" s="63">
        <f>24/'voš_druh studia '!$H$77</f>
        <v>3.772398616787174E-3</v>
      </c>
      <c r="D176" s="72">
        <f>23/'voš_druh studia '!$I$77</f>
        <v>4.2209579739401724E-3</v>
      </c>
      <c r="E176" s="347">
        <f>182/'voš_druh studia '!$C$78</f>
        <v>4.261297120112386E-2</v>
      </c>
      <c r="F176" s="63">
        <f>139/'voš_druh studia '!$H$78</f>
        <v>4.3034055727554178E-2</v>
      </c>
      <c r="G176" s="64">
        <f>119/'voš_druh studia '!$I$78</f>
        <v>4.133379645710316E-2</v>
      </c>
      <c r="I176" s="53">
        <v>26</v>
      </c>
      <c r="J176" s="277">
        <v>4.4000000000000003E-3</v>
      </c>
      <c r="K176" s="63">
        <v>3.5999999999999999E-3</v>
      </c>
      <c r="L176" s="72">
        <v>3.5999999999999999E-3</v>
      </c>
      <c r="M176" s="347">
        <v>3.09E-2</v>
      </c>
      <c r="N176" s="63">
        <v>3.1199999999999999E-2</v>
      </c>
      <c r="O176" s="64">
        <v>3.3099999999999997E-2</v>
      </c>
      <c r="P176" s="16"/>
    </row>
    <row r="177" spans="1:16" x14ac:dyDescent="0.2">
      <c r="A177" s="53">
        <v>27</v>
      </c>
      <c r="B177" s="277">
        <f>32/'voš_druh studia '!$C$77</f>
        <v>4.1791824474337212E-3</v>
      </c>
      <c r="C177" s="63">
        <f>25/'voš_druh studia '!$H$77</f>
        <v>3.9295818924866398E-3</v>
      </c>
      <c r="D177" s="72">
        <f>22/'voš_druh studia '!$I$77</f>
        <v>4.0374380620297303E-3</v>
      </c>
      <c r="E177" s="347">
        <f>177/'voš_druh studia '!$C$78</f>
        <v>4.1442285179114961E-2</v>
      </c>
      <c r="F177" s="63">
        <f>129/'voš_druh studia '!$H$78</f>
        <v>3.9938080495356035E-2</v>
      </c>
      <c r="G177" s="64">
        <f>119/'voš_druh studia '!$I$78</f>
        <v>4.133379645710316E-2</v>
      </c>
      <c r="I177" s="53">
        <v>27</v>
      </c>
      <c r="J177" s="277">
        <v>4.4999999999999997E-3</v>
      </c>
      <c r="K177" s="63">
        <v>4.4999999999999997E-3</v>
      </c>
      <c r="L177" s="72">
        <v>4.8999999999999998E-3</v>
      </c>
      <c r="M177" s="347">
        <v>3.9600000000000003E-2</v>
      </c>
      <c r="N177" s="63">
        <v>4.0399999999999998E-2</v>
      </c>
      <c r="O177" s="64">
        <v>0.04</v>
      </c>
      <c r="P177" s="16"/>
    </row>
    <row r="178" spans="1:16" x14ac:dyDescent="0.2">
      <c r="A178" s="53">
        <v>28</v>
      </c>
      <c r="B178" s="277">
        <f>27/'voš_druh studia '!$C$77</f>
        <v>3.5261851900222018E-3</v>
      </c>
      <c r="C178" s="63">
        <f>22/'voš_druh studia '!$H$77</f>
        <v>3.4580320653882428E-3</v>
      </c>
      <c r="D178" s="72">
        <f>21/'voš_druh studia '!$I$77</f>
        <v>3.8539181501192881E-3</v>
      </c>
      <c r="E178" s="347">
        <f>162/'voš_druh studia '!$C$78</f>
        <v>3.7930227113088272E-2</v>
      </c>
      <c r="F178" s="63">
        <f>120/'voš_druh studia '!$H$78</f>
        <v>3.7151702786377708E-2</v>
      </c>
      <c r="G178" s="64">
        <f>109/'voš_druh studia '!$I$78</f>
        <v>3.7860368183397011E-2</v>
      </c>
      <c r="I178" s="53">
        <v>28</v>
      </c>
      <c r="J178" s="277">
        <v>3.2000000000000002E-3</v>
      </c>
      <c r="K178" s="63">
        <v>3.0999999999999999E-3</v>
      </c>
      <c r="L178" s="72">
        <v>3.5999999999999999E-3</v>
      </c>
      <c r="M178" s="347">
        <v>3.5799999999999998E-2</v>
      </c>
      <c r="N178" s="63">
        <v>3.4700000000000002E-2</v>
      </c>
      <c r="O178" s="64">
        <v>3.1699999999999999E-2</v>
      </c>
      <c r="P178" s="16"/>
    </row>
    <row r="179" spans="1:16" x14ac:dyDescent="0.2">
      <c r="A179" s="53">
        <v>29</v>
      </c>
      <c r="B179" s="277">
        <f>19/'voš_druh studia '!$C$77</f>
        <v>2.4813895781637717E-3</v>
      </c>
      <c r="C179" s="63">
        <f>18/'voš_druh studia '!$H$77</f>
        <v>2.8292989625903803E-3</v>
      </c>
      <c r="D179" s="72">
        <f>18/'voš_druh studia '!$I$77</f>
        <v>3.3033584143879612E-3</v>
      </c>
      <c r="E179" s="347">
        <f>130/'voš_druh studia '!$C$78</f>
        <v>3.0437836572231328E-2</v>
      </c>
      <c r="F179" s="63">
        <f>98/'voš_druh studia '!$H$78</f>
        <v>3.0340557275541795E-2</v>
      </c>
      <c r="G179" s="64">
        <f>92/'voš_druh studia '!$I$78</f>
        <v>3.1955540118096558E-2</v>
      </c>
      <c r="I179" s="53">
        <v>29</v>
      </c>
      <c r="J179" s="277">
        <v>2.5000000000000001E-3</v>
      </c>
      <c r="K179" s="63">
        <v>2.3999999999999998E-3</v>
      </c>
      <c r="L179" s="72">
        <v>2.5999999999999999E-3</v>
      </c>
      <c r="M179" s="347">
        <v>3.39E-2</v>
      </c>
      <c r="N179" s="63">
        <v>3.4099999999999998E-2</v>
      </c>
      <c r="O179" s="64">
        <v>3.49E-2</v>
      </c>
      <c r="P179" s="16"/>
    </row>
    <row r="180" spans="1:16" x14ac:dyDescent="0.2">
      <c r="A180" s="54" t="s">
        <v>25</v>
      </c>
      <c r="B180" s="280">
        <f>209/'voš_druh studia '!$C$77</f>
        <v>2.729528535980149E-2</v>
      </c>
      <c r="C180" s="66">
        <f>180/'voš_druh studia '!$H$77</f>
        <v>2.8292989625903806E-2</v>
      </c>
      <c r="D180" s="74">
        <f>157/'voš_druh studia '!$I$77</f>
        <v>2.8812626169939438E-2</v>
      </c>
      <c r="E180" s="266">
        <f>1814/'voš_druh studia '!$C$78</f>
        <v>0.42472488878482789</v>
      </c>
      <c r="F180" s="66">
        <f>1426/'voš_druh studia '!$H$78</f>
        <v>0.44148606811145513</v>
      </c>
      <c r="G180" s="67">
        <f>1308/'voš_druh studia '!$I$78</f>
        <v>0.45432441820076414</v>
      </c>
      <c r="I180" s="54" t="s">
        <v>25</v>
      </c>
      <c r="J180" s="280">
        <v>2.4400000000000002E-2</v>
      </c>
      <c r="K180" s="66">
        <v>2.5999999999999999E-2</v>
      </c>
      <c r="L180" s="74">
        <v>2.6499999999999999E-2</v>
      </c>
      <c r="M180" s="266">
        <v>0.4244</v>
      </c>
      <c r="N180" s="66">
        <v>0.44040000000000001</v>
      </c>
      <c r="O180" s="67">
        <v>0.44579999999999997</v>
      </c>
      <c r="P180" s="16"/>
    </row>
    <row r="181" spans="1:16" ht="13.5" thickBot="1" x14ac:dyDescent="0.25">
      <c r="A181" s="29" t="s">
        <v>26</v>
      </c>
      <c r="B181" s="228">
        <v>20.779</v>
      </c>
      <c r="C181" s="229">
        <v>20.825199999999999</v>
      </c>
      <c r="D181" s="230">
        <v>20.9024</v>
      </c>
      <c r="E181" s="231">
        <v>30.0047</v>
      </c>
      <c r="F181" s="229">
        <v>30.368400000000001</v>
      </c>
      <c r="G181" s="232">
        <v>30.592600000000001</v>
      </c>
      <c r="I181" s="29" t="s">
        <v>26</v>
      </c>
      <c r="J181" s="228">
        <v>19.986000000000001</v>
      </c>
      <c r="K181" s="229">
        <v>20.242699999999999</v>
      </c>
      <c r="L181" s="230">
        <v>20.276800000000001</v>
      </c>
      <c r="M181" s="231">
        <v>29.5305</v>
      </c>
      <c r="N181" s="229">
        <v>30.1007</v>
      </c>
      <c r="O181" s="232">
        <v>30.315799999999999</v>
      </c>
      <c r="P181" s="16"/>
    </row>
    <row r="182" spans="1:16" ht="13.5" thickTop="1" x14ac:dyDescent="0.2">
      <c r="J182" s="16"/>
      <c r="K182" s="16"/>
      <c r="L182" s="16"/>
      <c r="M182" s="16"/>
      <c r="N182" s="16"/>
      <c r="O182" s="16"/>
      <c r="P182" s="16"/>
    </row>
    <row r="183" spans="1:16" ht="13.5" thickBot="1" x14ac:dyDescent="0.25">
      <c r="A183" s="26" t="s">
        <v>151</v>
      </c>
      <c r="B183" s="268"/>
      <c r="C183" s="268"/>
      <c r="D183" s="268"/>
      <c r="E183" s="268"/>
      <c r="F183" s="268"/>
      <c r="G183" s="268"/>
      <c r="I183" s="26" t="s">
        <v>153</v>
      </c>
      <c r="J183" s="268"/>
      <c r="K183" s="268"/>
      <c r="L183" s="268"/>
      <c r="M183" s="268"/>
      <c r="N183" s="268"/>
      <c r="O183" s="268"/>
      <c r="P183" s="16"/>
    </row>
    <row r="184" spans="1:16" ht="51.75" thickTop="1" x14ac:dyDescent="0.2">
      <c r="A184" s="27" t="s">
        <v>152</v>
      </c>
      <c r="B184" s="442" t="s">
        <v>103</v>
      </c>
      <c r="C184" s="443" t="s">
        <v>104</v>
      </c>
      <c r="D184" s="444" t="s">
        <v>105</v>
      </c>
      <c r="E184" s="445" t="s">
        <v>103</v>
      </c>
      <c r="F184" s="443" t="s">
        <v>104</v>
      </c>
      <c r="G184" s="446" t="s">
        <v>105</v>
      </c>
      <c r="I184" s="27" t="s">
        <v>154</v>
      </c>
      <c r="J184" s="442" t="s">
        <v>103</v>
      </c>
      <c r="K184" s="443" t="s">
        <v>104</v>
      </c>
      <c r="L184" s="444" t="s">
        <v>105</v>
      </c>
      <c r="M184" s="445" t="s">
        <v>103</v>
      </c>
      <c r="N184" s="443" t="s">
        <v>104</v>
      </c>
      <c r="O184" s="446" t="s">
        <v>105</v>
      </c>
      <c r="P184" s="16"/>
    </row>
    <row r="185" spans="1:16" ht="13.5" thickBot="1" x14ac:dyDescent="0.25">
      <c r="A185" s="28"/>
      <c r="B185" s="56" t="s">
        <v>90</v>
      </c>
      <c r="C185" s="57"/>
      <c r="D185" s="68"/>
      <c r="E185" s="69" t="s">
        <v>97</v>
      </c>
      <c r="F185" s="57"/>
      <c r="G185" s="58"/>
      <c r="I185" s="28"/>
      <c r="J185" s="56" t="s">
        <v>90</v>
      </c>
      <c r="K185" s="57"/>
      <c r="L185" s="68"/>
      <c r="M185" s="69" t="s">
        <v>97</v>
      </c>
      <c r="N185" s="57"/>
      <c r="O185" s="58"/>
      <c r="P185" s="16"/>
    </row>
    <row r="186" spans="1:16" ht="13.5" thickTop="1" x14ac:dyDescent="0.2">
      <c r="A186" s="52" t="s">
        <v>147</v>
      </c>
      <c r="B186" s="360">
        <v>2.8999999999999998E-3</v>
      </c>
      <c r="C186" s="60">
        <v>3.3E-3</v>
      </c>
      <c r="D186" s="70">
        <v>3.2000000000000002E-3</v>
      </c>
      <c r="E186" s="71">
        <v>6.9999999999999999E-4</v>
      </c>
      <c r="F186" s="60">
        <v>2.9999999999999997E-4</v>
      </c>
      <c r="G186" s="61">
        <v>4.0000000000000002E-4</v>
      </c>
      <c r="I186" s="52" t="s">
        <v>147</v>
      </c>
      <c r="J186" s="360">
        <v>4.8999999999999998E-3</v>
      </c>
      <c r="K186" s="60">
        <v>4.5999999999999999E-3</v>
      </c>
      <c r="L186" s="70">
        <v>4.8999999999999998E-3</v>
      </c>
      <c r="M186" s="71">
        <v>6.9999999999999999E-4</v>
      </c>
      <c r="N186" s="60">
        <v>5.9999999999999995E-4</v>
      </c>
      <c r="O186" s="61">
        <v>6.9999999999999999E-4</v>
      </c>
      <c r="P186" s="16"/>
    </row>
    <row r="187" spans="1:16" x14ac:dyDescent="0.2">
      <c r="A187" s="53">
        <v>19</v>
      </c>
      <c r="B187" s="277">
        <v>0.42070000000000002</v>
      </c>
      <c r="C187" s="63">
        <v>0.40849999999999997</v>
      </c>
      <c r="D187" s="72">
        <v>0.3997</v>
      </c>
      <c r="E187" s="348">
        <v>5.6300000000000003E-2</v>
      </c>
      <c r="F187" s="63">
        <v>4.5900000000000003E-2</v>
      </c>
      <c r="G187" s="64">
        <v>4.36E-2</v>
      </c>
      <c r="I187" s="53">
        <v>19</v>
      </c>
      <c r="J187" s="277">
        <v>0.43380000000000002</v>
      </c>
      <c r="K187" s="63">
        <v>0.42930000000000001</v>
      </c>
      <c r="L187" s="72">
        <v>0.4163</v>
      </c>
      <c r="M187" s="348">
        <v>6.5299999999999997E-2</v>
      </c>
      <c r="N187" s="63">
        <v>5.8500000000000003E-2</v>
      </c>
      <c r="O187" s="64">
        <v>4.87E-2</v>
      </c>
      <c r="P187" s="16"/>
    </row>
    <row r="188" spans="1:16" x14ac:dyDescent="0.2">
      <c r="A188" s="53">
        <v>20</v>
      </c>
      <c r="B188" s="277">
        <v>0.26519999999999999</v>
      </c>
      <c r="C188" s="63">
        <v>0.26219999999999999</v>
      </c>
      <c r="D188" s="72">
        <v>0.26040000000000002</v>
      </c>
      <c r="E188" s="347">
        <v>8.1699999999999995E-2</v>
      </c>
      <c r="F188" s="63">
        <v>7.4499999999999997E-2</v>
      </c>
      <c r="G188" s="64">
        <v>7.3499999999999996E-2</v>
      </c>
      <c r="I188" s="53">
        <v>20</v>
      </c>
      <c r="J188" s="277">
        <v>0.26750000000000002</v>
      </c>
      <c r="K188" s="63">
        <v>0.26650000000000001</v>
      </c>
      <c r="L188" s="72">
        <v>0.26679999999999998</v>
      </c>
      <c r="M188" s="347">
        <v>7.7299999999999994E-2</v>
      </c>
      <c r="N188" s="63">
        <v>7.3099999999999998E-2</v>
      </c>
      <c r="O188" s="64">
        <v>7.2800000000000004E-2</v>
      </c>
      <c r="P188" s="16"/>
    </row>
    <row r="189" spans="1:16" x14ac:dyDescent="0.2">
      <c r="A189" s="53">
        <v>21</v>
      </c>
      <c r="B189" s="277">
        <v>0.11210000000000001</v>
      </c>
      <c r="C189" s="63">
        <v>0.1147</v>
      </c>
      <c r="D189" s="72">
        <v>0.11600000000000001</v>
      </c>
      <c r="E189" s="347">
        <v>7.2900000000000006E-2</v>
      </c>
      <c r="F189" s="63">
        <v>7.0400000000000004E-2</v>
      </c>
      <c r="G189" s="64">
        <v>6.9500000000000006E-2</v>
      </c>
      <c r="I189" s="53">
        <v>21</v>
      </c>
      <c r="J189" s="277">
        <v>0.1072</v>
      </c>
      <c r="K189" s="63">
        <v>0.10829999999999999</v>
      </c>
      <c r="L189" s="72">
        <v>0.1109</v>
      </c>
      <c r="M189" s="347">
        <v>6.5799999999999997E-2</v>
      </c>
      <c r="N189" s="63">
        <v>6.13E-2</v>
      </c>
      <c r="O189" s="64">
        <v>6.2899999999999998E-2</v>
      </c>
      <c r="P189" s="16"/>
    </row>
    <row r="190" spans="1:16" x14ac:dyDescent="0.2">
      <c r="A190" s="53">
        <v>22</v>
      </c>
      <c r="B190" s="277">
        <v>6.3100000000000003E-2</v>
      </c>
      <c r="C190" s="63">
        <v>6.6199999999999995E-2</v>
      </c>
      <c r="D190" s="72">
        <v>6.8199999999999997E-2</v>
      </c>
      <c r="E190" s="347">
        <v>6.1199999999999997E-2</v>
      </c>
      <c r="F190" s="63">
        <v>6.1499999999999999E-2</v>
      </c>
      <c r="G190" s="64">
        <v>6.1199999999999997E-2</v>
      </c>
      <c r="I190" s="53">
        <v>22</v>
      </c>
      <c r="J190" s="277">
        <v>5.8900000000000001E-2</v>
      </c>
      <c r="K190" s="63">
        <v>0.06</v>
      </c>
      <c r="L190" s="72">
        <v>6.1899999999999997E-2</v>
      </c>
      <c r="M190" s="347">
        <v>4.8599999999999997E-2</v>
      </c>
      <c r="N190" s="63">
        <v>4.7300000000000002E-2</v>
      </c>
      <c r="O190" s="64">
        <v>4.6300000000000001E-2</v>
      </c>
      <c r="P190" s="16"/>
    </row>
    <row r="191" spans="1:16" x14ac:dyDescent="0.2">
      <c r="A191" s="53">
        <v>23</v>
      </c>
      <c r="B191" s="277">
        <v>4.7100000000000003E-2</v>
      </c>
      <c r="C191" s="63">
        <v>5.11E-2</v>
      </c>
      <c r="D191" s="72">
        <v>5.3199999999999997E-2</v>
      </c>
      <c r="E191" s="347">
        <v>6.3E-2</v>
      </c>
      <c r="F191" s="63">
        <v>6.5600000000000006E-2</v>
      </c>
      <c r="G191" s="64">
        <v>6.6600000000000006E-2</v>
      </c>
      <c r="I191" s="53">
        <v>23</v>
      </c>
      <c r="J191" s="277">
        <v>4.1000000000000002E-2</v>
      </c>
      <c r="K191" s="63">
        <v>4.2700000000000002E-2</v>
      </c>
      <c r="L191" s="72">
        <v>4.5600000000000002E-2</v>
      </c>
      <c r="M191" s="347">
        <v>5.5800000000000002E-2</v>
      </c>
      <c r="N191" s="63">
        <v>5.45E-2</v>
      </c>
      <c r="O191" s="64">
        <v>5.2600000000000001E-2</v>
      </c>
      <c r="P191" s="16"/>
    </row>
    <row r="192" spans="1:16" x14ac:dyDescent="0.2">
      <c r="A192" s="53">
        <v>24</v>
      </c>
      <c r="B192" s="277">
        <v>2.9700000000000001E-2</v>
      </c>
      <c r="C192" s="63">
        <v>3.2199999999999999E-2</v>
      </c>
      <c r="D192" s="72">
        <v>3.4000000000000002E-2</v>
      </c>
      <c r="E192" s="347">
        <v>5.5800000000000002E-2</v>
      </c>
      <c r="F192" s="63">
        <v>5.9200000000000003E-2</v>
      </c>
      <c r="G192" s="64">
        <v>5.8299999999999998E-2</v>
      </c>
      <c r="I192" s="53">
        <v>24</v>
      </c>
      <c r="J192" s="277">
        <v>3.1600000000000003E-2</v>
      </c>
      <c r="K192" s="63">
        <v>3.4299999999999997E-2</v>
      </c>
      <c r="L192" s="72">
        <v>3.7199999999999997E-2</v>
      </c>
      <c r="M192" s="347">
        <v>4.1599999999999998E-2</v>
      </c>
      <c r="N192" s="63">
        <v>4.4499999999999998E-2</v>
      </c>
      <c r="O192" s="64">
        <v>4.2700000000000002E-2</v>
      </c>
      <c r="P192" s="16"/>
    </row>
    <row r="193" spans="1:16" x14ac:dyDescent="0.2">
      <c r="A193" s="53">
        <v>25</v>
      </c>
      <c r="B193" s="277">
        <v>2.01E-2</v>
      </c>
      <c r="C193" s="63">
        <v>2.1999999999999999E-2</v>
      </c>
      <c r="D193" s="72">
        <v>2.3900000000000001E-2</v>
      </c>
      <c r="E193" s="347">
        <v>4.3799999999999999E-2</v>
      </c>
      <c r="F193" s="63">
        <v>4.1700000000000001E-2</v>
      </c>
      <c r="G193" s="64">
        <v>4.1399999999999999E-2</v>
      </c>
      <c r="I193" s="53">
        <v>25</v>
      </c>
      <c r="J193" s="277">
        <v>1.15E-2</v>
      </c>
      <c r="K193" s="63">
        <v>1.2800000000000001E-2</v>
      </c>
      <c r="L193" s="72">
        <v>1.41E-2</v>
      </c>
      <c r="M193" s="347">
        <v>3.7999999999999999E-2</v>
      </c>
      <c r="N193" s="63">
        <v>3.5499999999999997E-2</v>
      </c>
      <c r="O193" s="64">
        <v>3.5999999999999997E-2</v>
      </c>
      <c r="P193" s="16"/>
    </row>
    <row r="194" spans="1:16" x14ac:dyDescent="0.2">
      <c r="A194" s="53">
        <v>26</v>
      </c>
      <c r="B194" s="277">
        <v>4.4000000000000003E-3</v>
      </c>
      <c r="C194" s="63">
        <v>3.5999999999999999E-3</v>
      </c>
      <c r="D194" s="72">
        <v>3.5999999999999999E-3</v>
      </c>
      <c r="E194" s="347">
        <v>3.09E-2</v>
      </c>
      <c r="F194" s="63">
        <v>3.1199999999999999E-2</v>
      </c>
      <c r="G194" s="64">
        <v>3.3099999999999997E-2</v>
      </c>
      <c r="I194" s="53">
        <v>26</v>
      </c>
      <c r="J194" s="277">
        <v>5.1000000000000004E-3</v>
      </c>
      <c r="K194" s="63">
        <v>4.3E-3</v>
      </c>
      <c r="L194" s="72">
        <v>4.0000000000000001E-3</v>
      </c>
      <c r="M194" s="347">
        <v>4.02E-2</v>
      </c>
      <c r="N194" s="63">
        <v>4.0800000000000003E-2</v>
      </c>
      <c r="O194" s="64">
        <v>3.85E-2</v>
      </c>
      <c r="P194" s="16"/>
    </row>
    <row r="195" spans="1:16" x14ac:dyDescent="0.2">
      <c r="A195" s="53">
        <v>27</v>
      </c>
      <c r="B195" s="277">
        <v>4.4999999999999997E-3</v>
      </c>
      <c r="C195" s="63">
        <v>4.4999999999999997E-3</v>
      </c>
      <c r="D195" s="72">
        <v>4.8999999999999998E-3</v>
      </c>
      <c r="E195" s="347">
        <v>3.9600000000000003E-2</v>
      </c>
      <c r="F195" s="63">
        <v>4.0399999999999998E-2</v>
      </c>
      <c r="G195" s="64">
        <v>0.04</v>
      </c>
      <c r="I195" s="53">
        <v>27</v>
      </c>
      <c r="J195" s="277">
        <v>2.3E-3</v>
      </c>
      <c r="K195" s="63">
        <v>2.0999999999999999E-3</v>
      </c>
      <c r="L195" s="72">
        <v>2.5000000000000001E-3</v>
      </c>
      <c r="M195" s="347">
        <v>3.7499999999999999E-2</v>
      </c>
      <c r="N195" s="63">
        <v>3.6700000000000003E-2</v>
      </c>
      <c r="O195" s="64">
        <v>3.9600000000000003E-2</v>
      </c>
      <c r="P195" s="16"/>
    </row>
    <row r="196" spans="1:16" x14ac:dyDescent="0.2">
      <c r="A196" s="53">
        <v>28</v>
      </c>
      <c r="B196" s="277">
        <v>3.2000000000000002E-3</v>
      </c>
      <c r="C196" s="63">
        <v>3.0999999999999999E-3</v>
      </c>
      <c r="D196" s="72">
        <v>3.5999999999999999E-3</v>
      </c>
      <c r="E196" s="347">
        <v>3.5799999999999998E-2</v>
      </c>
      <c r="F196" s="63">
        <v>3.4700000000000002E-2</v>
      </c>
      <c r="G196" s="64">
        <v>3.1699999999999999E-2</v>
      </c>
      <c r="I196" s="53">
        <v>28</v>
      </c>
      <c r="J196" s="277">
        <v>2.8E-3</v>
      </c>
      <c r="K196" s="63">
        <v>2.8E-3</v>
      </c>
      <c r="L196" s="72">
        <v>2.8E-3</v>
      </c>
      <c r="M196" s="347">
        <v>3.3000000000000002E-2</v>
      </c>
      <c r="N196" s="63">
        <v>3.0800000000000001E-2</v>
      </c>
      <c r="O196" s="64">
        <v>3.2500000000000001E-2</v>
      </c>
      <c r="P196" s="16"/>
    </row>
    <row r="197" spans="1:16" x14ac:dyDescent="0.2">
      <c r="A197" s="53">
        <v>29</v>
      </c>
      <c r="B197" s="277">
        <v>2.5000000000000001E-3</v>
      </c>
      <c r="C197" s="63">
        <v>2.3999999999999998E-3</v>
      </c>
      <c r="D197" s="72">
        <v>2.5999999999999999E-3</v>
      </c>
      <c r="E197" s="347">
        <v>3.39E-2</v>
      </c>
      <c r="F197" s="63">
        <v>3.4099999999999998E-2</v>
      </c>
      <c r="G197" s="64">
        <v>3.49E-2</v>
      </c>
      <c r="I197" s="53">
        <v>29</v>
      </c>
      <c r="J197" s="277">
        <v>4.1999999999999997E-3</v>
      </c>
      <c r="K197" s="63">
        <v>3.5999999999999999E-3</v>
      </c>
      <c r="L197" s="72">
        <v>3.5999999999999999E-3</v>
      </c>
      <c r="M197" s="347">
        <v>3.4799999999999998E-2</v>
      </c>
      <c r="N197" s="63">
        <v>3.49E-2</v>
      </c>
      <c r="O197" s="64">
        <v>3.6400000000000002E-2</v>
      </c>
      <c r="P197" s="16"/>
    </row>
    <row r="198" spans="1:16" x14ac:dyDescent="0.2">
      <c r="A198" s="54" t="s">
        <v>25</v>
      </c>
      <c r="B198" s="280">
        <v>2.4400000000000002E-2</v>
      </c>
      <c r="C198" s="66">
        <v>2.5999999999999999E-2</v>
      </c>
      <c r="D198" s="74">
        <v>2.6499999999999999E-2</v>
      </c>
      <c r="E198" s="266">
        <v>0.4244</v>
      </c>
      <c r="F198" s="66">
        <v>0.44040000000000001</v>
      </c>
      <c r="G198" s="67">
        <v>0.44579999999999997</v>
      </c>
      <c r="I198" s="54" t="s">
        <v>25</v>
      </c>
      <c r="J198" s="280">
        <v>2.92E-2</v>
      </c>
      <c r="K198" s="66">
        <v>2.87E-2</v>
      </c>
      <c r="L198" s="74">
        <v>2.9399999999999999E-2</v>
      </c>
      <c r="M198" s="266">
        <v>0.46150000000000002</v>
      </c>
      <c r="N198" s="66">
        <v>0.48149999999999998</v>
      </c>
      <c r="O198" s="67">
        <v>0.49030000000000001</v>
      </c>
      <c r="P198" s="16"/>
    </row>
    <row r="199" spans="1:16" ht="13.5" thickBot="1" x14ac:dyDescent="0.25">
      <c r="A199" s="29" t="s">
        <v>26</v>
      </c>
      <c r="B199" s="228">
        <v>20.587900000000001</v>
      </c>
      <c r="C199" s="229">
        <v>20.646000000000001</v>
      </c>
      <c r="D199" s="230">
        <v>20.715599999999998</v>
      </c>
      <c r="E199" s="231">
        <v>30.259499999999999</v>
      </c>
      <c r="F199" s="229">
        <v>30.628</v>
      </c>
      <c r="G199" s="232">
        <v>30.773900000000001</v>
      </c>
      <c r="I199" s="29" t="s">
        <v>26</v>
      </c>
      <c r="J199" s="228">
        <v>20.723400000000002</v>
      </c>
      <c r="K199" s="229">
        <v>20.727499999999999</v>
      </c>
      <c r="L199" s="230">
        <v>20.794499999999999</v>
      </c>
      <c r="M199" s="231">
        <v>30.604299999999999</v>
      </c>
      <c r="N199" s="229">
        <v>31.117999999999999</v>
      </c>
      <c r="O199" s="232">
        <v>31.342600000000001</v>
      </c>
      <c r="P199" s="16"/>
    </row>
    <row r="200" spans="1:16" ht="13.5" thickTop="1" x14ac:dyDescent="0.2">
      <c r="J200" s="16"/>
      <c r="K200" s="16"/>
      <c r="L200" s="16"/>
      <c r="M200" s="16"/>
      <c r="N200" s="16"/>
      <c r="O200" s="16"/>
      <c r="P200" s="16"/>
    </row>
    <row r="201" spans="1:16" ht="13.5" thickBot="1" x14ac:dyDescent="0.25">
      <c r="A201" s="26" t="s">
        <v>156</v>
      </c>
      <c r="B201" s="268"/>
      <c r="C201" s="268"/>
      <c r="D201" s="268"/>
      <c r="E201" s="268"/>
      <c r="F201" s="268"/>
      <c r="G201" s="268"/>
      <c r="J201" s="16"/>
      <c r="K201" s="16"/>
      <c r="L201" s="16"/>
      <c r="M201" s="16"/>
      <c r="N201" s="16"/>
      <c r="O201" s="16"/>
      <c r="P201" s="16"/>
    </row>
    <row r="202" spans="1:16" ht="39" thickTop="1" x14ac:dyDescent="0.2">
      <c r="A202" s="27" t="s">
        <v>166</v>
      </c>
      <c r="B202" s="442" t="s">
        <v>103</v>
      </c>
      <c r="C202" s="443" t="s">
        <v>104</v>
      </c>
      <c r="D202" s="444" t="s">
        <v>105</v>
      </c>
      <c r="E202" s="445" t="s">
        <v>103</v>
      </c>
      <c r="F202" s="443" t="s">
        <v>104</v>
      </c>
      <c r="G202" s="446" t="s">
        <v>105</v>
      </c>
      <c r="J202" s="16"/>
      <c r="K202" s="16"/>
      <c r="L202" s="16"/>
      <c r="M202" s="16"/>
      <c r="N202" s="16"/>
      <c r="O202" s="16"/>
      <c r="P202" s="16"/>
    </row>
    <row r="203" spans="1:16" ht="13.5" thickBot="1" x14ac:dyDescent="0.25">
      <c r="A203" s="28"/>
      <c r="B203" s="56" t="s">
        <v>90</v>
      </c>
      <c r="C203" s="57"/>
      <c r="D203" s="68"/>
      <c r="E203" s="69" t="s">
        <v>97</v>
      </c>
      <c r="F203" s="57"/>
      <c r="G203" s="58"/>
      <c r="J203" s="16"/>
      <c r="K203" s="16"/>
      <c r="L203" s="16"/>
      <c r="M203" s="16"/>
      <c r="N203" s="16"/>
      <c r="O203" s="16"/>
      <c r="P203" s="16"/>
    </row>
    <row r="204" spans="1:16" ht="13.5" thickTop="1" x14ac:dyDescent="0.2">
      <c r="A204" s="52" t="s">
        <v>147</v>
      </c>
      <c r="B204" s="360">
        <v>3.5000000000000001E-3</v>
      </c>
      <c r="C204" s="60">
        <v>3.8E-3</v>
      </c>
      <c r="D204" s="70">
        <v>3.3999999999999998E-3</v>
      </c>
      <c r="E204" s="71">
        <v>5.0000000000000001E-4</v>
      </c>
      <c r="F204" s="60">
        <v>2.9999999999999997E-4</v>
      </c>
      <c r="G204" s="61">
        <v>2.9999999999999997E-4</v>
      </c>
      <c r="J204" s="16"/>
      <c r="K204" s="16"/>
      <c r="L204" s="16"/>
      <c r="M204" s="16"/>
      <c r="N204" s="16"/>
      <c r="O204" s="16"/>
      <c r="P204" s="16"/>
    </row>
    <row r="205" spans="1:16" x14ac:dyDescent="0.2">
      <c r="A205" s="53">
        <v>19</v>
      </c>
      <c r="B205" s="277">
        <v>0.44919999999999999</v>
      </c>
      <c r="C205" s="63">
        <v>0.44440000000000002</v>
      </c>
      <c r="D205" s="72">
        <v>0.42849999999999999</v>
      </c>
      <c r="E205" s="348">
        <v>7.5399999999999995E-2</v>
      </c>
      <c r="F205" s="63">
        <v>6.9900000000000004E-2</v>
      </c>
      <c r="G205" s="64">
        <v>6.2700000000000006E-2</v>
      </c>
      <c r="J205" s="16"/>
      <c r="K205" s="16"/>
      <c r="L205" s="16"/>
      <c r="M205" s="16"/>
      <c r="N205" s="16"/>
      <c r="O205" s="16"/>
      <c r="P205" s="16"/>
    </row>
    <row r="206" spans="1:16" x14ac:dyDescent="0.2">
      <c r="A206" s="53">
        <v>20</v>
      </c>
      <c r="B206" s="277">
        <v>0.26879999999999998</v>
      </c>
      <c r="C206" s="63">
        <v>0.26979999999999998</v>
      </c>
      <c r="D206" s="72">
        <v>0.27260000000000001</v>
      </c>
      <c r="E206" s="347">
        <v>8.09E-2</v>
      </c>
      <c r="F206" s="63">
        <v>8.1100000000000005E-2</v>
      </c>
      <c r="G206" s="64">
        <v>7.6999999999999999E-2</v>
      </c>
      <c r="J206" s="16"/>
      <c r="K206" s="16"/>
      <c r="L206" s="16"/>
      <c r="M206" s="16"/>
      <c r="N206" s="16"/>
      <c r="O206" s="16"/>
      <c r="P206" s="16"/>
    </row>
    <row r="207" spans="1:16" x14ac:dyDescent="0.2">
      <c r="A207" s="53">
        <v>21</v>
      </c>
      <c r="B207" s="277">
        <v>0.11409999999999999</v>
      </c>
      <c r="C207" s="63">
        <v>0.1174</v>
      </c>
      <c r="D207" s="72">
        <v>0.1226</v>
      </c>
      <c r="E207" s="347">
        <v>5.5899999999999998E-2</v>
      </c>
      <c r="F207" s="63">
        <v>5.3699999999999998E-2</v>
      </c>
      <c r="G207" s="64">
        <v>5.3800000000000001E-2</v>
      </c>
      <c r="J207" s="16"/>
      <c r="K207" s="16"/>
      <c r="L207" s="16"/>
      <c r="M207" s="16"/>
      <c r="N207" s="16"/>
      <c r="O207" s="16"/>
      <c r="P207" s="16"/>
    </row>
    <row r="208" spans="1:16" x14ac:dyDescent="0.2">
      <c r="A208" s="53">
        <v>22</v>
      </c>
      <c r="B208" s="277">
        <v>5.6099999999999997E-2</v>
      </c>
      <c r="C208" s="63">
        <v>5.6399999999999999E-2</v>
      </c>
      <c r="D208" s="72">
        <v>5.9799999999999999E-2</v>
      </c>
      <c r="E208" s="347">
        <v>5.7500000000000002E-2</v>
      </c>
      <c r="F208" s="63">
        <v>5.9700000000000003E-2</v>
      </c>
      <c r="G208" s="64">
        <v>6.08E-2</v>
      </c>
      <c r="J208" s="16"/>
      <c r="K208" s="16"/>
      <c r="L208" s="16"/>
      <c r="M208" s="16"/>
      <c r="N208" s="16"/>
      <c r="O208" s="16"/>
      <c r="P208" s="16"/>
    </row>
    <row r="209" spans="1:16" x14ac:dyDescent="0.2">
      <c r="A209" s="53">
        <v>23</v>
      </c>
      <c r="B209" s="277">
        <v>3.8199999999999998E-2</v>
      </c>
      <c r="C209" s="63">
        <v>3.8300000000000001E-2</v>
      </c>
      <c r="D209" s="72">
        <v>3.9800000000000002E-2</v>
      </c>
      <c r="E209" s="347">
        <v>5.0299999999999997E-2</v>
      </c>
      <c r="F209" s="63">
        <v>4.9299999999999997E-2</v>
      </c>
      <c r="G209" s="64">
        <v>4.7199999999999999E-2</v>
      </c>
      <c r="J209" s="16"/>
      <c r="K209" s="16"/>
      <c r="L209" s="16"/>
      <c r="M209" s="16"/>
      <c r="N209" s="16"/>
      <c r="O209" s="16"/>
      <c r="P209" s="16"/>
    </row>
    <row r="210" spans="1:16" x14ac:dyDescent="0.2">
      <c r="A210" s="53">
        <v>24</v>
      </c>
      <c r="B210" s="277">
        <v>2.4899999999999999E-2</v>
      </c>
      <c r="C210" s="63">
        <v>2.5499999999999998E-2</v>
      </c>
      <c r="D210" s="72">
        <v>2.7E-2</v>
      </c>
      <c r="E210" s="347">
        <v>5.0299999999999997E-2</v>
      </c>
      <c r="F210" s="63">
        <v>4.4600000000000001E-2</v>
      </c>
      <c r="G210" s="64">
        <v>4.65E-2</v>
      </c>
      <c r="J210" s="16"/>
      <c r="K210" s="16"/>
      <c r="L210" s="16"/>
      <c r="M210" s="16"/>
      <c r="N210" s="16"/>
      <c r="O210" s="16"/>
      <c r="P210" s="16"/>
    </row>
    <row r="211" spans="1:16" x14ac:dyDescent="0.2">
      <c r="A211" s="53">
        <v>25</v>
      </c>
      <c r="B211" s="277">
        <v>1.32E-2</v>
      </c>
      <c r="C211" s="63">
        <v>1.37E-2</v>
      </c>
      <c r="D211" s="72">
        <v>1.47E-2</v>
      </c>
      <c r="E211" s="347">
        <v>3.9100000000000003E-2</v>
      </c>
      <c r="F211" s="63">
        <v>4.07E-2</v>
      </c>
      <c r="G211" s="64">
        <v>3.9199999999999999E-2</v>
      </c>
      <c r="J211" s="16"/>
      <c r="K211" s="16"/>
      <c r="L211" s="16"/>
      <c r="M211" s="16"/>
      <c r="N211" s="16"/>
      <c r="O211" s="16"/>
      <c r="P211" s="16"/>
    </row>
    <row r="212" spans="1:16" x14ac:dyDescent="0.2">
      <c r="A212" s="53">
        <v>26</v>
      </c>
      <c r="B212" s="277">
        <v>4.3E-3</v>
      </c>
      <c r="C212" s="63">
        <v>3.3999999999999998E-3</v>
      </c>
      <c r="D212" s="72">
        <v>3.3E-3</v>
      </c>
      <c r="E212" s="347">
        <v>3.5000000000000003E-2</v>
      </c>
      <c r="F212" s="63">
        <v>3.2599999999999997E-2</v>
      </c>
      <c r="G212" s="64">
        <v>3.2199999999999999E-2</v>
      </c>
      <c r="J212" s="16"/>
      <c r="K212" s="16"/>
      <c r="L212" s="16"/>
      <c r="M212" s="16"/>
      <c r="N212" s="16"/>
      <c r="O212" s="16"/>
      <c r="P212" s="16"/>
    </row>
    <row r="213" spans="1:16" x14ac:dyDescent="0.2">
      <c r="A213" s="53">
        <v>27</v>
      </c>
      <c r="B213" s="277">
        <v>2.5000000000000001E-3</v>
      </c>
      <c r="C213" s="63">
        <v>2.0999999999999999E-3</v>
      </c>
      <c r="D213" s="72">
        <v>2E-3</v>
      </c>
      <c r="E213" s="347">
        <v>3.5400000000000001E-2</v>
      </c>
      <c r="F213" s="63">
        <v>3.5200000000000002E-2</v>
      </c>
      <c r="G213" s="64">
        <v>3.5299999999999998E-2</v>
      </c>
      <c r="J213" s="16"/>
      <c r="K213" s="16"/>
      <c r="L213" s="16"/>
      <c r="M213" s="16"/>
      <c r="N213" s="16"/>
      <c r="O213" s="16"/>
      <c r="P213" s="16"/>
    </row>
    <row r="214" spans="1:16" x14ac:dyDescent="0.2">
      <c r="A214" s="53">
        <v>28</v>
      </c>
      <c r="B214" s="277">
        <v>2.0999999999999999E-3</v>
      </c>
      <c r="C214" s="63">
        <v>2.0999999999999999E-3</v>
      </c>
      <c r="D214" s="72">
        <v>2.0999999999999999E-3</v>
      </c>
      <c r="E214" s="347">
        <v>3.5200000000000002E-2</v>
      </c>
      <c r="F214" s="63">
        <v>3.2899999999999999E-2</v>
      </c>
      <c r="G214" s="64">
        <v>3.3500000000000002E-2</v>
      </c>
      <c r="J214" s="16"/>
      <c r="K214" s="16"/>
      <c r="L214" s="16"/>
      <c r="M214" s="16"/>
      <c r="N214" s="16"/>
      <c r="O214" s="16"/>
      <c r="P214" s="16"/>
    </row>
    <row r="215" spans="1:16" x14ac:dyDescent="0.2">
      <c r="A215" s="53">
        <v>29</v>
      </c>
      <c r="B215" s="277">
        <v>1.8E-3</v>
      </c>
      <c r="C215" s="63">
        <v>1.6999999999999999E-3</v>
      </c>
      <c r="D215" s="72">
        <v>1.6000000000000001E-3</v>
      </c>
      <c r="E215" s="347">
        <v>3.5000000000000003E-2</v>
      </c>
      <c r="F215" s="63">
        <v>3.44E-2</v>
      </c>
      <c r="G215" s="64">
        <v>3.5000000000000003E-2</v>
      </c>
      <c r="J215" s="16"/>
      <c r="K215" s="16"/>
      <c r="L215" s="16"/>
      <c r="M215" s="16"/>
      <c r="N215" s="16"/>
      <c r="O215" s="16"/>
      <c r="P215" s="16"/>
    </row>
    <row r="216" spans="1:16" x14ac:dyDescent="0.2">
      <c r="A216" s="54" t="s">
        <v>25</v>
      </c>
      <c r="B216" s="280">
        <v>2.12E-2</v>
      </c>
      <c r="C216" s="66">
        <v>2.1399999999999999E-2</v>
      </c>
      <c r="D216" s="74">
        <v>2.24E-2</v>
      </c>
      <c r="E216" s="266">
        <v>0.44929999999999998</v>
      </c>
      <c r="F216" s="66">
        <v>0.46539999999999998</v>
      </c>
      <c r="G216" s="67">
        <v>0.47639999999999999</v>
      </c>
      <c r="J216" s="16"/>
      <c r="K216" s="16"/>
      <c r="L216" s="16"/>
      <c r="M216" s="16"/>
      <c r="N216" s="16"/>
      <c r="O216" s="16"/>
      <c r="P216" s="16"/>
    </row>
    <row r="217" spans="1:16" ht="13.5" thickBot="1" x14ac:dyDescent="0.25">
      <c r="A217" s="29" t="s">
        <v>26</v>
      </c>
      <c r="B217" s="228">
        <v>20.523900000000001</v>
      </c>
      <c r="C217" s="229">
        <v>20.536999999999999</v>
      </c>
      <c r="D217" s="230">
        <v>20.596399999999999</v>
      </c>
      <c r="E217" s="231">
        <v>30.2789</v>
      </c>
      <c r="F217" s="229">
        <v>30.784500000000001</v>
      </c>
      <c r="G217" s="232">
        <v>31.037700000000001</v>
      </c>
      <c r="J217" s="16"/>
      <c r="K217" s="16"/>
      <c r="L217" s="16"/>
      <c r="M217" s="16"/>
      <c r="N217" s="16"/>
      <c r="O217" s="16"/>
      <c r="P217" s="16"/>
    </row>
    <row r="218" spans="1:16" ht="13.5" thickTop="1" x14ac:dyDescent="0.2">
      <c r="J218" s="16"/>
      <c r="K218" s="16"/>
      <c r="L218" s="16"/>
      <c r="M218" s="16"/>
      <c r="N218" s="16"/>
      <c r="O218" s="16"/>
      <c r="P218" s="16"/>
    </row>
    <row r="219" spans="1:16" x14ac:dyDescent="0.2">
      <c r="J219" s="16"/>
      <c r="K219" s="16"/>
      <c r="L219" s="16"/>
      <c r="M219" s="16"/>
      <c r="N219" s="16"/>
      <c r="O219" s="16"/>
      <c r="P219" s="16"/>
    </row>
    <row r="220" spans="1:16" x14ac:dyDescent="0.2">
      <c r="J220" s="16"/>
      <c r="K220" s="16"/>
      <c r="L220" s="16"/>
      <c r="M220" s="16"/>
      <c r="N220" s="16"/>
      <c r="O220" s="16"/>
      <c r="P220" s="16"/>
    </row>
    <row r="221" spans="1:16" x14ac:dyDescent="0.2">
      <c r="J221" s="16"/>
      <c r="K221" s="16"/>
      <c r="L221" s="16"/>
      <c r="M221" s="16"/>
      <c r="N221" s="16"/>
      <c r="O221" s="16"/>
      <c r="P221" s="16"/>
    </row>
    <row r="222" spans="1:16" x14ac:dyDescent="0.2">
      <c r="J222" s="16"/>
      <c r="K222" s="16"/>
      <c r="L222" s="16"/>
      <c r="M222" s="16"/>
      <c r="N222" s="16"/>
      <c r="O222" s="16"/>
      <c r="P222" s="16"/>
    </row>
    <row r="223" spans="1:16" x14ac:dyDescent="0.2">
      <c r="J223" s="16"/>
      <c r="K223" s="16"/>
      <c r="L223" s="16"/>
      <c r="M223" s="16"/>
      <c r="N223" s="16"/>
      <c r="O223" s="16"/>
      <c r="P223" s="16"/>
    </row>
    <row r="224" spans="1:16" x14ac:dyDescent="0.2">
      <c r="J224" s="16"/>
      <c r="K224" s="16"/>
      <c r="L224" s="16"/>
      <c r="M224" s="16"/>
      <c r="N224" s="16"/>
      <c r="O224" s="16"/>
      <c r="P224" s="16"/>
    </row>
    <row r="225" spans="10:16" x14ac:dyDescent="0.2">
      <c r="J225" s="16"/>
      <c r="K225" s="16"/>
      <c r="L225" s="16"/>
      <c r="M225" s="16"/>
      <c r="N225" s="16"/>
      <c r="O225" s="16"/>
      <c r="P225" s="16"/>
    </row>
    <row r="226" spans="10:16" x14ac:dyDescent="0.2">
      <c r="J226" s="16"/>
      <c r="K226" s="16"/>
      <c r="L226" s="16"/>
      <c r="M226" s="16"/>
      <c r="N226" s="16"/>
      <c r="O226" s="16"/>
      <c r="P226" s="16"/>
    </row>
    <row r="227" spans="10:16" x14ac:dyDescent="0.2">
      <c r="J227" s="16"/>
      <c r="K227" s="16"/>
      <c r="L227" s="16"/>
      <c r="M227" s="16"/>
      <c r="N227" s="16"/>
      <c r="O227" s="16"/>
      <c r="P227" s="16"/>
    </row>
    <row r="228" spans="10:16" x14ac:dyDescent="0.2">
      <c r="J228" s="16"/>
      <c r="K228" s="16"/>
      <c r="L228" s="16"/>
      <c r="M228" s="16"/>
      <c r="N228" s="16"/>
      <c r="O228" s="16"/>
      <c r="P228" s="16"/>
    </row>
    <row r="229" spans="10:16" x14ac:dyDescent="0.2">
      <c r="J229" s="16"/>
      <c r="K229" s="16"/>
      <c r="L229" s="16"/>
      <c r="M229" s="16"/>
      <c r="N229" s="16"/>
      <c r="O229" s="16"/>
      <c r="P229" s="16"/>
    </row>
    <row r="230" spans="10:16" x14ac:dyDescent="0.2">
      <c r="J230" s="16"/>
      <c r="K230" s="16"/>
      <c r="L230" s="16"/>
      <c r="M230" s="16"/>
      <c r="N230" s="16"/>
      <c r="O230" s="16"/>
      <c r="P230" s="16"/>
    </row>
    <row r="231" spans="10:16" x14ac:dyDescent="0.2">
      <c r="J231" s="16"/>
      <c r="K231" s="16"/>
      <c r="L231" s="16"/>
      <c r="M231" s="16"/>
      <c r="N231" s="16"/>
      <c r="O231" s="16"/>
      <c r="P231" s="16"/>
    </row>
    <row r="232" spans="10:16" x14ac:dyDescent="0.2">
      <c r="J232" s="16"/>
      <c r="K232" s="16"/>
      <c r="L232" s="16"/>
      <c r="M232" s="16"/>
      <c r="N232" s="16"/>
      <c r="O232" s="16"/>
      <c r="P232" s="16"/>
    </row>
    <row r="233" spans="10:16" x14ac:dyDescent="0.2">
      <c r="J233" s="16"/>
      <c r="K233" s="16"/>
      <c r="L233" s="16"/>
      <c r="M233" s="16"/>
      <c r="N233" s="16"/>
      <c r="O233" s="16"/>
      <c r="P233" s="16"/>
    </row>
    <row r="234" spans="10:16" x14ac:dyDescent="0.2">
      <c r="J234" s="16"/>
      <c r="K234" s="16"/>
      <c r="L234" s="16"/>
      <c r="M234" s="16"/>
      <c r="N234" s="16"/>
      <c r="O234" s="16"/>
      <c r="P234" s="16"/>
    </row>
    <row r="235" spans="10:16" x14ac:dyDescent="0.2">
      <c r="J235" s="16"/>
      <c r="K235" s="16"/>
      <c r="L235" s="16"/>
      <c r="M235" s="16"/>
      <c r="N235" s="16"/>
      <c r="O235" s="16"/>
      <c r="P235" s="16"/>
    </row>
    <row r="236" spans="10:16" x14ac:dyDescent="0.2">
      <c r="J236" s="16"/>
      <c r="K236" s="16"/>
      <c r="L236" s="16"/>
      <c r="M236" s="16"/>
      <c r="N236" s="16"/>
      <c r="O236" s="16"/>
      <c r="P236" s="16"/>
    </row>
    <row r="237" spans="10:16" x14ac:dyDescent="0.2">
      <c r="J237" s="16"/>
      <c r="K237" s="16"/>
      <c r="L237" s="16"/>
      <c r="M237" s="16"/>
      <c r="N237" s="16"/>
      <c r="O237" s="16"/>
      <c r="P237" s="16"/>
    </row>
    <row r="238" spans="10:16" x14ac:dyDescent="0.2">
      <c r="J238" s="16"/>
      <c r="K238" s="16"/>
      <c r="L238" s="16"/>
      <c r="M238" s="16"/>
      <c r="N238" s="16"/>
      <c r="O238" s="16"/>
      <c r="P238" s="16"/>
    </row>
    <row r="239" spans="10:16" x14ac:dyDescent="0.2">
      <c r="J239" s="16"/>
      <c r="K239" s="16"/>
      <c r="L239" s="16"/>
      <c r="M239" s="16"/>
      <c r="N239" s="16"/>
      <c r="O239" s="16"/>
      <c r="P239" s="16"/>
    </row>
    <row r="240" spans="10:16" x14ac:dyDescent="0.2">
      <c r="J240" s="16"/>
      <c r="K240" s="16"/>
      <c r="L240" s="16"/>
      <c r="M240" s="16"/>
      <c r="N240" s="16"/>
      <c r="O240" s="16"/>
      <c r="P240" s="16"/>
    </row>
    <row r="241" spans="10:16" x14ac:dyDescent="0.2">
      <c r="J241" s="16"/>
      <c r="K241" s="16"/>
      <c r="L241" s="16"/>
      <c r="M241" s="16"/>
      <c r="N241" s="16"/>
      <c r="O241" s="16"/>
      <c r="P241" s="16"/>
    </row>
    <row r="242" spans="10:16" x14ac:dyDescent="0.2">
      <c r="J242" s="16"/>
      <c r="K242" s="16"/>
      <c r="L242" s="16"/>
      <c r="M242" s="16"/>
      <c r="N242" s="16"/>
      <c r="O242" s="16"/>
      <c r="P242" s="16"/>
    </row>
    <row r="243" spans="10:16" x14ac:dyDescent="0.2">
      <c r="J243" s="16"/>
      <c r="K243" s="16"/>
      <c r="L243" s="16"/>
      <c r="M243" s="16"/>
      <c r="N243" s="16"/>
      <c r="O243" s="16"/>
      <c r="P243" s="16"/>
    </row>
    <row r="244" spans="10:16" x14ac:dyDescent="0.2">
      <c r="J244" s="16"/>
      <c r="K244" s="16"/>
      <c r="L244" s="16"/>
      <c r="M244" s="16"/>
      <c r="N244" s="16"/>
      <c r="O244" s="16"/>
      <c r="P244" s="16"/>
    </row>
    <row r="245" spans="10:16" x14ac:dyDescent="0.2">
      <c r="J245" s="16"/>
      <c r="K245" s="16"/>
      <c r="L245" s="16"/>
      <c r="M245" s="16"/>
      <c r="N245" s="16"/>
      <c r="O245" s="16"/>
      <c r="P245" s="16"/>
    </row>
    <row r="246" spans="10:16" x14ac:dyDescent="0.2">
      <c r="J246" s="16"/>
      <c r="K246" s="16"/>
      <c r="L246" s="16"/>
      <c r="M246" s="16"/>
      <c r="N246" s="16"/>
      <c r="O246" s="16"/>
      <c r="P246" s="16"/>
    </row>
    <row r="247" spans="10:16" x14ac:dyDescent="0.2">
      <c r="J247" s="16"/>
      <c r="K247" s="16"/>
      <c r="L247" s="16"/>
      <c r="M247" s="16"/>
      <c r="N247" s="16"/>
      <c r="O247" s="16"/>
      <c r="P247" s="16"/>
    </row>
    <row r="248" spans="10:16" x14ac:dyDescent="0.2">
      <c r="J248" s="16"/>
      <c r="K248" s="16"/>
      <c r="L248" s="16"/>
      <c r="M248" s="16"/>
      <c r="N248" s="16"/>
      <c r="O248" s="16"/>
      <c r="P248" s="16"/>
    </row>
    <row r="249" spans="10:16" x14ac:dyDescent="0.2">
      <c r="J249" s="16"/>
      <c r="K249" s="16"/>
      <c r="L249" s="16"/>
      <c r="M249" s="16"/>
      <c r="N249" s="16"/>
      <c r="O249" s="16"/>
      <c r="P249" s="16"/>
    </row>
    <row r="250" spans="10:16" x14ac:dyDescent="0.2">
      <c r="J250" s="16"/>
      <c r="K250" s="16"/>
      <c r="L250" s="16"/>
      <c r="M250" s="16"/>
      <c r="N250" s="16"/>
      <c r="O250" s="16"/>
      <c r="P250" s="16"/>
    </row>
    <row r="251" spans="10:16" x14ac:dyDescent="0.2">
      <c r="J251" s="16"/>
      <c r="K251" s="16"/>
      <c r="L251" s="16"/>
      <c r="M251" s="16"/>
      <c r="N251" s="16"/>
      <c r="O251" s="16"/>
      <c r="P251" s="16"/>
    </row>
    <row r="252" spans="10:16" x14ac:dyDescent="0.2">
      <c r="J252" s="16"/>
      <c r="K252" s="16"/>
      <c r="L252" s="16"/>
      <c r="M252" s="16"/>
      <c r="N252" s="16"/>
      <c r="O252" s="16"/>
      <c r="P252" s="16"/>
    </row>
    <row r="253" spans="10:16" x14ac:dyDescent="0.2">
      <c r="J253" s="16"/>
      <c r="K253" s="16"/>
      <c r="L253" s="16"/>
      <c r="M253" s="16"/>
      <c r="N253" s="16"/>
      <c r="O253" s="16"/>
      <c r="P253" s="16"/>
    </row>
    <row r="254" spans="10:16" x14ac:dyDescent="0.2">
      <c r="J254" s="16"/>
      <c r="K254" s="16"/>
      <c r="L254" s="16"/>
      <c r="M254" s="16"/>
      <c r="N254" s="16"/>
      <c r="O254" s="16"/>
      <c r="P254" s="16"/>
    </row>
    <row r="255" spans="10:16" x14ac:dyDescent="0.2">
      <c r="J255" s="16"/>
      <c r="K255" s="16"/>
      <c r="L255" s="16"/>
      <c r="M255" s="16"/>
      <c r="N255" s="16"/>
      <c r="O255" s="16"/>
      <c r="P255" s="16"/>
    </row>
    <row r="256" spans="10:16" x14ac:dyDescent="0.2">
      <c r="J256" s="16"/>
      <c r="K256" s="16"/>
      <c r="L256" s="16"/>
      <c r="M256" s="16"/>
      <c r="N256" s="16"/>
      <c r="O256" s="16"/>
      <c r="P256" s="16"/>
    </row>
    <row r="257" spans="10:16" x14ac:dyDescent="0.2">
      <c r="J257" s="16"/>
      <c r="K257" s="16"/>
      <c r="L257" s="16"/>
      <c r="M257" s="16"/>
      <c r="N257" s="16"/>
      <c r="O257" s="16"/>
      <c r="P257" s="16"/>
    </row>
    <row r="258" spans="10:16" x14ac:dyDescent="0.2">
      <c r="J258" s="16"/>
      <c r="K258" s="16"/>
      <c r="L258" s="16"/>
      <c r="M258" s="16"/>
      <c r="N258" s="16"/>
      <c r="O258" s="16"/>
      <c r="P258" s="16"/>
    </row>
    <row r="259" spans="10:16" x14ac:dyDescent="0.2">
      <c r="J259" s="16"/>
      <c r="K259" s="16"/>
      <c r="L259" s="16"/>
      <c r="M259" s="16"/>
      <c r="N259" s="16"/>
      <c r="O259" s="16"/>
      <c r="P259" s="16"/>
    </row>
    <row r="260" spans="10:16" x14ac:dyDescent="0.2">
      <c r="J260" s="16"/>
      <c r="K260" s="16"/>
      <c r="L260" s="16"/>
      <c r="M260" s="16"/>
      <c r="N260" s="16"/>
      <c r="O260" s="16"/>
      <c r="P260" s="16"/>
    </row>
    <row r="261" spans="10:16" x14ac:dyDescent="0.2">
      <c r="J261" s="16"/>
      <c r="K261" s="16"/>
      <c r="L261" s="16"/>
      <c r="M261" s="16"/>
      <c r="N261" s="16"/>
      <c r="O261" s="16"/>
      <c r="P261" s="16"/>
    </row>
    <row r="262" spans="10:16" x14ac:dyDescent="0.2">
      <c r="J262" s="16"/>
      <c r="K262" s="16"/>
      <c r="L262" s="16"/>
      <c r="M262" s="16"/>
      <c r="N262" s="16"/>
      <c r="O262" s="16"/>
      <c r="P262" s="16"/>
    </row>
    <row r="263" spans="10:16" x14ac:dyDescent="0.2">
      <c r="J263" s="16"/>
      <c r="K263" s="16"/>
      <c r="L263" s="16"/>
      <c r="M263" s="16"/>
      <c r="N263" s="16"/>
      <c r="O263" s="16"/>
      <c r="P263" s="16"/>
    </row>
    <row r="264" spans="10:16" x14ac:dyDescent="0.2">
      <c r="J264" s="16"/>
      <c r="K264" s="16"/>
      <c r="L264" s="16"/>
      <c r="M264" s="16"/>
      <c r="N264" s="16"/>
      <c r="O264" s="16"/>
      <c r="P264" s="16"/>
    </row>
    <row r="265" spans="10:16" x14ac:dyDescent="0.2">
      <c r="J265" s="16"/>
      <c r="K265" s="16"/>
      <c r="L265" s="16"/>
      <c r="M265" s="16"/>
      <c r="N265" s="16"/>
      <c r="O265" s="16"/>
      <c r="P265" s="16"/>
    </row>
    <row r="266" spans="10:16" x14ac:dyDescent="0.2">
      <c r="J266" s="16"/>
      <c r="K266" s="16"/>
      <c r="L266" s="16"/>
      <c r="M266" s="16"/>
      <c r="N266" s="16"/>
      <c r="O266" s="16"/>
      <c r="P266" s="16"/>
    </row>
    <row r="267" spans="10:16" x14ac:dyDescent="0.2">
      <c r="J267" s="16"/>
      <c r="K267" s="16"/>
      <c r="L267" s="16"/>
      <c r="M267" s="16"/>
      <c r="N267" s="16"/>
      <c r="O267" s="16"/>
      <c r="P267" s="16"/>
    </row>
    <row r="268" spans="10:16" x14ac:dyDescent="0.2">
      <c r="J268" s="16"/>
      <c r="K268" s="16"/>
      <c r="L268" s="16"/>
      <c r="M268" s="16"/>
      <c r="N268" s="16"/>
      <c r="O268" s="16"/>
      <c r="P268" s="16"/>
    </row>
    <row r="269" spans="10:16" x14ac:dyDescent="0.2">
      <c r="J269" s="16"/>
      <c r="K269" s="16"/>
      <c r="L269" s="16"/>
      <c r="M269" s="16"/>
      <c r="N269" s="16"/>
      <c r="O269" s="16"/>
      <c r="P269" s="16"/>
    </row>
    <row r="270" spans="10:16" x14ac:dyDescent="0.2">
      <c r="J270" s="16"/>
      <c r="K270" s="16"/>
      <c r="L270" s="16"/>
      <c r="M270" s="16"/>
      <c r="N270" s="16"/>
      <c r="O270" s="16"/>
      <c r="P270" s="16"/>
    </row>
    <row r="271" spans="10:16" x14ac:dyDescent="0.2">
      <c r="J271" s="16"/>
      <c r="K271" s="16"/>
      <c r="L271" s="16"/>
      <c r="M271" s="16"/>
      <c r="N271" s="16"/>
      <c r="O271" s="16"/>
      <c r="P271" s="16"/>
    </row>
    <row r="272" spans="10:16" x14ac:dyDescent="0.2">
      <c r="J272" s="16"/>
      <c r="K272" s="16"/>
      <c r="L272" s="16"/>
      <c r="M272" s="16"/>
      <c r="N272" s="16"/>
      <c r="O272" s="16"/>
      <c r="P272" s="16"/>
    </row>
    <row r="273" spans="10:16" x14ac:dyDescent="0.2">
      <c r="J273" s="16"/>
      <c r="K273" s="16"/>
      <c r="L273" s="16"/>
      <c r="M273" s="16"/>
      <c r="N273" s="16"/>
      <c r="O273" s="16"/>
      <c r="P273" s="16"/>
    </row>
    <row r="274" spans="10:16" x14ac:dyDescent="0.2">
      <c r="J274" s="16"/>
      <c r="K274" s="16"/>
      <c r="L274" s="16"/>
      <c r="M274" s="16"/>
      <c r="N274" s="16"/>
      <c r="O274" s="16"/>
      <c r="P274" s="16"/>
    </row>
    <row r="275" spans="10:16" x14ac:dyDescent="0.2">
      <c r="J275" s="16"/>
      <c r="K275" s="16"/>
      <c r="L275" s="16"/>
      <c r="M275" s="16"/>
      <c r="N275" s="16"/>
      <c r="O275" s="16"/>
      <c r="P275" s="16"/>
    </row>
    <row r="276" spans="10:16" x14ac:dyDescent="0.2">
      <c r="J276" s="16"/>
      <c r="K276" s="16"/>
      <c r="L276" s="16"/>
      <c r="M276" s="16"/>
      <c r="N276" s="16"/>
      <c r="O276" s="16"/>
      <c r="P276" s="16"/>
    </row>
    <row r="277" spans="10:16" x14ac:dyDescent="0.2">
      <c r="J277" s="16"/>
      <c r="K277" s="16"/>
      <c r="L277" s="16"/>
      <c r="M277" s="16"/>
      <c r="N277" s="16"/>
      <c r="O277" s="16"/>
      <c r="P277" s="16"/>
    </row>
    <row r="278" spans="10:16" x14ac:dyDescent="0.2">
      <c r="J278" s="16"/>
      <c r="K278" s="16"/>
      <c r="L278" s="16"/>
      <c r="M278" s="16"/>
      <c r="N278" s="16"/>
      <c r="O278" s="16"/>
      <c r="P278" s="16"/>
    </row>
    <row r="279" spans="10:16" x14ac:dyDescent="0.2">
      <c r="J279" s="16"/>
      <c r="K279" s="16"/>
      <c r="L279" s="16"/>
      <c r="M279" s="16"/>
      <c r="N279" s="16"/>
      <c r="O279" s="16"/>
      <c r="P279" s="16"/>
    </row>
    <row r="280" spans="10:16" x14ac:dyDescent="0.2">
      <c r="J280" s="16"/>
      <c r="K280" s="16"/>
      <c r="L280" s="16"/>
      <c r="M280" s="16"/>
      <c r="N280" s="16"/>
      <c r="O280" s="16"/>
      <c r="P280" s="16"/>
    </row>
    <row r="281" spans="10:16" x14ac:dyDescent="0.2">
      <c r="J281" s="16"/>
      <c r="K281" s="16"/>
      <c r="L281" s="16"/>
      <c r="M281" s="16"/>
      <c r="N281" s="16"/>
      <c r="O281" s="16"/>
      <c r="P281" s="16"/>
    </row>
    <row r="282" spans="10:16" x14ac:dyDescent="0.2">
      <c r="J282" s="16"/>
      <c r="K282" s="16"/>
      <c r="L282" s="16"/>
      <c r="M282" s="16"/>
      <c r="N282" s="16"/>
      <c r="O282" s="16"/>
      <c r="P282" s="16"/>
    </row>
    <row r="283" spans="10:16" x14ac:dyDescent="0.2">
      <c r="J283" s="16"/>
      <c r="K283" s="16"/>
      <c r="L283" s="16"/>
      <c r="M283" s="16"/>
      <c r="N283" s="16"/>
      <c r="O283" s="16"/>
      <c r="P283" s="16"/>
    </row>
    <row r="284" spans="10:16" x14ac:dyDescent="0.2">
      <c r="J284" s="16"/>
      <c r="K284" s="16"/>
      <c r="L284" s="16"/>
      <c r="M284" s="16"/>
      <c r="N284" s="16"/>
      <c r="O284" s="16"/>
      <c r="P284" s="16"/>
    </row>
    <row r="285" spans="10:16" x14ac:dyDescent="0.2">
      <c r="J285" s="16"/>
      <c r="K285" s="16"/>
      <c r="L285" s="16"/>
      <c r="M285" s="16"/>
      <c r="N285" s="16"/>
      <c r="O285" s="16"/>
      <c r="P285" s="16"/>
    </row>
    <row r="286" spans="10:16" x14ac:dyDescent="0.2">
      <c r="J286" s="16"/>
      <c r="K286" s="16"/>
      <c r="L286" s="16"/>
      <c r="M286" s="16"/>
      <c r="N286" s="16"/>
      <c r="O286" s="16"/>
      <c r="P286" s="16"/>
    </row>
    <row r="287" spans="10:16" x14ac:dyDescent="0.2">
      <c r="J287" s="16"/>
      <c r="K287" s="16"/>
      <c r="L287" s="16"/>
      <c r="M287" s="16"/>
      <c r="N287" s="16"/>
      <c r="O287" s="16"/>
      <c r="P287" s="16"/>
    </row>
    <row r="288" spans="10:16" x14ac:dyDescent="0.2">
      <c r="J288" s="16"/>
      <c r="K288" s="16"/>
      <c r="L288" s="16"/>
      <c r="M288" s="16"/>
      <c r="N288" s="16"/>
      <c r="O288" s="16"/>
      <c r="P288" s="16"/>
    </row>
    <row r="289" spans="10:16" x14ac:dyDescent="0.2">
      <c r="J289" s="16"/>
      <c r="K289" s="16"/>
      <c r="L289" s="16"/>
      <c r="M289" s="16"/>
      <c r="N289" s="16"/>
      <c r="O289" s="16"/>
      <c r="P289" s="16"/>
    </row>
    <row r="290" spans="10:16" x14ac:dyDescent="0.2">
      <c r="J290" s="16"/>
      <c r="K290" s="16"/>
      <c r="L290" s="16"/>
      <c r="M290" s="16"/>
      <c r="N290" s="16"/>
      <c r="O290" s="16"/>
      <c r="P290" s="16"/>
    </row>
    <row r="291" spans="10:16" x14ac:dyDescent="0.2">
      <c r="J291" s="16"/>
      <c r="K291" s="16"/>
      <c r="L291" s="16"/>
      <c r="M291" s="16"/>
      <c r="N291" s="16"/>
      <c r="O291" s="16"/>
      <c r="P291" s="16"/>
    </row>
    <row r="292" spans="10:16" x14ac:dyDescent="0.2">
      <c r="J292" s="16"/>
      <c r="K292" s="16"/>
      <c r="L292" s="16"/>
      <c r="M292" s="16"/>
      <c r="N292" s="16"/>
      <c r="O292" s="16"/>
      <c r="P292" s="16"/>
    </row>
    <row r="293" spans="10:16" x14ac:dyDescent="0.2">
      <c r="J293" s="16"/>
      <c r="K293" s="16"/>
      <c r="L293" s="16"/>
      <c r="M293" s="16"/>
      <c r="N293" s="16"/>
      <c r="O293" s="16"/>
      <c r="P293" s="16"/>
    </row>
    <row r="294" spans="10:16" x14ac:dyDescent="0.2">
      <c r="J294" s="16"/>
      <c r="K294" s="16"/>
      <c r="L294" s="16"/>
      <c r="M294" s="16"/>
      <c r="N294" s="16"/>
      <c r="O294" s="16"/>
      <c r="P294" s="16"/>
    </row>
    <row r="295" spans="10:16" x14ac:dyDescent="0.2">
      <c r="J295" s="16"/>
      <c r="K295" s="16"/>
      <c r="L295" s="16"/>
      <c r="M295" s="16"/>
      <c r="N295" s="16"/>
      <c r="O295" s="16"/>
      <c r="P295" s="16"/>
    </row>
    <row r="296" spans="10:16" x14ac:dyDescent="0.2">
      <c r="J296" s="16"/>
      <c r="K296" s="16"/>
      <c r="L296" s="16"/>
      <c r="M296" s="16"/>
      <c r="N296" s="16"/>
      <c r="O296" s="16"/>
      <c r="P296" s="16"/>
    </row>
    <row r="297" spans="10:16" x14ac:dyDescent="0.2">
      <c r="J297" s="16"/>
      <c r="K297" s="16"/>
      <c r="L297" s="16"/>
      <c r="M297" s="16"/>
      <c r="N297" s="16"/>
      <c r="O297" s="16"/>
      <c r="P297" s="16"/>
    </row>
    <row r="298" spans="10:16" x14ac:dyDescent="0.2">
      <c r="J298" s="16"/>
      <c r="K298" s="16"/>
      <c r="L298" s="16"/>
      <c r="M298" s="16"/>
      <c r="N298" s="16"/>
      <c r="O298" s="16"/>
      <c r="P298" s="16"/>
    </row>
    <row r="299" spans="10:16" x14ac:dyDescent="0.2">
      <c r="J299" s="16"/>
      <c r="K299" s="16"/>
      <c r="L299" s="16"/>
      <c r="M299" s="16"/>
      <c r="N299" s="16"/>
      <c r="O299" s="16"/>
      <c r="P299" s="16"/>
    </row>
    <row r="300" spans="10:16" x14ac:dyDescent="0.2">
      <c r="J300" s="16"/>
      <c r="K300" s="16"/>
      <c r="L300" s="16"/>
      <c r="M300" s="16"/>
      <c r="N300" s="16"/>
      <c r="O300" s="16"/>
      <c r="P300" s="16"/>
    </row>
    <row r="301" spans="10:16" x14ac:dyDescent="0.2">
      <c r="J301" s="16"/>
      <c r="K301" s="16"/>
      <c r="L301" s="16"/>
      <c r="M301" s="16"/>
      <c r="N301" s="16"/>
      <c r="O301" s="16"/>
      <c r="P301" s="16"/>
    </row>
    <row r="302" spans="10:16" x14ac:dyDescent="0.2">
      <c r="J302" s="16"/>
      <c r="K302" s="16"/>
      <c r="L302" s="16"/>
      <c r="M302" s="16"/>
      <c r="N302" s="16"/>
      <c r="O302" s="16"/>
      <c r="P302" s="16"/>
    </row>
    <row r="303" spans="10:16" x14ac:dyDescent="0.2">
      <c r="J303" s="16"/>
      <c r="K303" s="16"/>
      <c r="L303" s="16"/>
      <c r="M303" s="16"/>
      <c r="N303" s="16"/>
      <c r="O303" s="16"/>
      <c r="P303" s="16"/>
    </row>
    <row r="304" spans="10:16" x14ac:dyDescent="0.2">
      <c r="J304" s="16"/>
      <c r="K304" s="16"/>
      <c r="L304" s="16"/>
      <c r="M304" s="16"/>
      <c r="N304" s="16"/>
      <c r="O304" s="16"/>
      <c r="P304" s="16"/>
    </row>
    <row r="305" spans="10:16" x14ac:dyDescent="0.2">
      <c r="J305" s="16"/>
      <c r="K305" s="16"/>
      <c r="L305" s="16"/>
      <c r="M305" s="16"/>
      <c r="N305" s="16"/>
      <c r="O305" s="16"/>
      <c r="P305" s="16"/>
    </row>
    <row r="306" spans="10:16" x14ac:dyDescent="0.2">
      <c r="J306" s="16"/>
      <c r="K306" s="16"/>
      <c r="L306" s="16"/>
      <c r="M306" s="16"/>
      <c r="N306" s="16"/>
      <c r="O306" s="16"/>
      <c r="P306" s="16"/>
    </row>
    <row r="307" spans="10:16" x14ac:dyDescent="0.2">
      <c r="J307" s="16"/>
      <c r="K307" s="16"/>
      <c r="L307" s="16"/>
      <c r="M307" s="16"/>
      <c r="N307" s="16"/>
      <c r="O307" s="16"/>
      <c r="P307" s="16"/>
    </row>
    <row r="308" spans="10:16" x14ac:dyDescent="0.2">
      <c r="J308" s="16"/>
      <c r="K308" s="16"/>
      <c r="L308" s="16"/>
      <c r="M308" s="16"/>
      <c r="N308" s="16"/>
      <c r="O308" s="16"/>
      <c r="P308" s="16"/>
    </row>
    <row r="309" spans="10:16" x14ac:dyDescent="0.2">
      <c r="J309" s="16"/>
      <c r="K309" s="16"/>
      <c r="L309" s="16"/>
      <c r="M309" s="16"/>
      <c r="N309" s="16"/>
      <c r="O309" s="16"/>
      <c r="P309" s="16"/>
    </row>
    <row r="310" spans="10:16" x14ac:dyDescent="0.2">
      <c r="J310" s="16"/>
      <c r="K310" s="16"/>
      <c r="L310" s="16"/>
      <c r="M310" s="16"/>
      <c r="N310" s="16"/>
      <c r="O310" s="16"/>
      <c r="P310" s="16"/>
    </row>
    <row r="311" spans="10:16" x14ac:dyDescent="0.2">
      <c r="J311" s="16"/>
      <c r="K311" s="16"/>
      <c r="L311" s="16"/>
      <c r="M311" s="16"/>
      <c r="N311" s="16"/>
      <c r="O311" s="16"/>
      <c r="P311" s="16"/>
    </row>
    <row r="312" spans="10:16" x14ac:dyDescent="0.2">
      <c r="J312" s="16"/>
      <c r="K312" s="16"/>
      <c r="L312" s="16"/>
      <c r="M312" s="16"/>
      <c r="N312" s="16"/>
      <c r="O312" s="16"/>
      <c r="P312" s="16"/>
    </row>
    <row r="313" spans="10:16" x14ac:dyDescent="0.2">
      <c r="J313" s="16"/>
      <c r="K313" s="16"/>
      <c r="L313" s="16"/>
      <c r="M313" s="16"/>
      <c r="N313" s="16"/>
      <c r="O313" s="16"/>
      <c r="P313" s="16"/>
    </row>
    <row r="314" spans="10:16" x14ac:dyDescent="0.2">
      <c r="J314" s="16"/>
      <c r="K314" s="16"/>
      <c r="L314" s="16"/>
      <c r="M314" s="16"/>
      <c r="N314" s="16"/>
      <c r="O314" s="16"/>
      <c r="P314" s="16"/>
    </row>
    <row r="315" spans="10:16" x14ac:dyDescent="0.2">
      <c r="J315" s="16"/>
      <c r="K315" s="16"/>
      <c r="L315" s="16"/>
      <c r="M315" s="16"/>
      <c r="N315" s="16"/>
      <c r="O315" s="16"/>
      <c r="P315" s="16"/>
    </row>
    <row r="316" spans="10:16" x14ac:dyDescent="0.2">
      <c r="J316" s="16"/>
      <c r="K316" s="16"/>
      <c r="L316" s="16"/>
      <c r="M316" s="16"/>
      <c r="N316" s="16"/>
      <c r="O316" s="16"/>
      <c r="P316" s="16"/>
    </row>
    <row r="317" spans="10:16" x14ac:dyDescent="0.2">
      <c r="J317" s="16"/>
      <c r="K317" s="16"/>
      <c r="L317" s="16"/>
      <c r="M317" s="16"/>
      <c r="N317" s="16"/>
      <c r="O317" s="16"/>
      <c r="P317" s="16"/>
    </row>
    <row r="318" spans="10:16" x14ac:dyDescent="0.2">
      <c r="J318" s="16"/>
      <c r="K318" s="16"/>
      <c r="L318" s="16"/>
      <c r="M318" s="16"/>
      <c r="N318" s="16"/>
      <c r="O318" s="16"/>
      <c r="P318" s="16"/>
    </row>
    <row r="319" spans="10:16" x14ac:dyDescent="0.2">
      <c r="J319" s="16"/>
      <c r="K319" s="16"/>
      <c r="L319" s="16"/>
      <c r="M319" s="16"/>
      <c r="N319" s="16"/>
      <c r="O319" s="16"/>
      <c r="P319" s="16"/>
    </row>
    <row r="320" spans="10:16" x14ac:dyDescent="0.2">
      <c r="J320" s="16"/>
      <c r="K320" s="16"/>
      <c r="L320" s="16"/>
      <c r="M320" s="16"/>
      <c r="N320" s="16"/>
      <c r="O320" s="16"/>
      <c r="P320" s="16"/>
    </row>
    <row r="321" spans="10:16" x14ac:dyDescent="0.2">
      <c r="J321" s="16"/>
      <c r="K321" s="16"/>
      <c r="L321" s="16"/>
      <c r="M321" s="16"/>
      <c r="N321" s="16"/>
      <c r="O321" s="16"/>
      <c r="P321" s="16"/>
    </row>
    <row r="322" spans="10:16" x14ac:dyDescent="0.2">
      <c r="J322" s="16"/>
      <c r="K322" s="16"/>
      <c r="L322" s="16"/>
      <c r="M322" s="16"/>
      <c r="N322" s="16"/>
      <c r="O322" s="16"/>
      <c r="P322" s="16"/>
    </row>
    <row r="323" spans="10:16" x14ac:dyDescent="0.2">
      <c r="J323" s="16"/>
      <c r="K323" s="16"/>
      <c r="L323" s="16"/>
      <c r="M323" s="16"/>
      <c r="N323" s="16"/>
      <c r="O323" s="16"/>
      <c r="P323" s="16"/>
    </row>
    <row r="324" spans="10:16" x14ac:dyDescent="0.2">
      <c r="J324" s="16"/>
      <c r="K324" s="16"/>
      <c r="L324" s="16"/>
      <c r="M324" s="16"/>
      <c r="N324" s="16"/>
      <c r="O324" s="16"/>
      <c r="P324" s="16"/>
    </row>
    <row r="325" spans="10:16" x14ac:dyDescent="0.2">
      <c r="J325" s="16"/>
      <c r="K325" s="16"/>
      <c r="L325" s="16"/>
      <c r="M325" s="16"/>
      <c r="N325" s="16"/>
      <c r="O325" s="16"/>
      <c r="P325" s="16"/>
    </row>
    <row r="326" spans="10:16" x14ac:dyDescent="0.2">
      <c r="J326" s="16"/>
      <c r="K326" s="16"/>
      <c r="L326" s="16"/>
      <c r="M326" s="16"/>
      <c r="N326" s="16"/>
      <c r="O326" s="16"/>
      <c r="P326" s="16"/>
    </row>
    <row r="327" spans="10:16" x14ac:dyDescent="0.2">
      <c r="J327" s="16"/>
      <c r="K327" s="16"/>
      <c r="L327" s="16"/>
      <c r="M327" s="16"/>
      <c r="N327" s="16"/>
      <c r="O327" s="16"/>
      <c r="P327" s="16"/>
    </row>
    <row r="328" spans="10:16" x14ac:dyDescent="0.2">
      <c r="J328" s="16"/>
      <c r="K328" s="16"/>
      <c r="L328" s="16"/>
      <c r="M328" s="16"/>
      <c r="N328" s="16"/>
      <c r="O328" s="16"/>
      <c r="P328" s="16"/>
    </row>
    <row r="329" spans="10:16" x14ac:dyDescent="0.2">
      <c r="J329" s="16"/>
      <c r="K329" s="16"/>
      <c r="L329" s="16"/>
      <c r="M329" s="16"/>
      <c r="N329" s="16"/>
      <c r="O329" s="16"/>
      <c r="P329" s="16"/>
    </row>
    <row r="330" spans="10:16" x14ac:dyDescent="0.2">
      <c r="J330" s="16"/>
      <c r="K330" s="16"/>
      <c r="L330" s="16"/>
      <c r="M330" s="16"/>
      <c r="N330" s="16"/>
      <c r="O330" s="16"/>
      <c r="P330" s="16"/>
    </row>
    <row r="331" spans="10:16" x14ac:dyDescent="0.2">
      <c r="J331" s="16"/>
      <c r="K331" s="16"/>
      <c r="L331" s="16"/>
      <c r="M331" s="16"/>
      <c r="N331" s="16"/>
      <c r="O331" s="16"/>
      <c r="P331" s="16"/>
    </row>
    <row r="332" spans="10:16" x14ac:dyDescent="0.2">
      <c r="J332" s="16"/>
      <c r="K332" s="16"/>
      <c r="L332" s="16"/>
      <c r="M332" s="16"/>
      <c r="N332" s="16"/>
      <c r="O332" s="16"/>
      <c r="P332" s="16"/>
    </row>
    <row r="333" spans="10:16" x14ac:dyDescent="0.2">
      <c r="J333" s="16"/>
      <c r="K333" s="16"/>
      <c r="L333" s="16"/>
      <c r="M333" s="16"/>
      <c r="N333" s="16"/>
      <c r="O333" s="16"/>
      <c r="P333" s="16"/>
    </row>
    <row r="334" spans="10:16" x14ac:dyDescent="0.2">
      <c r="J334" s="16"/>
      <c r="K334" s="16"/>
      <c r="L334" s="16"/>
      <c r="M334" s="16"/>
      <c r="N334" s="16"/>
      <c r="O334" s="16"/>
      <c r="P334" s="16"/>
    </row>
    <row r="335" spans="10:16" x14ac:dyDescent="0.2">
      <c r="J335" s="16"/>
      <c r="K335" s="16"/>
      <c r="L335" s="16"/>
      <c r="M335" s="16"/>
      <c r="N335" s="16"/>
      <c r="O335" s="16"/>
      <c r="P335" s="16"/>
    </row>
    <row r="336" spans="10:16" x14ac:dyDescent="0.2">
      <c r="J336" s="16"/>
      <c r="K336" s="16"/>
      <c r="L336" s="16"/>
      <c r="M336" s="16"/>
      <c r="N336" s="16"/>
      <c r="O336" s="16"/>
      <c r="P336" s="16"/>
    </row>
    <row r="337" spans="10:16" x14ac:dyDescent="0.2">
      <c r="J337" s="16"/>
      <c r="K337" s="16"/>
      <c r="L337" s="16"/>
      <c r="M337" s="16"/>
      <c r="N337" s="16"/>
      <c r="O337" s="16"/>
      <c r="P337" s="16"/>
    </row>
    <row r="338" spans="10:16" x14ac:dyDescent="0.2">
      <c r="J338" s="16"/>
      <c r="K338" s="16"/>
      <c r="L338" s="16"/>
      <c r="M338" s="16"/>
      <c r="N338" s="16"/>
      <c r="O338" s="16"/>
      <c r="P338" s="16"/>
    </row>
    <row r="339" spans="10:16" x14ac:dyDescent="0.2">
      <c r="J339" s="16"/>
      <c r="K339" s="16"/>
      <c r="L339" s="16"/>
      <c r="M339" s="16"/>
      <c r="N339" s="16"/>
      <c r="O339" s="16"/>
      <c r="P339" s="16"/>
    </row>
    <row r="340" spans="10:16" x14ac:dyDescent="0.2">
      <c r="J340" s="16"/>
      <c r="K340" s="16"/>
      <c r="L340" s="16"/>
      <c r="M340" s="16"/>
      <c r="N340" s="16"/>
      <c r="O340" s="16"/>
      <c r="P340" s="16"/>
    </row>
    <row r="341" spans="10:16" x14ac:dyDescent="0.2">
      <c r="J341" s="16"/>
      <c r="K341" s="16"/>
      <c r="L341" s="16"/>
      <c r="M341" s="16"/>
      <c r="N341" s="16"/>
      <c r="O341" s="16"/>
      <c r="P341" s="16"/>
    </row>
    <row r="342" spans="10:16" x14ac:dyDescent="0.2">
      <c r="J342" s="16"/>
      <c r="K342" s="16"/>
      <c r="L342" s="16"/>
      <c r="M342" s="16"/>
      <c r="N342" s="16"/>
      <c r="O342" s="16"/>
      <c r="P342" s="16"/>
    </row>
    <row r="343" spans="10:16" x14ac:dyDescent="0.2">
      <c r="J343" s="16"/>
      <c r="K343" s="16"/>
      <c r="L343" s="16"/>
      <c r="M343" s="16"/>
      <c r="N343" s="16"/>
      <c r="O343" s="16"/>
      <c r="P343" s="16"/>
    </row>
    <row r="344" spans="10:16" x14ac:dyDescent="0.2">
      <c r="J344" s="16"/>
      <c r="K344" s="16"/>
      <c r="L344" s="16"/>
      <c r="M344" s="16"/>
      <c r="N344" s="16"/>
      <c r="O344" s="16"/>
      <c r="P344" s="16"/>
    </row>
    <row r="345" spans="10:16" x14ac:dyDescent="0.2">
      <c r="J345" s="16"/>
      <c r="K345" s="16"/>
      <c r="L345" s="16"/>
      <c r="M345" s="16"/>
      <c r="N345" s="16"/>
      <c r="O345" s="16"/>
      <c r="P345" s="16"/>
    </row>
    <row r="346" spans="10:16" x14ac:dyDescent="0.2">
      <c r="J346" s="16"/>
      <c r="K346" s="16"/>
      <c r="L346" s="16"/>
      <c r="M346" s="16"/>
      <c r="N346" s="16"/>
      <c r="O346" s="16"/>
      <c r="P346" s="16"/>
    </row>
    <row r="347" spans="10:16" x14ac:dyDescent="0.2">
      <c r="J347" s="16"/>
      <c r="K347" s="16"/>
      <c r="L347" s="16"/>
      <c r="M347" s="16"/>
      <c r="N347" s="16"/>
      <c r="O347" s="16"/>
      <c r="P347" s="16"/>
    </row>
    <row r="348" spans="10:16" x14ac:dyDescent="0.2">
      <c r="J348" s="16"/>
      <c r="K348" s="16"/>
      <c r="L348" s="16"/>
      <c r="M348" s="16"/>
      <c r="N348" s="16"/>
      <c r="O348" s="16"/>
      <c r="P348" s="16"/>
    </row>
    <row r="349" spans="10:16" x14ac:dyDescent="0.2">
      <c r="J349" s="16"/>
      <c r="K349" s="16"/>
      <c r="L349" s="16"/>
      <c r="M349" s="16"/>
      <c r="N349" s="16"/>
      <c r="O349" s="16"/>
      <c r="P349" s="16"/>
    </row>
    <row r="350" spans="10:16" x14ac:dyDescent="0.2">
      <c r="J350" s="16"/>
      <c r="K350" s="16"/>
      <c r="L350" s="16"/>
      <c r="M350" s="16"/>
      <c r="N350" s="16"/>
      <c r="O350" s="16"/>
      <c r="P350" s="16"/>
    </row>
    <row r="351" spans="10:16" x14ac:dyDescent="0.2">
      <c r="J351" s="16"/>
      <c r="K351" s="16"/>
      <c r="L351" s="16"/>
      <c r="M351" s="16"/>
      <c r="N351" s="16"/>
      <c r="O351" s="16"/>
      <c r="P351" s="16"/>
    </row>
    <row r="352" spans="10:16" x14ac:dyDescent="0.2">
      <c r="J352" s="16"/>
      <c r="K352" s="16"/>
      <c r="L352" s="16"/>
      <c r="M352" s="16"/>
      <c r="N352" s="16"/>
      <c r="O352" s="16"/>
      <c r="P352" s="16"/>
    </row>
    <row r="353" spans="10:16" x14ac:dyDescent="0.2">
      <c r="J353" s="16"/>
      <c r="K353" s="16"/>
      <c r="L353" s="16"/>
      <c r="M353" s="16"/>
      <c r="N353" s="16"/>
      <c r="O353" s="16"/>
      <c r="P353" s="16"/>
    </row>
    <row r="354" spans="10:16" x14ac:dyDescent="0.2">
      <c r="J354" s="16"/>
      <c r="K354" s="16"/>
      <c r="L354" s="16"/>
      <c r="M354" s="16"/>
      <c r="N354" s="16"/>
      <c r="O354" s="16"/>
      <c r="P354" s="16"/>
    </row>
    <row r="355" spans="10:16" x14ac:dyDescent="0.2">
      <c r="J355" s="16"/>
      <c r="K355" s="16"/>
      <c r="L355" s="16"/>
      <c r="M355" s="16"/>
      <c r="N355" s="16"/>
      <c r="O355" s="16"/>
      <c r="P355" s="16"/>
    </row>
    <row r="356" spans="10:16" x14ac:dyDescent="0.2">
      <c r="J356" s="16"/>
      <c r="K356" s="16"/>
      <c r="L356" s="16"/>
      <c r="M356" s="16"/>
      <c r="N356" s="16"/>
      <c r="O356" s="16"/>
      <c r="P356" s="16"/>
    </row>
    <row r="357" spans="10:16" x14ac:dyDescent="0.2">
      <c r="J357" s="16"/>
      <c r="K357" s="16"/>
      <c r="L357" s="16"/>
      <c r="M357" s="16"/>
      <c r="N357" s="16"/>
      <c r="O357" s="16"/>
      <c r="P357" s="16"/>
    </row>
    <row r="358" spans="10:16" x14ac:dyDescent="0.2">
      <c r="J358" s="16"/>
      <c r="K358" s="16"/>
      <c r="L358" s="16"/>
      <c r="M358" s="16"/>
      <c r="N358" s="16"/>
      <c r="O358" s="16"/>
      <c r="P358" s="16"/>
    </row>
    <row r="359" spans="10:16" x14ac:dyDescent="0.2">
      <c r="J359" s="16"/>
      <c r="K359" s="16"/>
      <c r="L359" s="16"/>
      <c r="M359" s="16"/>
      <c r="N359" s="16"/>
      <c r="O359" s="16"/>
      <c r="P359" s="16"/>
    </row>
    <row r="360" spans="10:16" x14ac:dyDescent="0.2">
      <c r="J360" s="16"/>
      <c r="K360" s="16"/>
      <c r="L360" s="16"/>
      <c r="M360" s="16"/>
      <c r="N360" s="16"/>
      <c r="O360" s="16"/>
      <c r="P360" s="16"/>
    </row>
    <row r="361" spans="10:16" x14ac:dyDescent="0.2">
      <c r="J361" s="16"/>
      <c r="K361" s="16"/>
      <c r="L361" s="16"/>
      <c r="M361" s="16"/>
      <c r="N361" s="16"/>
      <c r="O361" s="16"/>
      <c r="P361" s="16"/>
    </row>
    <row r="362" spans="10:16" x14ac:dyDescent="0.2">
      <c r="J362" s="16"/>
      <c r="K362" s="16"/>
      <c r="L362" s="16"/>
      <c r="M362" s="16"/>
      <c r="N362" s="16"/>
      <c r="O362" s="16"/>
      <c r="P362" s="16"/>
    </row>
    <row r="363" spans="10:16" x14ac:dyDescent="0.2">
      <c r="J363" s="16"/>
      <c r="K363" s="16"/>
      <c r="L363" s="16"/>
      <c r="M363" s="16"/>
      <c r="N363" s="16"/>
      <c r="O363" s="16"/>
      <c r="P363" s="16"/>
    </row>
    <row r="364" spans="10:16" x14ac:dyDescent="0.2">
      <c r="J364" s="16"/>
      <c r="K364" s="16"/>
      <c r="L364" s="16"/>
      <c r="M364" s="16"/>
      <c r="N364" s="16"/>
      <c r="O364" s="16"/>
      <c r="P364" s="16"/>
    </row>
    <row r="365" spans="10:16" x14ac:dyDescent="0.2">
      <c r="J365" s="16"/>
      <c r="K365" s="16"/>
      <c r="L365" s="16"/>
      <c r="M365" s="16"/>
      <c r="N365" s="16"/>
      <c r="O365" s="16"/>
      <c r="P365" s="16"/>
    </row>
    <row r="366" spans="10:16" x14ac:dyDescent="0.2">
      <c r="J366" s="16"/>
      <c r="K366" s="16"/>
      <c r="L366" s="16"/>
      <c r="M366" s="16"/>
      <c r="N366" s="16"/>
      <c r="O366" s="16"/>
      <c r="P366" s="16"/>
    </row>
    <row r="367" spans="10:16" x14ac:dyDescent="0.2">
      <c r="J367" s="16"/>
      <c r="K367" s="16"/>
      <c r="L367" s="16"/>
      <c r="M367" s="16"/>
      <c r="N367" s="16"/>
      <c r="O367" s="16"/>
      <c r="P367" s="16"/>
    </row>
    <row r="368" spans="10:16" x14ac:dyDescent="0.2">
      <c r="J368" s="16"/>
      <c r="K368" s="16"/>
      <c r="L368" s="16"/>
      <c r="M368" s="16"/>
      <c r="N368" s="16"/>
      <c r="O368" s="16"/>
      <c r="P368" s="16"/>
    </row>
    <row r="369" spans="10:16" x14ac:dyDescent="0.2">
      <c r="J369" s="16"/>
      <c r="K369" s="16"/>
      <c r="L369" s="16"/>
      <c r="M369" s="16"/>
      <c r="N369" s="16"/>
      <c r="O369" s="16"/>
      <c r="P369" s="16"/>
    </row>
    <row r="370" spans="10:16" x14ac:dyDescent="0.2">
      <c r="J370" s="16"/>
      <c r="K370" s="16"/>
      <c r="L370" s="16"/>
      <c r="M370" s="16"/>
      <c r="N370" s="16"/>
      <c r="O370" s="16"/>
      <c r="P370" s="16"/>
    </row>
    <row r="371" spans="10:16" x14ac:dyDescent="0.2">
      <c r="J371" s="16"/>
      <c r="K371" s="16"/>
      <c r="L371" s="16"/>
      <c r="M371" s="16"/>
      <c r="N371" s="16"/>
      <c r="O371" s="16"/>
      <c r="P371" s="16"/>
    </row>
    <row r="372" spans="10:16" x14ac:dyDescent="0.2">
      <c r="J372" s="16"/>
      <c r="K372" s="16"/>
      <c r="L372" s="16"/>
      <c r="M372" s="16"/>
      <c r="N372" s="16"/>
      <c r="O372" s="16"/>
      <c r="P372" s="16"/>
    </row>
    <row r="373" spans="10:16" x14ac:dyDescent="0.2">
      <c r="J373" s="16"/>
      <c r="K373" s="16"/>
      <c r="L373" s="16"/>
      <c r="M373" s="16"/>
      <c r="N373" s="16"/>
      <c r="O373" s="16"/>
      <c r="P373" s="16"/>
    </row>
    <row r="374" spans="10:16" x14ac:dyDescent="0.2">
      <c r="J374" s="16"/>
      <c r="K374" s="16"/>
      <c r="L374" s="16"/>
      <c r="M374" s="16"/>
      <c r="N374" s="16"/>
      <c r="O374" s="16"/>
      <c r="P374" s="16"/>
    </row>
    <row r="375" spans="10:16" x14ac:dyDescent="0.2">
      <c r="J375" s="16"/>
      <c r="K375" s="16"/>
      <c r="L375" s="16"/>
      <c r="M375" s="16"/>
      <c r="N375" s="16"/>
      <c r="O375" s="16"/>
      <c r="P375" s="16"/>
    </row>
    <row r="376" spans="10:16" x14ac:dyDescent="0.2">
      <c r="J376" s="16"/>
      <c r="K376" s="16"/>
      <c r="L376" s="16"/>
      <c r="M376" s="16"/>
      <c r="N376" s="16"/>
      <c r="O376" s="16"/>
      <c r="P376" s="16"/>
    </row>
    <row r="377" spans="10:16" x14ac:dyDescent="0.2">
      <c r="J377" s="16"/>
      <c r="K377" s="16"/>
      <c r="L377" s="16"/>
      <c r="M377" s="16"/>
      <c r="N377" s="16"/>
      <c r="O377" s="16"/>
      <c r="P377" s="16"/>
    </row>
    <row r="378" spans="10:16" x14ac:dyDescent="0.2">
      <c r="J378" s="16"/>
      <c r="K378" s="16"/>
      <c r="L378" s="16"/>
      <c r="M378" s="16"/>
      <c r="N378" s="16"/>
      <c r="O378" s="16"/>
      <c r="P378" s="16"/>
    </row>
    <row r="379" spans="10:16" x14ac:dyDescent="0.2">
      <c r="J379" s="16"/>
      <c r="K379" s="16"/>
      <c r="L379" s="16"/>
      <c r="M379" s="16"/>
      <c r="N379" s="16"/>
      <c r="O379" s="16"/>
      <c r="P379" s="16"/>
    </row>
    <row r="380" spans="10:16" x14ac:dyDescent="0.2">
      <c r="J380" s="16"/>
      <c r="K380" s="16"/>
      <c r="L380" s="16"/>
      <c r="M380" s="16"/>
      <c r="N380" s="16"/>
      <c r="O380" s="16"/>
      <c r="P380" s="16"/>
    </row>
    <row r="381" spans="10:16" x14ac:dyDescent="0.2">
      <c r="J381" s="16"/>
      <c r="K381" s="16"/>
      <c r="L381" s="16"/>
      <c r="M381" s="16"/>
      <c r="N381" s="16"/>
      <c r="O381" s="16"/>
      <c r="P381" s="16"/>
    </row>
    <row r="382" spans="10:16" x14ac:dyDescent="0.2">
      <c r="J382" s="16"/>
      <c r="K382" s="16"/>
      <c r="L382" s="16"/>
      <c r="M382" s="16"/>
      <c r="N382" s="16"/>
      <c r="O382" s="16"/>
      <c r="P382" s="16"/>
    </row>
    <row r="383" spans="10:16" x14ac:dyDescent="0.2">
      <c r="J383" s="16"/>
      <c r="K383" s="16"/>
      <c r="L383" s="16"/>
      <c r="M383" s="16"/>
      <c r="N383" s="16"/>
      <c r="O383" s="16"/>
      <c r="P383" s="16"/>
    </row>
    <row r="384" spans="10:16" x14ac:dyDescent="0.2">
      <c r="J384" s="16"/>
      <c r="K384" s="16"/>
      <c r="L384" s="16"/>
      <c r="M384" s="16"/>
      <c r="N384" s="16"/>
      <c r="O384" s="16"/>
      <c r="P384" s="16"/>
    </row>
    <row r="385" spans="10:16" x14ac:dyDescent="0.2">
      <c r="J385" s="16"/>
      <c r="K385" s="16"/>
      <c r="L385" s="16"/>
      <c r="M385" s="16"/>
      <c r="N385" s="16"/>
      <c r="O385" s="16"/>
      <c r="P385" s="16"/>
    </row>
    <row r="386" spans="10:16" x14ac:dyDescent="0.2">
      <c r="J386" s="16"/>
      <c r="K386" s="16"/>
      <c r="L386" s="16"/>
      <c r="M386" s="16"/>
      <c r="N386" s="16"/>
      <c r="O386" s="16"/>
      <c r="P386" s="16"/>
    </row>
    <row r="387" spans="10:16" x14ac:dyDescent="0.2">
      <c r="J387" s="16"/>
      <c r="K387" s="16"/>
      <c r="L387" s="16"/>
      <c r="M387" s="16"/>
      <c r="N387" s="16"/>
      <c r="O387" s="16"/>
      <c r="P387" s="16"/>
    </row>
    <row r="388" spans="10:16" x14ac:dyDescent="0.2">
      <c r="J388" s="16"/>
      <c r="K388" s="16"/>
      <c r="L388" s="16"/>
      <c r="M388" s="16"/>
      <c r="N388" s="16"/>
      <c r="O388" s="16"/>
      <c r="P388" s="16"/>
    </row>
    <row r="389" spans="10:16" x14ac:dyDescent="0.2">
      <c r="J389" s="16"/>
      <c r="K389" s="16"/>
      <c r="L389" s="16"/>
      <c r="M389" s="16"/>
      <c r="N389" s="16"/>
      <c r="O389" s="16"/>
      <c r="P389" s="16"/>
    </row>
    <row r="390" spans="10:16" x14ac:dyDescent="0.2">
      <c r="J390" s="16"/>
      <c r="K390" s="16"/>
      <c r="L390" s="16"/>
      <c r="M390" s="16"/>
      <c r="N390" s="16"/>
      <c r="O390" s="16"/>
      <c r="P390" s="16"/>
    </row>
    <row r="391" spans="10:16" x14ac:dyDescent="0.2">
      <c r="J391" s="16"/>
      <c r="K391" s="16"/>
      <c r="L391" s="16"/>
      <c r="M391" s="16"/>
      <c r="N391" s="16"/>
      <c r="O391" s="16"/>
      <c r="P391" s="16"/>
    </row>
    <row r="392" spans="10:16" x14ac:dyDescent="0.2">
      <c r="J392" s="16"/>
      <c r="K392" s="16"/>
      <c r="L392" s="16"/>
      <c r="M392" s="16"/>
      <c r="N392" s="16"/>
      <c r="O392" s="16"/>
      <c r="P392" s="16"/>
    </row>
    <row r="393" spans="10:16" x14ac:dyDescent="0.2">
      <c r="J393" s="16"/>
      <c r="K393" s="16"/>
      <c r="L393" s="16"/>
      <c r="M393" s="16"/>
      <c r="N393" s="16"/>
      <c r="O393" s="16"/>
      <c r="P393" s="16"/>
    </row>
    <row r="394" spans="10:16" x14ac:dyDescent="0.2">
      <c r="J394" s="16"/>
      <c r="K394" s="16"/>
      <c r="L394" s="16"/>
      <c r="M394" s="16"/>
      <c r="N394" s="16"/>
      <c r="O394" s="16"/>
      <c r="P394" s="16"/>
    </row>
    <row r="395" spans="10:16" x14ac:dyDescent="0.2">
      <c r="J395" s="16"/>
      <c r="K395" s="16"/>
      <c r="L395" s="16"/>
      <c r="M395" s="16"/>
      <c r="N395" s="16"/>
      <c r="O395" s="16"/>
      <c r="P395" s="16"/>
    </row>
    <row r="396" spans="10:16" x14ac:dyDescent="0.2">
      <c r="J396" s="16"/>
      <c r="K396" s="16"/>
      <c r="L396" s="16"/>
      <c r="M396" s="16"/>
      <c r="N396" s="16"/>
      <c r="O396" s="16"/>
      <c r="P396" s="16"/>
    </row>
    <row r="397" spans="10:16" x14ac:dyDescent="0.2">
      <c r="J397" s="16"/>
      <c r="K397" s="16"/>
      <c r="L397" s="16"/>
      <c r="M397" s="16"/>
      <c r="N397" s="16"/>
      <c r="O397" s="16"/>
      <c r="P397" s="16"/>
    </row>
    <row r="398" spans="10:16" x14ac:dyDescent="0.2">
      <c r="J398" s="16"/>
      <c r="K398" s="16"/>
      <c r="L398" s="16"/>
      <c r="M398" s="16"/>
      <c r="N398" s="16"/>
      <c r="O398" s="16"/>
      <c r="P398" s="16"/>
    </row>
    <row r="399" spans="10:16" x14ac:dyDescent="0.2">
      <c r="J399" s="16"/>
      <c r="K399" s="16"/>
      <c r="L399" s="16"/>
      <c r="M399" s="16"/>
      <c r="N399" s="16"/>
      <c r="O399" s="16"/>
      <c r="P399" s="16"/>
    </row>
    <row r="400" spans="10:16" x14ac:dyDescent="0.2">
      <c r="J400" s="16"/>
      <c r="K400" s="16"/>
      <c r="L400" s="16"/>
      <c r="M400" s="16"/>
      <c r="N400" s="16"/>
      <c r="O400" s="16"/>
      <c r="P400" s="16"/>
    </row>
    <row r="401" spans="10:16" x14ac:dyDescent="0.2">
      <c r="J401" s="16"/>
      <c r="K401" s="16"/>
      <c r="L401" s="16"/>
      <c r="M401" s="16"/>
      <c r="N401" s="16"/>
      <c r="O401" s="16"/>
      <c r="P401" s="16"/>
    </row>
    <row r="402" spans="10:16" x14ac:dyDescent="0.2">
      <c r="J402" s="16"/>
      <c r="K402" s="16"/>
      <c r="L402" s="16"/>
      <c r="M402" s="16"/>
      <c r="N402" s="16"/>
      <c r="O402" s="16"/>
      <c r="P402" s="16"/>
    </row>
    <row r="403" spans="10:16" x14ac:dyDescent="0.2">
      <c r="J403" s="16"/>
      <c r="K403" s="16"/>
      <c r="L403" s="16"/>
      <c r="M403" s="16"/>
      <c r="N403" s="16"/>
      <c r="O403" s="16"/>
      <c r="P403" s="16"/>
    </row>
    <row r="404" spans="10:16" x14ac:dyDescent="0.2">
      <c r="J404" s="16"/>
      <c r="K404" s="16"/>
      <c r="L404" s="16"/>
      <c r="M404" s="16"/>
      <c r="N404" s="16"/>
      <c r="O404" s="16"/>
      <c r="P404" s="16"/>
    </row>
    <row r="405" spans="10:16" x14ac:dyDescent="0.2">
      <c r="J405" s="16"/>
      <c r="K405" s="16"/>
      <c r="L405" s="16"/>
      <c r="M405" s="16"/>
      <c r="N405" s="16"/>
      <c r="O405" s="16"/>
      <c r="P405" s="16"/>
    </row>
    <row r="406" spans="10:16" x14ac:dyDescent="0.2">
      <c r="J406" s="16"/>
      <c r="K406" s="16"/>
      <c r="L406" s="16"/>
      <c r="M406" s="16"/>
      <c r="N406" s="16"/>
      <c r="O406" s="16"/>
      <c r="P406" s="16"/>
    </row>
    <row r="407" spans="10:16" x14ac:dyDescent="0.2">
      <c r="J407" s="16"/>
      <c r="K407" s="16"/>
      <c r="L407" s="16"/>
      <c r="M407" s="16"/>
      <c r="N407" s="16"/>
      <c r="O407" s="16"/>
      <c r="P407" s="16"/>
    </row>
    <row r="408" spans="10:16" x14ac:dyDescent="0.2">
      <c r="J408" s="16"/>
      <c r="K408" s="16"/>
      <c r="L408" s="16"/>
      <c r="M408" s="16"/>
      <c r="N408" s="16"/>
      <c r="O408" s="16"/>
      <c r="P408" s="16"/>
    </row>
    <row r="409" spans="10:16" x14ac:dyDescent="0.2">
      <c r="J409" s="16"/>
      <c r="K409" s="16"/>
      <c r="L409" s="16"/>
      <c r="M409" s="16"/>
      <c r="N409" s="16"/>
      <c r="O409" s="16"/>
      <c r="P409" s="16"/>
    </row>
    <row r="410" spans="10:16" x14ac:dyDescent="0.2">
      <c r="J410" s="16"/>
      <c r="K410" s="16"/>
      <c r="L410" s="16"/>
      <c r="M410" s="16"/>
      <c r="N410" s="16"/>
      <c r="O410" s="16"/>
      <c r="P410" s="16"/>
    </row>
    <row r="411" spans="10:16" x14ac:dyDescent="0.2">
      <c r="J411" s="16"/>
      <c r="K411" s="16"/>
      <c r="L411" s="16"/>
      <c r="M411" s="16"/>
      <c r="N411" s="16"/>
      <c r="O411" s="16"/>
      <c r="P411" s="16"/>
    </row>
    <row r="412" spans="10:16" x14ac:dyDescent="0.2">
      <c r="J412" s="16"/>
      <c r="K412" s="16"/>
      <c r="L412" s="16"/>
      <c r="M412" s="16"/>
      <c r="N412" s="16"/>
      <c r="O412" s="16"/>
      <c r="P412" s="16"/>
    </row>
    <row r="413" spans="10:16" x14ac:dyDescent="0.2">
      <c r="J413" s="16"/>
      <c r="K413" s="16"/>
      <c r="L413" s="16"/>
      <c r="M413" s="16"/>
      <c r="N413" s="16"/>
      <c r="O413" s="16"/>
      <c r="P413" s="16"/>
    </row>
    <row r="414" spans="10:16" x14ac:dyDescent="0.2">
      <c r="J414" s="16"/>
      <c r="K414" s="16"/>
      <c r="L414" s="16"/>
      <c r="M414" s="16"/>
      <c r="N414" s="16"/>
      <c r="O414" s="16"/>
      <c r="P414" s="16"/>
    </row>
    <row r="415" spans="10:16" x14ac:dyDescent="0.2">
      <c r="J415" s="16"/>
      <c r="K415" s="16"/>
      <c r="L415" s="16"/>
      <c r="M415" s="16"/>
      <c r="N415" s="16"/>
      <c r="O415" s="16"/>
      <c r="P415" s="16"/>
    </row>
    <row r="416" spans="10:16" x14ac:dyDescent="0.2">
      <c r="J416" s="16"/>
      <c r="K416" s="16"/>
      <c r="L416" s="16"/>
      <c r="M416" s="16"/>
      <c r="N416" s="16"/>
      <c r="O416" s="16"/>
      <c r="P416" s="16"/>
    </row>
    <row r="417" spans="10:16" x14ac:dyDescent="0.2">
      <c r="J417" s="16"/>
      <c r="K417" s="16"/>
      <c r="L417" s="16"/>
      <c r="M417" s="16"/>
      <c r="N417" s="16"/>
      <c r="O417" s="16"/>
      <c r="P417" s="16"/>
    </row>
    <row r="418" spans="10:16" x14ac:dyDescent="0.2">
      <c r="J418" s="16"/>
      <c r="K418" s="16"/>
      <c r="L418" s="16"/>
      <c r="M418" s="16"/>
      <c r="N418" s="16"/>
      <c r="O418" s="16"/>
      <c r="P418" s="16"/>
    </row>
    <row r="419" spans="10:16" x14ac:dyDescent="0.2">
      <c r="J419" s="16"/>
      <c r="K419" s="16"/>
      <c r="L419" s="16"/>
      <c r="M419" s="16"/>
      <c r="N419" s="16"/>
      <c r="O419" s="16"/>
      <c r="P419" s="16"/>
    </row>
    <row r="420" spans="10:16" x14ac:dyDescent="0.2">
      <c r="J420" s="16"/>
      <c r="K420" s="16"/>
      <c r="L420" s="16"/>
      <c r="M420" s="16"/>
      <c r="N420" s="16"/>
      <c r="O420" s="16"/>
      <c r="P420" s="16"/>
    </row>
    <row r="421" spans="10:16" x14ac:dyDescent="0.2">
      <c r="J421" s="16"/>
      <c r="K421" s="16"/>
      <c r="L421" s="16"/>
      <c r="M421" s="16"/>
      <c r="N421" s="16"/>
      <c r="O421" s="16"/>
      <c r="P421" s="16"/>
    </row>
    <row r="422" spans="10:16" x14ac:dyDescent="0.2">
      <c r="J422" s="16"/>
      <c r="K422" s="16"/>
      <c r="L422" s="16"/>
      <c r="M422" s="16"/>
      <c r="N422" s="16"/>
      <c r="O422" s="16"/>
      <c r="P422" s="16"/>
    </row>
    <row r="423" spans="10:16" x14ac:dyDescent="0.2">
      <c r="J423" s="16"/>
      <c r="K423" s="16"/>
      <c r="L423" s="16"/>
      <c r="M423" s="16"/>
      <c r="N423" s="16"/>
      <c r="O423" s="16"/>
      <c r="P423" s="16"/>
    </row>
    <row r="424" spans="10:16" x14ac:dyDescent="0.2">
      <c r="J424" s="16"/>
      <c r="K424" s="16"/>
      <c r="L424" s="16"/>
      <c r="M424" s="16"/>
      <c r="N424" s="16"/>
      <c r="O424" s="16"/>
      <c r="P424" s="16"/>
    </row>
    <row r="425" spans="10:16" x14ac:dyDescent="0.2">
      <c r="J425" s="16"/>
      <c r="K425" s="16"/>
      <c r="L425" s="16"/>
      <c r="M425" s="16"/>
      <c r="N425" s="16"/>
      <c r="O425" s="16"/>
      <c r="P425" s="16"/>
    </row>
    <row r="426" spans="10:16" x14ac:dyDescent="0.2">
      <c r="J426" s="16"/>
      <c r="K426" s="16"/>
      <c r="L426" s="16"/>
      <c r="M426" s="16"/>
      <c r="N426" s="16"/>
      <c r="O426" s="16"/>
      <c r="P426" s="16"/>
    </row>
    <row r="427" spans="10:16" x14ac:dyDescent="0.2">
      <c r="J427" s="16"/>
      <c r="K427" s="16"/>
      <c r="L427" s="16"/>
      <c r="M427" s="16"/>
      <c r="N427" s="16"/>
      <c r="O427" s="16"/>
      <c r="P427" s="16"/>
    </row>
    <row r="428" spans="10:16" x14ac:dyDescent="0.2">
      <c r="J428" s="16"/>
      <c r="K428" s="16"/>
      <c r="L428" s="16"/>
      <c r="M428" s="16"/>
      <c r="N428" s="16"/>
      <c r="O428" s="16"/>
      <c r="P428" s="16"/>
    </row>
    <row r="429" spans="10:16" x14ac:dyDescent="0.2">
      <c r="J429" s="16"/>
      <c r="K429" s="16"/>
      <c r="L429" s="16"/>
      <c r="M429" s="16"/>
      <c r="N429" s="16"/>
      <c r="O429" s="16"/>
      <c r="P429" s="16"/>
    </row>
    <row r="430" spans="10:16" x14ac:dyDescent="0.2">
      <c r="J430" s="16"/>
      <c r="K430" s="16"/>
      <c r="L430" s="16"/>
      <c r="M430" s="16"/>
      <c r="N430" s="16"/>
      <c r="O430" s="16"/>
      <c r="P430" s="16"/>
    </row>
    <row r="431" spans="10:16" x14ac:dyDescent="0.2">
      <c r="J431" s="16"/>
      <c r="K431" s="16"/>
      <c r="L431" s="16"/>
      <c r="M431" s="16"/>
      <c r="N431" s="16"/>
      <c r="O431" s="16"/>
      <c r="P431" s="16"/>
    </row>
    <row r="432" spans="10:16" x14ac:dyDescent="0.2">
      <c r="J432" s="16"/>
      <c r="K432" s="16"/>
      <c r="L432" s="16"/>
      <c r="M432" s="16"/>
      <c r="N432" s="16"/>
      <c r="O432" s="16"/>
      <c r="P432" s="16"/>
    </row>
    <row r="433" spans="10:16" x14ac:dyDescent="0.2">
      <c r="J433" s="16"/>
      <c r="K433" s="16"/>
      <c r="L433" s="16"/>
      <c r="M433" s="16"/>
      <c r="N433" s="16"/>
      <c r="O433" s="16"/>
      <c r="P433" s="16"/>
    </row>
    <row r="434" spans="10:16" x14ac:dyDescent="0.2">
      <c r="J434" s="16"/>
      <c r="K434" s="16"/>
      <c r="L434" s="16"/>
      <c r="M434" s="16"/>
      <c r="N434" s="16"/>
      <c r="O434" s="16"/>
      <c r="P434" s="16"/>
    </row>
    <row r="435" spans="10:16" x14ac:dyDescent="0.2">
      <c r="J435" s="16"/>
      <c r="K435" s="16"/>
      <c r="L435" s="16"/>
      <c r="M435" s="16"/>
      <c r="N435" s="16"/>
      <c r="O435" s="16"/>
      <c r="P435" s="16"/>
    </row>
    <row r="436" spans="10:16" x14ac:dyDescent="0.2">
      <c r="J436" s="16"/>
      <c r="K436" s="16"/>
      <c r="L436" s="16"/>
      <c r="M436" s="16"/>
      <c r="N436" s="16"/>
      <c r="O436" s="16"/>
      <c r="P436" s="16"/>
    </row>
    <row r="437" spans="10:16" x14ac:dyDescent="0.2">
      <c r="J437" s="16"/>
      <c r="K437" s="16"/>
      <c r="L437" s="16"/>
      <c r="M437" s="16"/>
      <c r="N437" s="16"/>
      <c r="O437" s="16"/>
      <c r="P437" s="16"/>
    </row>
    <row r="438" spans="10:16" x14ac:dyDescent="0.2">
      <c r="J438" s="16"/>
      <c r="K438" s="16"/>
      <c r="L438" s="16"/>
      <c r="M438" s="16"/>
      <c r="N438" s="16"/>
      <c r="O438" s="16"/>
      <c r="P438" s="16"/>
    </row>
    <row r="439" spans="10:16" x14ac:dyDescent="0.2">
      <c r="J439" s="16"/>
      <c r="K439" s="16"/>
      <c r="L439" s="16"/>
      <c r="M439" s="16"/>
      <c r="N439" s="16"/>
      <c r="O439" s="16"/>
      <c r="P439" s="16"/>
    </row>
    <row r="440" spans="10:16" x14ac:dyDescent="0.2">
      <c r="J440" s="16"/>
      <c r="K440" s="16"/>
      <c r="L440" s="16"/>
      <c r="M440" s="16"/>
      <c r="N440" s="16"/>
      <c r="O440" s="16"/>
      <c r="P440" s="16"/>
    </row>
    <row r="441" spans="10:16" x14ac:dyDescent="0.2">
      <c r="J441" s="16"/>
      <c r="K441" s="16"/>
      <c r="L441" s="16"/>
      <c r="M441" s="16"/>
      <c r="N441" s="16"/>
      <c r="O441" s="16"/>
      <c r="P441" s="16"/>
    </row>
    <row r="442" spans="10:16" x14ac:dyDescent="0.2">
      <c r="J442" s="16"/>
      <c r="K442" s="16"/>
      <c r="L442" s="16"/>
      <c r="M442" s="16"/>
      <c r="N442" s="16"/>
      <c r="O442" s="16"/>
      <c r="P442" s="16"/>
    </row>
    <row r="443" spans="10:16" x14ac:dyDescent="0.2">
      <c r="J443" s="16"/>
      <c r="K443" s="16"/>
      <c r="L443" s="16"/>
      <c r="M443" s="16"/>
      <c r="N443" s="16"/>
      <c r="O443" s="16"/>
      <c r="P443" s="16"/>
    </row>
    <row r="444" spans="10:16" x14ac:dyDescent="0.2">
      <c r="J444" s="16"/>
      <c r="K444" s="16"/>
      <c r="L444" s="16"/>
      <c r="M444" s="16"/>
      <c r="N444" s="16"/>
      <c r="O444" s="16"/>
      <c r="P444" s="16"/>
    </row>
    <row r="445" spans="10:16" x14ac:dyDescent="0.2">
      <c r="J445" s="16"/>
      <c r="K445" s="16"/>
      <c r="L445" s="16"/>
      <c r="M445" s="16"/>
      <c r="N445" s="16"/>
      <c r="O445" s="16"/>
      <c r="P445" s="16"/>
    </row>
    <row r="446" spans="10:16" x14ac:dyDescent="0.2">
      <c r="J446" s="16"/>
      <c r="K446" s="16"/>
      <c r="L446" s="16"/>
      <c r="M446" s="16"/>
      <c r="N446" s="16"/>
      <c r="O446" s="16"/>
      <c r="P446" s="16"/>
    </row>
    <row r="447" spans="10:16" x14ac:dyDescent="0.2">
      <c r="J447" s="16"/>
      <c r="K447" s="16"/>
      <c r="L447" s="16"/>
      <c r="M447" s="16"/>
      <c r="N447" s="16"/>
      <c r="O447" s="16"/>
      <c r="P447" s="16"/>
    </row>
    <row r="448" spans="10:16" x14ac:dyDescent="0.2">
      <c r="J448" s="16"/>
      <c r="K448" s="16"/>
      <c r="L448" s="16"/>
      <c r="M448" s="16"/>
      <c r="N448" s="16"/>
      <c r="O448" s="16"/>
      <c r="P448" s="16"/>
    </row>
    <row r="449" spans="10:16" x14ac:dyDescent="0.2">
      <c r="J449" s="16"/>
      <c r="K449" s="16"/>
      <c r="L449" s="16"/>
      <c r="M449" s="16"/>
      <c r="N449" s="16"/>
      <c r="O449" s="16"/>
      <c r="P449" s="16"/>
    </row>
    <row r="450" spans="10:16" x14ac:dyDescent="0.2">
      <c r="J450" s="16"/>
      <c r="K450" s="16"/>
      <c r="L450" s="16"/>
      <c r="M450" s="16"/>
      <c r="N450" s="16"/>
      <c r="O450" s="16"/>
      <c r="P450" s="16"/>
    </row>
    <row r="451" spans="10:16" x14ac:dyDescent="0.2">
      <c r="J451" s="16"/>
      <c r="K451" s="16"/>
      <c r="L451" s="16"/>
      <c r="M451" s="16"/>
      <c r="N451" s="16"/>
      <c r="O451" s="16"/>
      <c r="P451" s="16"/>
    </row>
    <row r="452" spans="10:16" x14ac:dyDescent="0.2">
      <c r="J452" s="16"/>
      <c r="K452" s="16"/>
      <c r="L452" s="16"/>
      <c r="M452" s="16"/>
      <c r="N452" s="16"/>
      <c r="O452" s="16"/>
      <c r="P452" s="16"/>
    </row>
    <row r="453" spans="10:16" x14ac:dyDescent="0.2">
      <c r="J453" s="16"/>
      <c r="K453" s="16"/>
      <c r="L453" s="16"/>
      <c r="M453" s="16"/>
      <c r="N453" s="16"/>
      <c r="O453" s="16"/>
      <c r="P453" s="16"/>
    </row>
    <row r="454" spans="10:16" x14ac:dyDescent="0.2">
      <c r="J454" s="16"/>
      <c r="K454" s="16"/>
      <c r="L454" s="16"/>
      <c r="M454" s="16"/>
      <c r="N454" s="16"/>
      <c r="O454" s="16"/>
      <c r="P454" s="16"/>
    </row>
    <row r="455" spans="10:16" x14ac:dyDescent="0.2">
      <c r="J455" s="16"/>
      <c r="K455" s="16"/>
      <c r="L455" s="16"/>
      <c r="M455" s="16"/>
      <c r="N455" s="16"/>
      <c r="O455" s="16"/>
      <c r="P455" s="16"/>
    </row>
    <row r="456" spans="10:16" x14ac:dyDescent="0.2">
      <c r="J456" s="16"/>
      <c r="K456" s="16"/>
      <c r="L456" s="16"/>
      <c r="M456" s="16"/>
      <c r="N456" s="16"/>
      <c r="O456" s="16"/>
      <c r="P456" s="16"/>
    </row>
    <row r="457" spans="10:16" x14ac:dyDescent="0.2">
      <c r="J457" s="16"/>
      <c r="K457" s="16"/>
      <c r="L457" s="16"/>
      <c r="M457" s="16"/>
      <c r="N457" s="16"/>
      <c r="O457" s="16"/>
      <c r="P457" s="16"/>
    </row>
    <row r="458" spans="10:16" x14ac:dyDescent="0.2">
      <c r="J458" s="16"/>
      <c r="K458" s="16"/>
      <c r="L458" s="16"/>
      <c r="M458" s="16"/>
      <c r="N458" s="16"/>
      <c r="O458" s="16"/>
      <c r="P458" s="16"/>
    </row>
    <row r="459" spans="10:16" x14ac:dyDescent="0.2">
      <c r="J459" s="16"/>
      <c r="K459" s="16"/>
      <c r="L459" s="16"/>
      <c r="M459" s="16"/>
      <c r="N459" s="16"/>
      <c r="O459" s="16"/>
      <c r="P459" s="16"/>
    </row>
    <row r="460" spans="10:16" x14ac:dyDescent="0.2">
      <c r="J460" s="16"/>
      <c r="K460" s="16"/>
      <c r="L460" s="16"/>
      <c r="M460" s="16"/>
      <c r="N460" s="16"/>
      <c r="O460" s="16"/>
      <c r="P460" s="16"/>
    </row>
    <row r="461" spans="10:16" x14ac:dyDescent="0.2">
      <c r="J461" s="16"/>
      <c r="K461" s="16"/>
      <c r="L461" s="16"/>
      <c r="M461" s="16"/>
      <c r="N461" s="16"/>
      <c r="O461" s="16"/>
      <c r="P461" s="16"/>
    </row>
    <row r="462" spans="10:16" x14ac:dyDescent="0.2">
      <c r="J462" s="16"/>
      <c r="K462" s="16"/>
      <c r="L462" s="16"/>
      <c r="M462" s="16"/>
      <c r="N462" s="16"/>
      <c r="O462" s="16"/>
      <c r="P462" s="16"/>
    </row>
    <row r="463" spans="10:16" x14ac:dyDescent="0.2">
      <c r="J463" s="16"/>
      <c r="K463" s="16"/>
      <c r="L463" s="16"/>
      <c r="M463" s="16"/>
      <c r="N463" s="16"/>
      <c r="O463" s="16"/>
      <c r="P463" s="16"/>
    </row>
    <row r="464" spans="10:16" x14ac:dyDescent="0.2">
      <c r="J464" s="16"/>
      <c r="K464" s="16"/>
      <c r="L464" s="16"/>
      <c r="M464" s="16"/>
      <c r="N464" s="16"/>
      <c r="O464" s="16"/>
      <c r="P464" s="16"/>
    </row>
    <row r="465" spans="10:16" x14ac:dyDescent="0.2">
      <c r="J465" s="16"/>
      <c r="K465" s="16"/>
      <c r="L465" s="16"/>
      <c r="M465" s="16"/>
      <c r="N465" s="16"/>
      <c r="O465" s="16"/>
      <c r="P465" s="16"/>
    </row>
    <row r="466" spans="10:16" x14ac:dyDescent="0.2">
      <c r="J466" s="16"/>
      <c r="K466" s="16"/>
      <c r="L466" s="16"/>
      <c r="M466" s="16"/>
      <c r="N466" s="16"/>
      <c r="O466" s="16"/>
      <c r="P466" s="16"/>
    </row>
    <row r="467" spans="10:16" x14ac:dyDescent="0.2">
      <c r="J467" s="16"/>
      <c r="K467" s="16"/>
      <c r="L467" s="16"/>
      <c r="M467" s="16"/>
      <c r="N467" s="16"/>
      <c r="O467" s="16"/>
      <c r="P467" s="16"/>
    </row>
    <row r="468" spans="10:16" x14ac:dyDescent="0.2">
      <c r="J468" s="16"/>
      <c r="K468" s="16"/>
      <c r="L468" s="16"/>
      <c r="M468" s="16"/>
      <c r="N468" s="16"/>
      <c r="O468" s="16"/>
      <c r="P468" s="16"/>
    </row>
    <row r="469" spans="10:16" x14ac:dyDescent="0.2">
      <c r="J469" s="16"/>
      <c r="K469" s="16"/>
      <c r="L469" s="16"/>
      <c r="M469" s="16"/>
      <c r="N469" s="16"/>
      <c r="O469" s="16"/>
      <c r="P469" s="16"/>
    </row>
    <row r="470" spans="10:16" x14ac:dyDescent="0.2">
      <c r="J470" s="16"/>
      <c r="K470" s="16"/>
      <c r="L470" s="16"/>
      <c r="M470" s="16"/>
      <c r="N470" s="16"/>
      <c r="O470" s="16"/>
      <c r="P470" s="16"/>
    </row>
    <row r="471" spans="10:16" x14ac:dyDescent="0.2">
      <c r="J471" s="16"/>
      <c r="K471" s="16"/>
      <c r="L471" s="16"/>
      <c r="M471" s="16"/>
      <c r="N471" s="16"/>
      <c r="O471" s="16"/>
      <c r="P471" s="16"/>
    </row>
    <row r="472" spans="10:16" x14ac:dyDescent="0.2">
      <c r="J472" s="16"/>
      <c r="K472" s="16"/>
      <c r="L472" s="16"/>
      <c r="M472" s="16"/>
      <c r="N472" s="16"/>
      <c r="O472" s="16"/>
      <c r="P472" s="16"/>
    </row>
    <row r="473" spans="10:16" x14ac:dyDescent="0.2">
      <c r="J473" s="16"/>
      <c r="K473" s="16"/>
      <c r="L473" s="16"/>
      <c r="M473" s="16"/>
      <c r="N473" s="16"/>
      <c r="O473" s="16"/>
      <c r="P473" s="16"/>
    </row>
    <row r="474" spans="10:16" x14ac:dyDescent="0.2">
      <c r="J474" s="16"/>
      <c r="K474" s="16"/>
      <c r="L474" s="16"/>
      <c r="M474" s="16"/>
      <c r="N474" s="16"/>
      <c r="O474" s="16"/>
      <c r="P474" s="16"/>
    </row>
    <row r="475" spans="10:16" x14ac:dyDescent="0.2">
      <c r="J475" s="16"/>
      <c r="K475" s="16"/>
      <c r="L475" s="16"/>
      <c r="M475" s="16"/>
      <c r="N475" s="16"/>
      <c r="O475" s="16"/>
      <c r="P475" s="16"/>
    </row>
    <row r="476" spans="10:16" x14ac:dyDescent="0.2">
      <c r="J476" s="16"/>
      <c r="K476" s="16"/>
      <c r="L476" s="16"/>
      <c r="M476" s="16"/>
      <c r="N476" s="16"/>
      <c r="O476" s="16"/>
      <c r="P476" s="16"/>
    </row>
    <row r="477" spans="10:16" x14ac:dyDescent="0.2">
      <c r="J477" s="16"/>
      <c r="K477" s="16"/>
      <c r="L477" s="16"/>
      <c r="M477" s="16"/>
      <c r="N477" s="16"/>
      <c r="O477" s="16"/>
      <c r="P477" s="16"/>
    </row>
    <row r="478" spans="10:16" x14ac:dyDescent="0.2">
      <c r="J478" s="16"/>
      <c r="K478" s="16"/>
      <c r="L478" s="16"/>
      <c r="M478" s="16"/>
      <c r="N478" s="16"/>
      <c r="O478" s="16"/>
      <c r="P478" s="16"/>
    </row>
    <row r="479" spans="10:16" x14ac:dyDescent="0.2">
      <c r="J479" s="16"/>
      <c r="K479" s="16"/>
      <c r="L479" s="16"/>
      <c r="M479" s="16"/>
      <c r="N479" s="16"/>
      <c r="O479" s="16"/>
      <c r="P479" s="16"/>
    </row>
    <row r="480" spans="10:16" x14ac:dyDescent="0.2">
      <c r="J480" s="16"/>
      <c r="K480" s="16"/>
      <c r="L480" s="16"/>
      <c r="M480" s="16"/>
      <c r="N480" s="16"/>
      <c r="O480" s="16"/>
      <c r="P480" s="16"/>
    </row>
    <row r="481" spans="10:16" x14ac:dyDescent="0.2">
      <c r="J481" s="16"/>
      <c r="K481" s="16"/>
      <c r="L481" s="16"/>
      <c r="M481" s="16"/>
      <c r="N481" s="16"/>
      <c r="O481" s="16"/>
      <c r="P481" s="16"/>
    </row>
    <row r="482" spans="10:16" x14ac:dyDescent="0.2">
      <c r="J482" s="16"/>
      <c r="K482" s="16"/>
      <c r="L482" s="16"/>
      <c r="M482" s="16"/>
      <c r="N482" s="16"/>
      <c r="O482" s="16"/>
      <c r="P482" s="16"/>
    </row>
    <row r="483" spans="10:16" x14ac:dyDescent="0.2">
      <c r="J483" s="16"/>
      <c r="K483" s="16"/>
      <c r="L483" s="16"/>
      <c r="M483" s="16"/>
      <c r="N483" s="16"/>
      <c r="O483" s="16"/>
      <c r="P483" s="16"/>
    </row>
    <row r="484" spans="10:16" x14ac:dyDescent="0.2">
      <c r="J484" s="16"/>
      <c r="K484" s="16"/>
      <c r="L484" s="16"/>
      <c r="M484" s="16"/>
      <c r="N484" s="16"/>
      <c r="O484" s="16"/>
      <c r="P484" s="16"/>
    </row>
    <row r="485" spans="10:16" x14ac:dyDescent="0.2">
      <c r="J485" s="16"/>
      <c r="K485" s="16"/>
      <c r="L485" s="16"/>
      <c r="M485" s="16"/>
      <c r="N485" s="16"/>
      <c r="O485" s="16"/>
      <c r="P485" s="16"/>
    </row>
    <row r="486" spans="10:16" x14ac:dyDescent="0.2">
      <c r="J486" s="16"/>
      <c r="K486" s="16"/>
      <c r="L486" s="16"/>
      <c r="M486" s="16"/>
      <c r="N486" s="16"/>
      <c r="O486" s="16"/>
      <c r="P486" s="16"/>
    </row>
    <row r="487" spans="10:16" x14ac:dyDescent="0.2">
      <c r="J487" s="16"/>
      <c r="K487" s="16"/>
      <c r="L487" s="16"/>
      <c r="M487" s="16"/>
      <c r="N487" s="16"/>
      <c r="O487" s="16"/>
      <c r="P487" s="16"/>
    </row>
    <row r="488" spans="10:16" x14ac:dyDescent="0.2">
      <c r="J488" s="16"/>
      <c r="K488" s="16"/>
      <c r="L488" s="16"/>
      <c r="M488" s="16"/>
      <c r="N488" s="16"/>
      <c r="O488" s="16"/>
      <c r="P488" s="16"/>
    </row>
    <row r="489" spans="10:16" x14ac:dyDescent="0.2">
      <c r="J489" s="16"/>
      <c r="K489" s="16"/>
      <c r="L489" s="16"/>
      <c r="M489" s="16"/>
      <c r="N489" s="16"/>
      <c r="O489" s="16"/>
      <c r="P489" s="16"/>
    </row>
    <row r="490" spans="10:16" x14ac:dyDescent="0.2">
      <c r="J490" s="16"/>
      <c r="K490" s="16"/>
      <c r="L490" s="16"/>
      <c r="M490" s="16"/>
      <c r="N490" s="16"/>
      <c r="O490" s="16"/>
      <c r="P490" s="16"/>
    </row>
    <row r="491" spans="10:16" x14ac:dyDescent="0.2">
      <c r="J491" s="16"/>
      <c r="K491" s="16"/>
      <c r="L491" s="16"/>
      <c r="M491" s="16"/>
      <c r="N491" s="16"/>
      <c r="O491" s="16"/>
      <c r="P491" s="16"/>
    </row>
    <row r="492" spans="10:16" x14ac:dyDescent="0.2">
      <c r="J492" s="16"/>
      <c r="K492" s="16"/>
      <c r="L492" s="16"/>
      <c r="M492" s="16"/>
      <c r="N492" s="16"/>
      <c r="O492" s="16"/>
      <c r="P492" s="16"/>
    </row>
    <row r="493" spans="10:16" x14ac:dyDescent="0.2">
      <c r="J493" s="16"/>
      <c r="K493" s="16"/>
      <c r="L493" s="16"/>
      <c r="M493" s="16"/>
      <c r="N493" s="16"/>
      <c r="O493" s="16"/>
      <c r="P493" s="16"/>
    </row>
    <row r="494" spans="10:16" x14ac:dyDescent="0.2">
      <c r="J494" s="16"/>
      <c r="K494" s="16"/>
      <c r="L494" s="16"/>
      <c r="M494" s="16"/>
      <c r="N494" s="16"/>
      <c r="O494" s="16"/>
      <c r="P494" s="16"/>
    </row>
    <row r="495" spans="10:16" x14ac:dyDescent="0.2">
      <c r="J495" s="16"/>
      <c r="K495" s="16"/>
      <c r="L495" s="16"/>
      <c r="M495" s="16"/>
      <c r="N495" s="16"/>
      <c r="O495" s="16"/>
      <c r="P495" s="16"/>
    </row>
    <row r="496" spans="10:16" x14ac:dyDescent="0.2">
      <c r="J496" s="16"/>
      <c r="K496" s="16"/>
      <c r="L496" s="16"/>
      <c r="M496" s="16"/>
      <c r="N496" s="16"/>
      <c r="O496" s="16"/>
      <c r="P496" s="16"/>
    </row>
    <row r="497" spans="10:16" x14ac:dyDescent="0.2">
      <c r="J497" s="16"/>
      <c r="K497" s="16"/>
      <c r="L497" s="16"/>
      <c r="M497" s="16"/>
      <c r="N497" s="16"/>
      <c r="O497" s="16"/>
      <c r="P497" s="16"/>
    </row>
    <row r="498" spans="10:16" x14ac:dyDescent="0.2">
      <c r="J498" s="16"/>
      <c r="K498" s="16"/>
      <c r="L498" s="16"/>
      <c r="M498" s="16"/>
      <c r="N498" s="16"/>
      <c r="O498" s="16"/>
      <c r="P498" s="16"/>
    </row>
    <row r="499" spans="10:16" x14ac:dyDescent="0.2">
      <c r="J499" s="16"/>
      <c r="K499" s="16"/>
      <c r="L499" s="16"/>
      <c r="M499" s="16"/>
      <c r="N499" s="16"/>
      <c r="O499" s="16"/>
      <c r="P499" s="16"/>
    </row>
    <row r="500" spans="10:16" x14ac:dyDescent="0.2">
      <c r="J500" s="16"/>
      <c r="K500" s="16"/>
      <c r="L500" s="16"/>
      <c r="M500" s="16"/>
      <c r="N500" s="16"/>
      <c r="O500" s="16"/>
      <c r="P500" s="16"/>
    </row>
    <row r="501" spans="10:16" x14ac:dyDescent="0.2">
      <c r="J501" s="16"/>
      <c r="K501" s="16"/>
      <c r="L501" s="16"/>
      <c r="M501" s="16"/>
      <c r="N501" s="16"/>
      <c r="O501" s="16"/>
      <c r="P501" s="16"/>
    </row>
    <row r="502" spans="10:16" x14ac:dyDescent="0.2">
      <c r="J502" s="16"/>
      <c r="K502" s="16"/>
      <c r="L502" s="16"/>
      <c r="M502" s="16"/>
      <c r="N502" s="16"/>
      <c r="O502" s="16"/>
      <c r="P502" s="16"/>
    </row>
    <row r="503" spans="10:16" x14ac:dyDescent="0.2">
      <c r="J503" s="16"/>
      <c r="K503" s="16"/>
      <c r="L503" s="16"/>
      <c r="M503" s="16"/>
      <c r="N503" s="16"/>
      <c r="O503" s="16"/>
      <c r="P503" s="16"/>
    </row>
    <row r="504" spans="10:16" x14ac:dyDescent="0.2">
      <c r="J504" s="16"/>
      <c r="K504" s="16"/>
      <c r="L504" s="16"/>
      <c r="M504" s="16"/>
      <c r="N504" s="16"/>
      <c r="O504" s="16"/>
      <c r="P504" s="16"/>
    </row>
    <row r="505" spans="10:16" x14ac:dyDescent="0.2">
      <c r="J505" s="16"/>
      <c r="K505" s="16"/>
      <c r="L505" s="16"/>
      <c r="M505" s="16"/>
      <c r="N505" s="16"/>
      <c r="O505" s="16"/>
      <c r="P505" s="16"/>
    </row>
    <row r="506" spans="10:16" x14ac:dyDescent="0.2">
      <c r="J506" s="16"/>
      <c r="K506" s="16"/>
      <c r="L506" s="16"/>
      <c r="M506" s="16"/>
      <c r="N506" s="16"/>
      <c r="O506" s="16"/>
      <c r="P506" s="16"/>
    </row>
    <row r="507" spans="10:16" x14ac:dyDescent="0.2">
      <c r="J507" s="16"/>
      <c r="K507" s="16"/>
      <c r="L507" s="16"/>
      <c r="M507" s="16"/>
      <c r="N507" s="16"/>
      <c r="O507" s="16"/>
      <c r="P507" s="16"/>
    </row>
    <row r="508" spans="10:16" x14ac:dyDescent="0.2">
      <c r="J508" s="16"/>
      <c r="K508" s="16"/>
      <c r="L508" s="16"/>
      <c r="M508" s="16"/>
      <c r="N508" s="16"/>
      <c r="O508" s="16"/>
      <c r="P508" s="16"/>
    </row>
    <row r="509" spans="10:16" x14ac:dyDescent="0.2">
      <c r="J509" s="16"/>
      <c r="K509" s="16"/>
      <c r="L509" s="16"/>
      <c r="M509" s="16"/>
      <c r="N509" s="16"/>
      <c r="O509" s="16"/>
      <c r="P509" s="16"/>
    </row>
    <row r="510" spans="10:16" x14ac:dyDescent="0.2">
      <c r="J510" s="16"/>
      <c r="K510" s="16"/>
      <c r="L510" s="16"/>
      <c r="M510" s="16"/>
      <c r="N510" s="16"/>
      <c r="O510" s="16"/>
      <c r="P510" s="16"/>
    </row>
    <row r="511" spans="10:16" x14ac:dyDescent="0.2">
      <c r="J511" s="16"/>
      <c r="K511" s="16"/>
      <c r="L511" s="16"/>
      <c r="M511" s="16"/>
      <c r="N511" s="16"/>
      <c r="O511" s="16"/>
      <c r="P511" s="16"/>
    </row>
    <row r="512" spans="10:16" x14ac:dyDescent="0.2">
      <c r="J512" s="16"/>
      <c r="K512" s="16"/>
      <c r="L512" s="16"/>
      <c r="M512" s="16"/>
      <c r="N512" s="16"/>
      <c r="O512" s="16"/>
      <c r="P512" s="16"/>
    </row>
    <row r="513" spans="10:16" x14ac:dyDescent="0.2">
      <c r="J513" s="16"/>
      <c r="K513" s="16"/>
      <c r="L513" s="16"/>
      <c r="M513" s="16"/>
      <c r="N513" s="16"/>
      <c r="O513" s="16"/>
      <c r="P513" s="16"/>
    </row>
    <row r="514" spans="10:16" x14ac:dyDescent="0.2">
      <c r="J514" s="16"/>
      <c r="K514" s="16"/>
      <c r="L514" s="16"/>
      <c r="M514" s="16"/>
      <c r="N514" s="16"/>
      <c r="O514" s="16"/>
      <c r="P514" s="16"/>
    </row>
    <row r="515" spans="10:16" x14ac:dyDescent="0.2">
      <c r="J515" s="16"/>
      <c r="K515" s="16"/>
      <c r="L515" s="16"/>
      <c r="M515" s="16"/>
      <c r="N515" s="16"/>
      <c r="O515" s="16"/>
      <c r="P515" s="16"/>
    </row>
    <row r="516" spans="10:16" x14ac:dyDescent="0.2">
      <c r="J516" s="16"/>
      <c r="K516" s="16"/>
      <c r="L516" s="16"/>
      <c r="M516" s="16"/>
      <c r="N516" s="16"/>
      <c r="O516" s="16"/>
      <c r="P516" s="16"/>
    </row>
    <row r="517" spans="10:16" x14ac:dyDescent="0.2">
      <c r="J517" s="16"/>
      <c r="K517" s="16"/>
      <c r="L517" s="16"/>
      <c r="M517" s="16"/>
      <c r="N517" s="16"/>
      <c r="O517" s="16"/>
      <c r="P517" s="16"/>
    </row>
    <row r="518" spans="10:16" x14ac:dyDescent="0.2">
      <c r="J518" s="16"/>
      <c r="K518" s="16"/>
      <c r="L518" s="16"/>
      <c r="M518" s="16"/>
      <c r="N518" s="16"/>
      <c r="O518" s="16"/>
      <c r="P518" s="16"/>
    </row>
    <row r="519" spans="10:16" x14ac:dyDescent="0.2">
      <c r="J519" s="16"/>
      <c r="K519" s="16"/>
      <c r="L519" s="16"/>
      <c r="M519" s="16"/>
      <c r="N519" s="16"/>
      <c r="O519" s="16"/>
      <c r="P519" s="16"/>
    </row>
    <row r="520" spans="10:16" x14ac:dyDescent="0.2">
      <c r="J520" s="16"/>
      <c r="K520" s="16"/>
      <c r="L520" s="16"/>
      <c r="M520" s="16"/>
      <c r="N520" s="16"/>
      <c r="O520" s="16"/>
      <c r="P520" s="16"/>
    </row>
    <row r="521" spans="10:16" x14ac:dyDescent="0.2">
      <c r="J521" s="16"/>
      <c r="K521" s="16"/>
      <c r="L521" s="16"/>
      <c r="M521" s="16"/>
      <c r="N521" s="16"/>
      <c r="O521" s="16"/>
      <c r="P521" s="16"/>
    </row>
    <row r="522" spans="10:16" x14ac:dyDescent="0.2">
      <c r="J522" s="16"/>
      <c r="K522" s="16"/>
      <c r="L522" s="16"/>
      <c r="M522" s="16"/>
      <c r="N522" s="16"/>
      <c r="O522" s="16"/>
      <c r="P522" s="16"/>
    </row>
    <row r="523" spans="10:16" x14ac:dyDescent="0.2">
      <c r="J523" s="16"/>
      <c r="K523" s="16"/>
      <c r="L523" s="16"/>
      <c r="M523" s="16"/>
      <c r="N523" s="16"/>
      <c r="O523" s="16"/>
      <c r="P523" s="16"/>
    </row>
    <row r="524" spans="10:16" x14ac:dyDescent="0.2">
      <c r="J524" s="16"/>
      <c r="K524" s="16"/>
      <c r="L524" s="16"/>
      <c r="M524" s="16"/>
      <c r="N524" s="16"/>
      <c r="O524" s="16"/>
      <c r="P524" s="16"/>
    </row>
    <row r="525" spans="10:16" x14ac:dyDescent="0.2">
      <c r="J525" s="16"/>
      <c r="K525" s="16"/>
      <c r="L525" s="16"/>
      <c r="M525" s="16"/>
      <c r="N525" s="16"/>
      <c r="O525" s="16"/>
      <c r="P525" s="16"/>
    </row>
    <row r="526" spans="10:16" x14ac:dyDescent="0.2">
      <c r="J526" s="16"/>
      <c r="K526" s="16"/>
      <c r="L526" s="16"/>
      <c r="M526" s="16"/>
      <c r="N526" s="16"/>
      <c r="O526" s="16"/>
      <c r="P526" s="16"/>
    </row>
    <row r="527" spans="10:16" x14ac:dyDescent="0.2">
      <c r="J527" s="16"/>
      <c r="K527" s="16"/>
      <c r="L527" s="16"/>
      <c r="M527" s="16"/>
      <c r="N527" s="16"/>
      <c r="O527" s="16"/>
      <c r="P527" s="16"/>
    </row>
    <row r="528" spans="10:16" x14ac:dyDescent="0.2">
      <c r="J528" s="16"/>
      <c r="K528" s="16"/>
      <c r="L528" s="16"/>
      <c r="M528" s="16"/>
      <c r="N528" s="16"/>
      <c r="O528" s="16"/>
      <c r="P528" s="16"/>
    </row>
    <row r="529" spans="10:16" x14ac:dyDescent="0.2">
      <c r="J529" s="16"/>
      <c r="K529" s="16"/>
      <c r="L529" s="16"/>
      <c r="M529" s="16"/>
      <c r="N529" s="16"/>
      <c r="O529" s="16"/>
      <c r="P529" s="16"/>
    </row>
    <row r="530" spans="10:16" x14ac:dyDescent="0.2">
      <c r="J530" s="16"/>
      <c r="K530" s="16"/>
      <c r="L530" s="16"/>
      <c r="M530" s="16"/>
      <c r="N530" s="16"/>
      <c r="O530" s="16"/>
      <c r="P530" s="16"/>
    </row>
    <row r="531" spans="10:16" x14ac:dyDescent="0.2">
      <c r="J531" s="16"/>
      <c r="K531" s="16"/>
      <c r="L531" s="16"/>
      <c r="M531" s="16"/>
      <c r="N531" s="16"/>
      <c r="O531" s="16"/>
      <c r="P531" s="16"/>
    </row>
    <row r="532" spans="10:16" x14ac:dyDescent="0.2">
      <c r="J532" s="16"/>
      <c r="K532" s="16"/>
      <c r="L532" s="16"/>
      <c r="M532" s="16"/>
      <c r="N532" s="16"/>
      <c r="O532" s="16"/>
      <c r="P532" s="16"/>
    </row>
    <row r="533" spans="10:16" x14ac:dyDescent="0.2">
      <c r="J533" s="16"/>
      <c r="K533" s="16"/>
      <c r="L533" s="16"/>
      <c r="M533" s="16"/>
      <c r="N533" s="16"/>
      <c r="O533" s="16"/>
      <c r="P533" s="16"/>
    </row>
    <row r="534" spans="10:16" x14ac:dyDescent="0.2">
      <c r="J534" s="16"/>
      <c r="K534" s="16"/>
      <c r="L534" s="16"/>
      <c r="M534" s="16"/>
      <c r="N534" s="16"/>
      <c r="O534" s="16"/>
      <c r="P534" s="16"/>
    </row>
    <row r="535" spans="10:16" x14ac:dyDescent="0.2">
      <c r="J535" s="16"/>
      <c r="K535" s="16"/>
      <c r="L535" s="16"/>
      <c r="M535" s="16"/>
      <c r="N535" s="16"/>
      <c r="O535" s="16"/>
      <c r="P535" s="16"/>
    </row>
    <row r="536" spans="10:16" x14ac:dyDescent="0.2">
      <c r="J536" s="16"/>
      <c r="K536" s="16"/>
      <c r="L536" s="16"/>
      <c r="M536" s="16"/>
      <c r="N536" s="16"/>
      <c r="O536" s="16"/>
      <c r="P536" s="16"/>
    </row>
    <row r="537" spans="10:16" x14ac:dyDescent="0.2">
      <c r="J537" s="16"/>
      <c r="K537" s="16"/>
      <c r="L537" s="16"/>
      <c r="M537" s="16"/>
      <c r="N537" s="16"/>
      <c r="O537" s="16"/>
      <c r="P537" s="16"/>
    </row>
    <row r="538" spans="10:16" x14ac:dyDescent="0.2">
      <c r="J538" s="16"/>
      <c r="K538" s="16"/>
      <c r="L538" s="16"/>
      <c r="M538" s="16"/>
      <c r="N538" s="16"/>
      <c r="O538" s="16"/>
      <c r="P538" s="16"/>
    </row>
    <row r="539" spans="10:16" x14ac:dyDescent="0.2">
      <c r="J539" s="16"/>
      <c r="K539" s="16"/>
      <c r="L539" s="16"/>
      <c r="M539" s="16"/>
      <c r="N539" s="16"/>
      <c r="O539" s="16"/>
      <c r="P539" s="16"/>
    </row>
    <row r="540" spans="10:16" x14ac:dyDescent="0.2">
      <c r="J540" s="16"/>
      <c r="K540" s="16"/>
      <c r="L540" s="16"/>
      <c r="M540" s="16"/>
      <c r="N540" s="16"/>
      <c r="O540" s="16"/>
      <c r="P540" s="16"/>
    </row>
    <row r="541" spans="10:16" x14ac:dyDescent="0.2">
      <c r="J541" s="16"/>
      <c r="K541" s="16"/>
      <c r="L541" s="16"/>
      <c r="M541" s="16"/>
      <c r="N541" s="16"/>
      <c r="O541" s="16"/>
      <c r="P541" s="16"/>
    </row>
    <row r="542" spans="10:16" x14ac:dyDescent="0.2">
      <c r="J542" s="16"/>
      <c r="K542" s="16"/>
      <c r="L542" s="16"/>
      <c r="M542" s="16"/>
      <c r="N542" s="16"/>
      <c r="O542" s="16"/>
      <c r="P542" s="16"/>
    </row>
    <row r="543" spans="10:16" x14ac:dyDescent="0.2">
      <c r="J543" s="16"/>
      <c r="K543" s="16"/>
      <c r="L543" s="16"/>
      <c r="M543" s="16"/>
      <c r="N543" s="16"/>
      <c r="O543" s="16"/>
      <c r="P543" s="16"/>
    </row>
    <row r="544" spans="10:16" x14ac:dyDescent="0.2">
      <c r="J544" s="16"/>
      <c r="K544" s="16"/>
      <c r="L544" s="16"/>
      <c r="M544" s="16"/>
      <c r="N544" s="16"/>
      <c r="O544" s="16"/>
      <c r="P544" s="16"/>
    </row>
    <row r="545" spans="10:16" x14ac:dyDescent="0.2">
      <c r="J545" s="16"/>
      <c r="K545" s="16"/>
      <c r="L545" s="16"/>
      <c r="M545" s="16"/>
      <c r="N545" s="16"/>
      <c r="O545" s="16"/>
      <c r="P545" s="16"/>
    </row>
    <row r="546" spans="10:16" x14ac:dyDescent="0.2">
      <c r="J546" s="16"/>
      <c r="K546" s="16"/>
      <c r="L546" s="16"/>
      <c r="M546" s="16"/>
      <c r="N546" s="16"/>
      <c r="O546" s="16"/>
      <c r="P546" s="16"/>
    </row>
    <row r="547" spans="10:16" x14ac:dyDescent="0.2">
      <c r="J547" s="16"/>
      <c r="K547" s="16"/>
      <c r="L547" s="16"/>
      <c r="M547" s="16"/>
      <c r="N547" s="16"/>
      <c r="O547" s="16"/>
      <c r="P547" s="16"/>
    </row>
    <row r="548" spans="10:16" x14ac:dyDescent="0.2">
      <c r="J548" s="16"/>
      <c r="K548" s="16"/>
      <c r="L548" s="16"/>
      <c r="M548" s="16"/>
      <c r="N548" s="16"/>
      <c r="O548" s="16"/>
      <c r="P548" s="16"/>
    </row>
    <row r="549" spans="10:16" x14ac:dyDescent="0.2">
      <c r="J549" s="16"/>
      <c r="K549" s="16"/>
      <c r="L549" s="16"/>
      <c r="M549" s="16"/>
      <c r="N549" s="16"/>
      <c r="O549" s="16"/>
      <c r="P549" s="16"/>
    </row>
    <row r="550" spans="10:16" x14ac:dyDescent="0.2">
      <c r="J550" s="16"/>
      <c r="K550" s="16"/>
      <c r="L550" s="16"/>
      <c r="M550" s="16"/>
      <c r="N550" s="16"/>
      <c r="O550" s="16"/>
      <c r="P550" s="16"/>
    </row>
    <row r="551" spans="10:16" x14ac:dyDescent="0.2">
      <c r="J551" s="16"/>
      <c r="K551" s="16"/>
      <c r="L551" s="16"/>
      <c r="M551" s="16"/>
      <c r="N551" s="16"/>
      <c r="O551" s="16"/>
      <c r="P551" s="16"/>
    </row>
    <row r="552" spans="10:16" x14ac:dyDescent="0.2">
      <c r="J552" s="16"/>
      <c r="K552" s="16"/>
      <c r="L552" s="16"/>
      <c r="M552" s="16"/>
      <c r="N552" s="16"/>
      <c r="O552" s="16"/>
      <c r="P552" s="16"/>
    </row>
    <row r="553" spans="10:16" x14ac:dyDescent="0.2">
      <c r="J553" s="16"/>
      <c r="K553" s="16"/>
      <c r="L553" s="16"/>
      <c r="M553" s="16"/>
      <c r="N553" s="16"/>
      <c r="O553" s="16"/>
      <c r="P553" s="16"/>
    </row>
    <row r="554" spans="10:16" x14ac:dyDescent="0.2">
      <c r="J554" s="16"/>
      <c r="K554" s="16"/>
      <c r="L554" s="16"/>
      <c r="M554" s="16"/>
      <c r="N554" s="16"/>
      <c r="O554" s="16"/>
      <c r="P554" s="16"/>
    </row>
    <row r="555" spans="10:16" x14ac:dyDescent="0.2">
      <c r="J555" s="16"/>
      <c r="K555" s="16"/>
      <c r="L555" s="16"/>
      <c r="M555" s="16"/>
      <c r="N555" s="16"/>
      <c r="O555" s="16"/>
      <c r="P555" s="16"/>
    </row>
    <row r="556" spans="10:16" x14ac:dyDescent="0.2">
      <c r="J556" s="16"/>
      <c r="K556" s="16"/>
      <c r="L556" s="16"/>
      <c r="M556" s="16"/>
      <c r="N556" s="16"/>
      <c r="O556" s="16"/>
      <c r="P556" s="16"/>
    </row>
    <row r="557" spans="10:16" x14ac:dyDescent="0.2">
      <c r="J557" s="16"/>
      <c r="K557" s="16"/>
      <c r="L557" s="16"/>
      <c r="M557" s="16"/>
      <c r="N557" s="16"/>
      <c r="O557" s="16"/>
      <c r="P557" s="16"/>
    </row>
    <row r="558" spans="10:16" x14ac:dyDescent="0.2">
      <c r="J558" s="16"/>
      <c r="K558" s="16"/>
      <c r="L558" s="16"/>
      <c r="M558" s="16"/>
      <c r="N558" s="16"/>
      <c r="O558" s="16"/>
      <c r="P558" s="16"/>
    </row>
    <row r="559" spans="10:16" x14ac:dyDescent="0.2">
      <c r="J559" s="16"/>
      <c r="K559" s="16"/>
      <c r="L559" s="16"/>
      <c r="M559" s="16"/>
      <c r="N559" s="16"/>
      <c r="O559" s="16"/>
      <c r="P559" s="16"/>
    </row>
    <row r="560" spans="10:16" x14ac:dyDescent="0.2">
      <c r="J560" s="16"/>
      <c r="K560" s="16"/>
      <c r="L560" s="16"/>
      <c r="M560" s="16"/>
      <c r="N560" s="16"/>
      <c r="O560" s="16"/>
      <c r="P560" s="16"/>
    </row>
    <row r="561" spans="10:16" x14ac:dyDescent="0.2">
      <c r="J561" s="16"/>
      <c r="K561" s="16"/>
      <c r="L561" s="16"/>
      <c r="M561" s="16"/>
      <c r="N561" s="16"/>
      <c r="O561" s="16"/>
      <c r="P561" s="16"/>
    </row>
    <row r="562" spans="10:16" x14ac:dyDescent="0.2">
      <c r="J562" s="16"/>
      <c r="K562" s="16"/>
      <c r="L562" s="16"/>
      <c r="M562" s="16"/>
      <c r="N562" s="16"/>
      <c r="O562" s="16"/>
      <c r="P562" s="16"/>
    </row>
    <row r="563" spans="10:16" x14ac:dyDescent="0.2">
      <c r="J563" s="16"/>
      <c r="K563" s="16"/>
      <c r="L563" s="16"/>
      <c r="M563" s="16"/>
      <c r="N563" s="16"/>
      <c r="O563" s="16"/>
      <c r="P563" s="16"/>
    </row>
    <row r="564" spans="10:16" x14ac:dyDescent="0.2">
      <c r="J564" s="16"/>
      <c r="K564" s="16"/>
      <c r="L564" s="16"/>
      <c r="M564" s="16"/>
      <c r="N564" s="16"/>
      <c r="O564" s="16"/>
      <c r="P564" s="16"/>
    </row>
    <row r="565" spans="10:16" x14ac:dyDescent="0.2">
      <c r="J565" s="16"/>
      <c r="K565" s="16"/>
      <c r="L565" s="16"/>
      <c r="M565" s="16"/>
      <c r="N565" s="16"/>
      <c r="O565" s="16"/>
      <c r="P565" s="16"/>
    </row>
    <row r="566" spans="10:16" x14ac:dyDescent="0.2">
      <c r="J566" s="16"/>
      <c r="K566" s="16"/>
      <c r="L566" s="16"/>
      <c r="M566" s="16"/>
      <c r="N566" s="16"/>
      <c r="O566" s="16"/>
      <c r="P566" s="16"/>
    </row>
    <row r="567" spans="10:16" x14ac:dyDescent="0.2">
      <c r="J567" s="16"/>
      <c r="K567" s="16"/>
      <c r="L567" s="16"/>
      <c r="M567" s="16"/>
      <c r="N567" s="16"/>
      <c r="O567" s="16"/>
      <c r="P567" s="16"/>
    </row>
    <row r="568" spans="10:16" x14ac:dyDescent="0.2">
      <c r="J568" s="16"/>
      <c r="K568" s="16"/>
      <c r="L568" s="16"/>
      <c r="M568" s="16"/>
      <c r="N568" s="16"/>
      <c r="O568" s="16"/>
      <c r="P568" s="16"/>
    </row>
    <row r="569" spans="10:16" x14ac:dyDescent="0.2">
      <c r="J569" s="16"/>
      <c r="K569" s="16"/>
      <c r="L569" s="16"/>
      <c r="M569" s="16"/>
      <c r="N569" s="16"/>
      <c r="O569" s="16"/>
      <c r="P569" s="16"/>
    </row>
    <row r="570" spans="10:16" x14ac:dyDescent="0.2">
      <c r="J570" s="16"/>
      <c r="K570" s="16"/>
      <c r="L570" s="16"/>
      <c r="M570" s="16"/>
      <c r="N570" s="16"/>
      <c r="O570" s="16"/>
      <c r="P570" s="16"/>
    </row>
    <row r="571" spans="10:16" x14ac:dyDescent="0.2">
      <c r="J571" s="16"/>
      <c r="K571" s="16"/>
      <c r="L571" s="16"/>
      <c r="M571" s="16"/>
      <c r="N571" s="16"/>
      <c r="O571" s="16"/>
      <c r="P571" s="16"/>
    </row>
    <row r="572" spans="10:16" x14ac:dyDescent="0.2">
      <c r="J572" s="16"/>
      <c r="K572" s="16"/>
      <c r="L572" s="16"/>
      <c r="M572" s="16"/>
      <c r="N572" s="16"/>
      <c r="O572" s="16"/>
      <c r="P572" s="16"/>
    </row>
    <row r="573" spans="10:16" x14ac:dyDescent="0.2">
      <c r="J573" s="16"/>
      <c r="K573" s="16"/>
      <c r="L573" s="16"/>
      <c r="M573" s="16"/>
      <c r="N573" s="16"/>
      <c r="O573" s="16"/>
      <c r="P573" s="16"/>
    </row>
    <row r="574" spans="10:16" x14ac:dyDescent="0.2">
      <c r="J574" s="16"/>
      <c r="K574" s="16"/>
      <c r="L574" s="16"/>
      <c r="M574" s="16"/>
      <c r="N574" s="16"/>
      <c r="O574" s="16"/>
      <c r="P574" s="16"/>
    </row>
    <row r="575" spans="10:16" x14ac:dyDescent="0.2">
      <c r="J575" s="16"/>
      <c r="K575" s="16"/>
      <c r="L575" s="16"/>
      <c r="M575" s="16"/>
      <c r="N575" s="16"/>
      <c r="O575" s="16"/>
      <c r="P575" s="16"/>
    </row>
    <row r="576" spans="10:16" x14ac:dyDescent="0.2">
      <c r="J576" s="16"/>
      <c r="K576" s="16"/>
      <c r="L576" s="16"/>
      <c r="M576" s="16"/>
      <c r="N576" s="16"/>
      <c r="O576" s="16"/>
      <c r="P576" s="16"/>
    </row>
    <row r="577" spans="10:16" x14ac:dyDescent="0.2">
      <c r="J577" s="16"/>
      <c r="K577" s="16"/>
      <c r="L577" s="16"/>
      <c r="M577" s="16"/>
      <c r="N577" s="16"/>
      <c r="O577" s="16"/>
      <c r="P577" s="16"/>
    </row>
    <row r="578" spans="10:16" x14ac:dyDescent="0.2">
      <c r="J578" s="16"/>
      <c r="K578" s="16"/>
      <c r="L578" s="16"/>
      <c r="M578" s="16"/>
      <c r="N578" s="16"/>
      <c r="O578" s="16"/>
      <c r="P578" s="16"/>
    </row>
    <row r="579" spans="10:16" x14ac:dyDescent="0.2">
      <c r="J579" s="16"/>
      <c r="K579" s="16"/>
      <c r="L579" s="16"/>
      <c r="M579" s="16"/>
      <c r="N579" s="16"/>
      <c r="O579" s="16"/>
      <c r="P579" s="16"/>
    </row>
    <row r="580" spans="10:16" x14ac:dyDescent="0.2">
      <c r="J580" s="16"/>
      <c r="K580" s="16"/>
      <c r="L580" s="16"/>
      <c r="M580" s="16"/>
      <c r="N580" s="16"/>
      <c r="O580" s="16"/>
      <c r="P580" s="16"/>
    </row>
    <row r="581" spans="10:16" x14ac:dyDescent="0.2">
      <c r="J581" s="16"/>
      <c r="K581" s="16"/>
      <c r="L581" s="16"/>
      <c r="M581" s="16"/>
      <c r="N581" s="16"/>
      <c r="O581" s="16"/>
      <c r="P581" s="16"/>
    </row>
    <row r="582" spans="10:16" x14ac:dyDescent="0.2">
      <c r="J582" s="16"/>
      <c r="K582" s="16"/>
      <c r="L582" s="16"/>
      <c r="M582" s="16"/>
      <c r="N582" s="16"/>
      <c r="O582" s="16"/>
      <c r="P582" s="16"/>
    </row>
    <row r="583" spans="10:16" x14ac:dyDescent="0.2">
      <c r="J583" s="16"/>
      <c r="K583" s="16"/>
      <c r="L583" s="16"/>
      <c r="M583" s="16"/>
      <c r="N583" s="16"/>
      <c r="O583" s="16"/>
      <c r="P583" s="16"/>
    </row>
    <row r="584" spans="10:16" x14ac:dyDescent="0.2">
      <c r="J584" s="16"/>
      <c r="K584" s="16"/>
      <c r="L584" s="16"/>
      <c r="M584" s="16"/>
      <c r="N584" s="16"/>
      <c r="O584" s="16"/>
      <c r="P584" s="16"/>
    </row>
    <row r="585" spans="10:16" x14ac:dyDescent="0.2">
      <c r="J585" s="16"/>
      <c r="K585" s="16"/>
      <c r="L585" s="16"/>
      <c r="M585" s="16"/>
      <c r="N585" s="16"/>
      <c r="O585" s="16"/>
      <c r="P585" s="16"/>
    </row>
    <row r="586" spans="10:16" x14ac:dyDescent="0.2">
      <c r="J586" s="16"/>
      <c r="K586" s="16"/>
      <c r="L586" s="16"/>
      <c r="M586" s="16"/>
      <c r="N586" s="16"/>
      <c r="O586" s="16"/>
      <c r="P586" s="16"/>
    </row>
    <row r="587" spans="10:16" x14ac:dyDescent="0.2">
      <c r="J587" s="16"/>
      <c r="K587" s="16"/>
      <c r="L587" s="16"/>
      <c r="M587" s="16"/>
      <c r="N587" s="16"/>
      <c r="O587" s="16"/>
      <c r="P587" s="16"/>
    </row>
    <row r="588" spans="10:16" x14ac:dyDescent="0.2">
      <c r="J588" s="16"/>
      <c r="K588" s="16"/>
      <c r="L588" s="16"/>
      <c r="M588" s="16"/>
      <c r="N588" s="16"/>
      <c r="O588" s="16"/>
      <c r="P588" s="16"/>
    </row>
    <row r="589" spans="10:16" x14ac:dyDescent="0.2">
      <c r="J589" s="16"/>
      <c r="K589" s="16"/>
      <c r="L589" s="16"/>
      <c r="M589" s="16"/>
      <c r="N589" s="16"/>
      <c r="O589" s="16"/>
      <c r="P589" s="16"/>
    </row>
    <row r="590" spans="10:16" x14ac:dyDescent="0.2">
      <c r="J590" s="16"/>
      <c r="K590" s="16"/>
      <c r="L590" s="16"/>
      <c r="M590" s="16"/>
      <c r="N590" s="16"/>
      <c r="O590" s="16"/>
      <c r="P590" s="16"/>
    </row>
    <row r="591" spans="10:16" x14ac:dyDescent="0.2">
      <c r="J591" s="16"/>
      <c r="K591" s="16"/>
      <c r="L591" s="16"/>
      <c r="M591" s="16"/>
      <c r="N591" s="16"/>
      <c r="O591" s="16"/>
      <c r="P591" s="16"/>
    </row>
    <row r="592" spans="10:16" x14ac:dyDescent="0.2">
      <c r="J592" s="16"/>
      <c r="K592" s="16"/>
      <c r="L592" s="16"/>
      <c r="M592" s="16"/>
      <c r="N592" s="16"/>
      <c r="O592" s="16"/>
      <c r="P592" s="16"/>
    </row>
    <row r="593" spans="10:16" x14ac:dyDescent="0.2">
      <c r="J593" s="16"/>
      <c r="K593" s="16"/>
      <c r="L593" s="16"/>
      <c r="M593" s="16"/>
      <c r="N593" s="16"/>
      <c r="O593" s="16"/>
      <c r="P593" s="16"/>
    </row>
    <row r="594" spans="10:16" x14ac:dyDescent="0.2">
      <c r="J594" s="16"/>
      <c r="K594" s="16"/>
      <c r="L594" s="16"/>
      <c r="M594" s="16"/>
      <c r="N594" s="16"/>
      <c r="O594" s="16"/>
      <c r="P594" s="16"/>
    </row>
    <row r="595" spans="10:16" x14ac:dyDescent="0.2">
      <c r="J595" s="16"/>
      <c r="K595" s="16"/>
      <c r="L595" s="16"/>
      <c r="M595" s="16"/>
      <c r="N595" s="16"/>
      <c r="O595" s="16"/>
      <c r="P595" s="16"/>
    </row>
    <row r="596" spans="10:16" x14ac:dyDescent="0.2">
      <c r="J596" s="16"/>
      <c r="K596" s="16"/>
      <c r="L596" s="16"/>
      <c r="M596" s="16"/>
      <c r="N596" s="16"/>
      <c r="O596" s="16"/>
      <c r="P596" s="16"/>
    </row>
    <row r="597" spans="10:16" x14ac:dyDescent="0.2">
      <c r="J597" s="16"/>
      <c r="K597" s="16"/>
      <c r="L597" s="16"/>
      <c r="M597" s="16"/>
      <c r="N597" s="16"/>
      <c r="O597" s="16"/>
      <c r="P597" s="16"/>
    </row>
    <row r="598" spans="10:16" x14ac:dyDescent="0.2">
      <c r="J598" s="16"/>
      <c r="K598" s="16"/>
      <c r="L598" s="16"/>
      <c r="M598" s="16"/>
      <c r="N598" s="16"/>
      <c r="O598" s="16"/>
      <c r="P598" s="16"/>
    </row>
    <row r="599" spans="10:16" x14ac:dyDescent="0.2">
      <c r="J599" s="16"/>
      <c r="K599" s="16"/>
      <c r="L599" s="16"/>
      <c r="M599" s="16"/>
      <c r="N599" s="16"/>
      <c r="O599" s="16"/>
      <c r="P599" s="16"/>
    </row>
    <row r="600" spans="10:16" x14ac:dyDescent="0.2">
      <c r="J600" s="16"/>
      <c r="K600" s="16"/>
      <c r="L600" s="16"/>
      <c r="M600" s="16"/>
      <c r="N600" s="16"/>
      <c r="O600" s="16"/>
      <c r="P600" s="16"/>
    </row>
    <row r="601" spans="10:16" x14ac:dyDescent="0.2">
      <c r="J601" s="16"/>
      <c r="K601" s="16"/>
      <c r="L601" s="16"/>
      <c r="M601" s="16"/>
      <c r="N601" s="16"/>
      <c r="O601" s="16"/>
      <c r="P601" s="16"/>
    </row>
    <row r="602" spans="10:16" x14ac:dyDescent="0.2">
      <c r="J602" s="16"/>
      <c r="K602" s="16"/>
      <c r="L602" s="16"/>
      <c r="M602" s="16"/>
      <c r="N602" s="16"/>
      <c r="O602" s="16"/>
      <c r="P602" s="16"/>
    </row>
    <row r="603" spans="10:16" x14ac:dyDescent="0.2">
      <c r="J603" s="16"/>
      <c r="K603" s="16"/>
      <c r="L603" s="16"/>
      <c r="M603" s="16"/>
      <c r="N603" s="16"/>
      <c r="O603" s="16"/>
      <c r="P603" s="16"/>
    </row>
    <row r="604" spans="10:16" x14ac:dyDescent="0.2">
      <c r="J604" s="16"/>
      <c r="K604" s="16"/>
      <c r="L604" s="16"/>
      <c r="M604" s="16"/>
      <c r="N604" s="16"/>
      <c r="O604" s="16"/>
      <c r="P604" s="16"/>
    </row>
    <row r="605" spans="10:16" x14ac:dyDescent="0.2">
      <c r="J605" s="16"/>
      <c r="K605" s="16"/>
      <c r="L605" s="16"/>
      <c r="M605" s="16"/>
      <c r="N605" s="16"/>
      <c r="O605" s="16"/>
      <c r="P605" s="16"/>
    </row>
    <row r="606" spans="10:16" x14ac:dyDescent="0.2">
      <c r="J606" s="16"/>
      <c r="K606" s="16"/>
      <c r="L606" s="16"/>
      <c r="M606" s="16"/>
      <c r="N606" s="16"/>
      <c r="O606" s="16"/>
      <c r="P606" s="16"/>
    </row>
    <row r="607" spans="10:16" x14ac:dyDescent="0.2">
      <c r="J607" s="16"/>
      <c r="K607" s="16"/>
      <c r="L607" s="16"/>
      <c r="M607" s="16"/>
      <c r="N607" s="16"/>
      <c r="O607" s="16"/>
      <c r="P607" s="16"/>
    </row>
    <row r="608" spans="10:16" x14ac:dyDescent="0.2">
      <c r="J608" s="16"/>
      <c r="K608" s="16"/>
      <c r="L608" s="16"/>
      <c r="M608" s="16"/>
      <c r="N608" s="16"/>
      <c r="O608" s="16"/>
      <c r="P608" s="16"/>
    </row>
    <row r="609" spans="10:16" x14ac:dyDescent="0.2">
      <c r="J609" s="16"/>
      <c r="K609" s="16"/>
      <c r="L609" s="16"/>
      <c r="M609" s="16"/>
      <c r="N609" s="16"/>
      <c r="O609" s="16"/>
      <c r="P609" s="16"/>
    </row>
    <row r="610" spans="10:16" x14ac:dyDescent="0.2">
      <c r="J610" s="16"/>
      <c r="K610" s="16"/>
      <c r="L610" s="16"/>
      <c r="M610" s="16"/>
      <c r="N610" s="16"/>
      <c r="O610" s="16"/>
      <c r="P610" s="16"/>
    </row>
    <row r="611" spans="10:16" x14ac:dyDescent="0.2">
      <c r="J611" s="16"/>
      <c r="K611" s="16"/>
      <c r="L611" s="16"/>
      <c r="M611" s="16"/>
      <c r="N611" s="16"/>
      <c r="O611" s="16"/>
      <c r="P611" s="16"/>
    </row>
    <row r="612" spans="10:16" x14ac:dyDescent="0.2">
      <c r="J612" s="16"/>
      <c r="K612" s="16"/>
      <c r="L612" s="16"/>
      <c r="M612" s="16"/>
      <c r="N612" s="16"/>
      <c r="O612" s="16"/>
      <c r="P612" s="16"/>
    </row>
    <row r="613" spans="10:16" x14ac:dyDescent="0.2">
      <c r="J613" s="16"/>
      <c r="K613" s="16"/>
      <c r="L613" s="16"/>
      <c r="M613" s="16"/>
      <c r="N613" s="16"/>
      <c r="O613" s="16"/>
      <c r="P613" s="16"/>
    </row>
    <row r="614" spans="10:16" x14ac:dyDescent="0.2">
      <c r="J614" s="16"/>
      <c r="K614" s="16"/>
      <c r="L614" s="16"/>
      <c r="M614" s="16"/>
      <c r="N614" s="16"/>
      <c r="O614" s="16"/>
      <c r="P614" s="16"/>
    </row>
    <row r="615" spans="10:16" x14ac:dyDescent="0.2">
      <c r="J615" s="16"/>
      <c r="K615" s="16"/>
      <c r="L615" s="16"/>
      <c r="M615" s="16"/>
      <c r="N615" s="16"/>
      <c r="O615" s="16"/>
      <c r="P615" s="16"/>
    </row>
    <row r="616" spans="10:16" x14ac:dyDescent="0.2">
      <c r="J616" s="16"/>
      <c r="K616" s="16"/>
      <c r="L616" s="16"/>
      <c r="M616" s="16"/>
      <c r="N616" s="16"/>
      <c r="O616" s="16"/>
      <c r="P616" s="16"/>
    </row>
    <row r="617" spans="10:16" x14ac:dyDescent="0.2">
      <c r="J617" s="16"/>
      <c r="K617" s="16"/>
      <c r="L617" s="16"/>
      <c r="M617" s="16"/>
      <c r="N617" s="16"/>
      <c r="O617" s="16"/>
      <c r="P617" s="16"/>
    </row>
    <row r="618" spans="10:16" x14ac:dyDescent="0.2">
      <c r="J618" s="16"/>
      <c r="K618" s="16"/>
      <c r="L618" s="16"/>
      <c r="M618" s="16"/>
      <c r="N618" s="16"/>
      <c r="O618" s="16"/>
      <c r="P618" s="16"/>
    </row>
    <row r="619" spans="10:16" x14ac:dyDescent="0.2">
      <c r="J619" s="16"/>
      <c r="K619" s="16"/>
      <c r="L619" s="16"/>
      <c r="M619" s="16"/>
      <c r="N619" s="16"/>
      <c r="O619" s="16"/>
      <c r="P619" s="16"/>
    </row>
    <row r="620" spans="10:16" x14ac:dyDescent="0.2">
      <c r="J620" s="16"/>
      <c r="K620" s="16"/>
      <c r="L620" s="16"/>
      <c r="M620" s="16"/>
      <c r="N620" s="16"/>
      <c r="O620" s="16"/>
      <c r="P620" s="16"/>
    </row>
    <row r="621" spans="10:16" x14ac:dyDescent="0.2">
      <c r="J621" s="16"/>
      <c r="K621" s="16"/>
      <c r="L621" s="16"/>
      <c r="M621" s="16"/>
      <c r="N621" s="16"/>
      <c r="O621" s="16"/>
      <c r="P621" s="16"/>
    </row>
    <row r="622" spans="10:16" x14ac:dyDescent="0.2">
      <c r="J622" s="16"/>
      <c r="K622" s="16"/>
      <c r="L622" s="16"/>
      <c r="M622" s="16"/>
      <c r="N622" s="16"/>
      <c r="O622" s="16"/>
      <c r="P622" s="16"/>
    </row>
    <row r="623" spans="10:16" x14ac:dyDescent="0.2">
      <c r="J623" s="16"/>
      <c r="K623" s="16"/>
      <c r="L623" s="16"/>
      <c r="M623" s="16"/>
      <c r="N623" s="16"/>
      <c r="O623" s="16"/>
      <c r="P623" s="16"/>
    </row>
    <row r="624" spans="10:16" x14ac:dyDescent="0.2">
      <c r="J624" s="16"/>
      <c r="K624" s="16"/>
      <c r="L624" s="16"/>
      <c r="M624" s="16"/>
      <c r="N624" s="16"/>
      <c r="O624" s="16"/>
      <c r="P624" s="16"/>
    </row>
    <row r="625" spans="10:16" x14ac:dyDescent="0.2">
      <c r="J625" s="16"/>
      <c r="K625" s="16"/>
      <c r="L625" s="16"/>
      <c r="M625" s="16"/>
      <c r="N625" s="16"/>
      <c r="O625" s="16"/>
      <c r="P625" s="16"/>
    </row>
    <row r="626" spans="10:16" x14ac:dyDescent="0.2">
      <c r="J626" s="16"/>
      <c r="K626" s="16"/>
      <c r="L626" s="16"/>
      <c r="M626" s="16"/>
      <c r="N626" s="16"/>
      <c r="O626" s="16"/>
      <c r="P626" s="16"/>
    </row>
    <row r="627" spans="10:16" x14ac:dyDescent="0.2">
      <c r="J627" s="16"/>
      <c r="K627" s="16"/>
      <c r="L627" s="16"/>
      <c r="M627" s="16"/>
      <c r="N627" s="16"/>
      <c r="O627" s="16"/>
      <c r="P627" s="16"/>
    </row>
    <row r="628" spans="10:16" x14ac:dyDescent="0.2">
      <c r="J628" s="16"/>
      <c r="K628" s="16"/>
      <c r="L628" s="16"/>
      <c r="M628" s="16"/>
      <c r="N628" s="16"/>
      <c r="O628" s="16"/>
      <c r="P628" s="16"/>
    </row>
    <row r="629" spans="10:16" x14ac:dyDescent="0.2">
      <c r="J629" s="16"/>
      <c r="K629" s="16"/>
      <c r="L629" s="16"/>
      <c r="M629" s="16"/>
      <c r="N629" s="16"/>
      <c r="O629" s="16"/>
      <c r="P629" s="16"/>
    </row>
    <row r="630" spans="10:16" x14ac:dyDescent="0.2">
      <c r="J630" s="16"/>
      <c r="K630" s="16"/>
      <c r="L630" s="16"/>
      <c r="M630" s="16"/>
      <c r="N630" s="16"/>
      <c r="O630" s="16"/>
      <c r="P630" s="16"/>
    </row>
    <row r="631" spans="10:16" x14ac:dyDescent="0.2">
      <c r="J631" s="16"/>
      <c r="K631" s="16"/>
      <c r="L631" s="16"/>
      <c r="M631" s="16"/>
      <c r="N631" s="16"/>
      <c r="O631" s="16"/>
      <c r="P631" s="16"/>
    </row>
    <row r="632" spans="10:16" x14ac:dyDescent="0.2">
      <c r="J632" s="16"/>
      <c r="K632" s="16"/>
      <c r="L632" s="16"/>
      <c r="M632" s="16"/>
      <c r="N632" s="16"/>
      <c r="O632" s="16"/>
      <c r="P632" s="16"/>
    </row>
    <row r="633" spans="10:16" x14ac:dyDescent="0.2">
      <c r="J633" s="16"/>
      <c r="K633" s="16"/>
      <c r="L633" s="16"/>
      <c r="M633" s="16"/>
      <c r="N633" s="16"/>
      <c r="O633" s="16"/>
      <c r="P633" s="16"/>
    </row>
    <row r="634" spans="10:16" x14ac:dyDescent="0.2">
      <c r="J634" s="16"/>
      <c r="K634" s="16"/>
      <c r="L634" s="16"/>
      <c r="M634" s="16"/>
      <c r="N634" s="16"/>
      <c r="O634" s="16"/>
      <c r="P634" s="16"/>
    </row>
    <row r="635" spans="10:16" x14ac:dyDescent="0.2">
      <c r="J635" s="16"/>
      <c r="K635" s="16"/>
      <c r="L635" s="16"/>
      <c r="M635" s="16"/>
      <c r="N635" s="16"/>
      <c r="O635" s="16"/>
      <c r="P635" s="16"/>
    </row>
    <row r="636" spans="10:16" x14ac:dyDescent="0.2">
      <c r="J636" s="16"/>
      <c r="K636" s="16"/>
      <c r="L636" s="16"/>
      <c r="M636" s="16"/>
      <c r="N636" s="16"/>
      <c r="O636" s="16"/>
      <c r="P636" s="16"/>
    </row>
    <row r="637" spans="10:16" x14ac:dyDescent="0.2">
      <c r="J637" s="16"/>
      <c r="K637" s="16"/>
      <c r="L637" s="16"/>
      <c r="M637" s="16"/>
      <c r="N637" s="16"/>
      <c r="O637" s="16"/>
      <c r="P637" s="16"/>
    </row>
    <row r="638" spans="10:16" x14ac:dyDescent="0.2">
      <c r="J638" s="16"/>
      <c r="K638" s="16"/>
      <c r="L638" s="16"/>
      <c r="M638" s="16"/>
      <c r="N638" s="16"/>
      <c r="O638" s="16"/>
      <c r="P638" s="16"/>
    </row>
    <row r="639" spans="10:16" x14ac:dyDescent="0.2">
      <c r="J639" s="16"/>
      <c r="K639" s="16"/>
      <c r="L639" s="16"/>
      <c r="M639" s="16"/>
      <c r="N639" s="16"/>
      <c r="O639" s="16"/>
      <c r="P639" s="16"/>
    </row>
    <row r="640" spans="10:16" x14ac:dyDescent="0.2">
      <c r="J640" s="16"/>
      <c r="K640" s="16"/>
      <c r="L640" s="16"/>
      <c r="M640" s="16"/>
      <c r="N640" s="16"/>
      <c r="O640" s="16"/>
      <c r="P640" s="16"/>
    </row>
    <row r="641" spans="10:16" x14ac:dyDescent="0.2">
      <c r="J641" s="16"/>
      <c r="K641" s="16"/>
      <c r="L641" s="16"/>
      <c r="M641" s="16"/>
      <c r="N641" s="16"/>
      <c r="O641" s="16"/>
      <c r="P641" s="16"/>
    </row>
    <row r="642" spans="10:16" x14ac:dyDescent="0.2">
      <c r="J642" s="16"/>
      <c r="K642" s="16"/>
      <c r="L642" s="16"/>
      <c r="M642" s="16"/>
      <c r="N642" s="16"/>
      <c r="O642" s="16"/>
      <c r="P642" s="16"/>
    </row>
    <row r="643" spans="10:16" x14ac:dyDescent="0.2">
      <c r="J643" s="16"/>
      <c r="K643" s="16"/>
      <c r="L643" s="16"/>
      <c r="M643" s="16"/>
      <c r="N643" s="16"/>
      <c r="O643" s="16"/>
      <c r="P643" s="16"/>
    </row>
    <row r="644" spans="10:16" x14ac:dyDescent="0.2">
      <c r="J644" s="16"/>
      <c r="K644" s="16"/>
      <c r="L644" s="16"/>
      <c r="M644" s="16"/>
      <c r="N644" s="16"/>
      <c r="O644" s="16"/>
      <c r="P644" s="16"/>
    </row>
    <row r="645" spans="10:16" x14ac:dyDescent="0.2">
      <c r="J645" s="16"/>
      <c r="K645" s="16"/>
      <c r="L645" s="16"/>
      <c r="M645" s="16"/>
      <c r="N645" s="16"/>
      <c r="O645" s="16"/>
      <c r="P645" s="16"/>
    </row>
    <row r="646" spans="10:16" x14ac:dyDescent="0.2">
      <c r="J646" s="16"/>
      <c r="K646" s="16"/>
      <c r="L646" s="16"/>
      <c r="M646" s="16"/>
      <c r="N646" s="16"/>
      <c r="O646" s="16"/>
      <c r="P646" s="16"/>
    </row>
    <row r="647" spans="10:16" x14ac:dyDescent="0.2">
      <c r="J647" s="16"/>
      <c r="K647" s="16"/>
      <c r="L647" s="16"/>
      <c r="M647" s="16"/>
      <c r="N647" s="16"/>
      <c r="O647" s="16"/>
      <c r="P647" s="16"/>
    </row>
    <row r="648" spans="10:16" x14ac:dyDescent="0.2">
      <c r="J648" s="16"/>
      <c r="K648" s="16"/>
      <c r="L648" s="16"/>
      <c r="M648" s="16"/>
      <c r="N648" s="16"/>
      <c r="O648" s="16"/>
      <c r="P648" s="16"/>
    </row>
    <row r="649" spans="10:16" x14ac:dyDescent="0.2">
      <c r="J649" s="16"/>
      <c r="K649" s="16"/>
      <c r="L649" s="16"/>
      <c r="M649" s="16"/>
      <c r="N649" s="16"/>
      <c r="O649" s="16"/>
      <c r="P649" s="16"/>
    </row>
    <row r="650" spans="10:16" x14ac:dyDescent="0.2">
      <c r="J650" s="16"/>
      <c r="K650" s="16"/>
      <c r="L650" s="16"/>
      <c r="M650" s="16"/>
      <c r="N650" s="16"/>
      <c r="O650" s="16"/>
      <c r="P650" s="16"/>
    </row>
    <row r="651" spans="10:16" x14ac:dyDescent="0.2">
      <c r="J651" s="16"/>
      <c r="K651" s="16"/>
      <c r="L651" s="16"/>
      <c r="M651" s="16"/>
      <c r="N651" s="16"/>
      <c r="O651" s="16"/>
      <c r="P651" s="16"/>
    </row>
    <row r="652" spans="10:16" x14ac:dyDescent="0.2">
      <c r="J652" s="16"/>
      <c r="K652" s="16"/>
      <c r="L652" s="16"/>
      <c r="M652" s="16"/>
      <c r="N652" s="16"/>
      <c r="O652" s="16"/>
      <c r="P652" s="16"/>
    </row>
    <row r="653" spans="10:16" x14ac:dyDescent="0.2">
      <c r="J653" s="16"/>
      <c r="K653" s="16"/>
      <c r="L653" s="16"/>
      <c r="M653" s="16"/>
      <c r="N653" s="16"/>
      <c r="O653" s="16"/>
      <c r="P653" s="16"/>
    </row>
    <row r="654" spans="10:16" x14ac:dyDescent="0.2">
      <c r="J654" s="16"/>
      <c r="K654" s="16"/>
      <c r="L654" s="16"/>
      <c r="M654" s="16"/>
      <c r="N654" s="16"/>
      <c r="O654" s="16"/>
      <c r="P654" s="16"/>
    </row>
    <row r="655" spans="10:16" x14ac:dyDescent="0.2">
      <c r="J655" s="16"/>
      <c r="K655" s="16"/>
      <c r="L655" s="16"/>
      <c r="M655" s="16"/>
      <c r="N655" s="16"/>
      <c r="O655" s="16"/>
      <c r="P655" s="16"/>
    </row>
    <row r="656" spans="10:16" x14ac:dyDescent="0.2">
      <c r="J656" s="16"/>
      <c r="K656" s="16"/>
      <c r="L656" s="16"/>
      <c r="M656" s="16"/>
      <c r="N656" s="16"/>
      <c r="O656" s="16"/>
      <c r="P656" s="16"/>
    </row>
    <row r="657" spans="10:16" x14ac:dyDescent="0.2">
      <c r="J657" s="16"/>
      <c r="K657" s="16"/>
      <c r="L657" s="16"/>
      <c r="M657" s="16"/>
      <c r="N657" s="16"/>
      <c r="O657" s="16"/>
      <c r="P657" s="16"/>
    </row>
    <row r="658" spans="10:16" x14ac:dyDescent="0.2">
      <c r="J658" s="16"/>
      <c r="K658" s="16"/>
      <c r="L658" s="16"/>
      <c r="M658" s="16"/>
      <c r="N658" s="16"/>
      <c r="O658" s="16"/>
      <c r="P658" s="16"/>
    </row>
    <row r="659" spans="10:16" x14ac:dyDescent="0.2">
      <c r="J659" s="16"/>
      <c r="K659" s="16"/>
      <c r="L659" s="16"/>
      <c r="M659" s="16"/>
      <c r="N659" s="16"/>
      <c r="O659" s="16"/>
      <c r="P659" s="16"/>
    </row>
    <row r="660" spans="10:16" x14ac:dyDescent="0.2">
      <c r="J660" s="16"/>
      <c r="K660" s="16"/>
      <c r="L660" s="16"/>
      <c r="M660" s="16"/>
      <c r="N660" s="16"/>
      <c r="O660" s="16"/>
      <c r="P660" s="16"/>
    </row>
    <row r="661" spans="10:16" x14ac:dyDescent="0.2">
      <c r="J661" s="16"/>
      <c r="K661" s="16"/>
      <c r="L661" s="16"/>
      <c r="M661" s="16"/>
      <c r="N661" s="16"/>
      <c r="O661" s="16"/>
      <c r="P661" s="16"/>
    </row>
    <row r="662" spans="10:16" x14ac:dyDescent="0.2">
      <c r="J662" s="16"/>
      <c r="K662" s="16"/>
      <c r="L662" s="16"/>
      <c r="M662" s="16"/>
      <c r="N662" s="16"/>
      <c r="O662" s="16"/>
      <c r="P662" s="16"/>
    </row>
    <row r="663" spans="10:16" x14ac:dyDescent="0.2">
      <c r="J663" s="16"/>
      <c r="K663" s="16"/>
      <c r="L663" s="16"/>
      <c r="M663" s="16"/>
      <c r="N663" s="16"/>
      <c r="O663" s="16"/>
      <c r="P663" s="16"/>
    </row>
    <row r="664" spans="10:16" x14ac:dyDescent="0.2">
      <c r="J664" s="16"/>
      <c r="K664" s="16"/>
      <c r="L664" s="16"/>
      <c r="M664" s="16"/>
      <c r="N664" s="16"/>
      <c r="O664" s="16"/>
      <c r="P664" s="16"/>
    </row>
    <row r="665" spans="10:16" x14ac:dyDescent="0.2">
      <c r="J665" s="16"/>
      <c r="K665" s="16"/>
      <c r="L665" s="16"/>
      <c r="M665" s="16"/>
      <c r="N665" s="16"/>
      <c r="O665" s="16"/>
      <c r="P665" s="16"/>
    </row>
    <row r="666" spans="10:16" x14ac:dyDescent="0.2">
      <c r="J666" s="16"/>
      <c r="K666" s="16"/>
      <c r="L666" s="16"/>
      <c r="M666" s="16"/>
      <c r="N666" s="16"/>
      <c r="O666" s="16"/>
      <c r="P666" s="16"/>
    </row>
    <row r="667" spans="10:16" x14ac:dyDescent="0.2">
      <c r="J667" s="16"/>
      <c r="K667" s="16"/>
      <c r="L667" s="16"/>
      <c r="M667" s="16"/>
      <c r="N667" s="16"/>
      <c r="O667" s="16"/>
      <c r="P667" s="16"/>
    </row>
    <row r="668" spans="10:16" x14ac:dyDescent="0.2">
      <c r="J668" s="16"/>
      <c r="K668" s="16"/>
      <c r="L668" s="16"/>
      <c r="M668" s="16"/>
      <c r="N668" s="16"/>
      <c r="O668" s="16"/>
      <c r="P668" s="16"/>
    </row>
    <row r="669" spans="10:16" x14ac:dyDescent="0.2">
      <c r="J669" s="16"/>
      <c r="K669" s="16"/>
      <c r="L669" s="16"/>
      <c r="M669" s="16"/>
      <c r="N669" s="16"/>
      <c r="O669" s="16"/>
      <c r="P669" s="16"/>
    </row>
    <row r="670" spans="10:16" x14ac:dyDescent="0.2">
      <c r="J670" s="16"/>
      <c r="K670" s="16"/>
      <c r="L670" s="16"/>
      <c r="M670" s="16"/>
      <c r="N670" s="16"/>
      <c r="O670" s="16"/>
      <c r="P670" s="16"/>
    </row>
    <row r="671" spans="10:16" x14ac:dyDescent="0.2">
      <c r="J671" s="16"/>
      <c r="K671" s="16"/>
      <c r="L671" s="16"/>
      <c r="M671" s="16"/>
      <c r="N671" s="16"/>
      <c r="O671" s="16"/>
      <c r="P671" s="16"/>
    </row>
    <row r="672" spans="10:16" x14ac:dyDescent="0.2">
      <c r="J672" s="16"/>
      <c r="K672" s="16"/>
      <c r="L672" s="16"/>
      <c r="M672" s="16"/>
      <c r="N672" s="16"/>
      <c r="O672" s="16"/>
      <c r="P672" s="16"/>
    </row>
    <row r="673" spans="10:16" x14ac:dyDescent="0.2">
      <c r="J673" s="16"/>
      <c r="K673" s="16"/>
      <c r="L673" s="16"/>
      <c r="M673" s="16"/>
      <c r="N673" s="16"/>
      <c r="O673" s="16"/>
      <c r="P673" s="16"/>
    </row>
    <row r="674" spans="10:16" x14ac:dyDescent="0.2">
      <c r="J674" s="16"/>
      <c r="K674" s="16"/>
      <c r="L674" s="16"/>
      <c r="M674" s="16"/>
      <c r="N674" s="16"/>
      <c r="O674" s="16"/>
      <c r="P674" s="16"/>
    </row>
    <row r="675" spans="10:16" x14ac:dyDescent="0.2">
      <c r="J675" s="16"/>
      <c r="K675" s="16"/>
      <c r="L675" s="16"/>
      <c r="M675" s="16"/>
      <c r="N675" s="16"/>
      <c r="O675" s="16"/>
      <c r="P675" s="16"/>
    </row>
    <row r="676" spans="10:16" x14ac:dyDescent="0.2">
      <c r="J676" s="16"/>
      <c r="K676" s="16"/>
      <c r="L676" s="16"/>
      <c r="M676" s="16"/>
      <c r="N676" s="16"/>
      <c r="O676" s="16"/>
      <c r="P676" s="16"/>
    </row>
    <row r="677" spans="10:16" x14ac:dyDescent="0.2">
      <c r="J677" s="16"/>
      <c r="K677" s="16"/>
      <c r="L677" s="16"/>
      <c r="M677" s="16"/>
      <c r="N677" s="16"/>
      <c r="O677" s="16"/>
      <c r="P677" s="16"/>
    </row>
    <row r="678" spans="10:16" x14ac:dyDescent="0.2">
      <c r="J678" s="16"/>
      <c r="K678" s="16"/>
      <c r="L678" s="16"/>
      <c r="M678" s="16"/>
      <c r="N678" s="16"/>
      <c r="O678" s="16"/>
      <c r="P678" s="16"/>
    </row>
    <row r="679" spans="10:16" x14ac:dyDescent="0.2">
      <c r="J679" s="16"/>
      <c r="K679" s="16"/>
      <c r="L679" s="16"/>
      <c r="M679" s="16"/>
      <c r="N679" s="16"/>
      <c r="O679" s="16"/>
      <c r="P679" s="16"/>
    </row>
    <row r="680" spans="10:16" x14ac:dyDescent="0.2">
      <c r="J680" s="16"/>
      <c r="K680" s="16"/>
      <c r="L680" s="16"/>
      <c r="M680" s="16"/>
      <c r="N680" s="16"/>
      <c r="O680" s="16"/>
      <c r="P680" s="16"/>
    </row>
    <row r="681" spans="10:16" x14ac:dyDescent="0.2">
      <c r="J681" s="16"/>
      <c r="K681" s="16"/>
      <c r="L681" s="16"/>
      <c r="M681" s="16"/>
      <c r="N681" s="16"/>
      <c r="O681" s="16"/>
      <c r="P681" s="16"/>
    </row>
    <row r="682" spans="10:16" x14ac:dyDescent="0.2">
      <c r="J682" s="16"/>
      <c r="K682" s="16"/>
      <c r="L682" s="16"/>
      <c r="M682" s="16"/>
      <c r="N682" s="16"/>
      <c r="O682" s="16"/>
      <c r="P682" s="16"/>
    </row>
    <row r="683" spans="10:16" x14ac:dyDescent="0.2">
      <c r="J683" s="16"/>
      <c r="K683" s="16"/>
      <c r="L683" s="16"/>
      <c r="M683" s="16"/>
      <c r="N683" s="16"/>
      <c r="O683" s="16"/>
      <c r="P683" s="16"/>
    </row>
    <row r="684" spans="10:16" x14ac:dyDescent="0.2">
      <c r="J684" s="16"/>
      <c r="K684" s="16"/>
      <c r="L684" s="16"/>
      <c r="M684" s="16"/>
      <c r="N684" s="16"/>
      <c r="O684" s="16"/>
      <c r="P684" s="16"/>
    </row>
    <row r="685" spans="10:16" x14ac:dyDescent="0.2">
      <c r="J685" s="16"/>
      <c r="K685" s="16"/>
      <c r="L685" s="16"/>
      <c r="M685" s="16"/>
      <c r="N685" s="16"/>
      <c r="O685" s="16"/>
      <c r="P685" s="16"/>
    </row>
    <row r="686" spans="10:16" x14ac:dyDescent="0.2">
      <c r="J686" s="16"/>
      <c r="K686" s="16"/>
      <c r="L686" s="16"/>
      <c r="M686" s="16"/>
      <c r="N686" s="16"/>
      <c r="O686" s="16"/>
      <c r="P686" s="16"/>
    </row>
    <row r="687" spans="10:16" x14ac:dyDescent="0.2">
      <c r="J687" s="16"/>
      <c r="K687" s="16"/>
      <c r="L687" s="16"/>
      <c r="M687" s="16"/>
      <c r="N687" s="16"/>
      <c r="O687" s="16"/>
      <c r="P687" s="16"/>
    </row>
    <row r="688" spans="10:16" x14ac:dyDescent="0.2">
      <c r="J688" s="16"/>
      <c r="K688" s="16"/>
      <c r="L688" s="16"/>
      <c r="M688" s="16"/>
      <c r="N688" s="16"/>
      <c r="O688" s="16"/>
      <c r="P688" s="16"/>
    </row>
    <row r="689" spans="10:16" x14ac:dyDescent="0.2">
      <c r="J689" s="16"/>
      <c r="K689" s="16"/>
      <c r="L689" s="16"/>
      <c r="M689" s="16"/>
      <c r="N689" s="16"/>
      <c r="O689" s="16"/>
      <c r="P689" s="16"/>
    </row>
    <row r="690" spans="10:16" x14ac:dyDescent="0.2">
      <c r="J690" s="16"/>
      <c r="K690" s="16"/>
      <c r="L690" s="16"/>
      <c r="M690" s="16"/>
      <c r="N690" s="16"/>
      <c r="O690" s="16"/>
      <c r="P690" s="16"/>
    </row>
    <row r="691" spans="10:16" x14ac:dyDescent="0.2">
      <c r="J691" s="16"/>
      <c r="K691" s="16"/>
      <c r="L691" s="16"/>
      <c r="M691" s="16"/>
      <c r="N691" s="16"/>
      <c r="O691" s="16"/>
      <c r="P691" s="16"/>
    </row>
    <row r="692" spans="10:16" x14ac:dyDescent="0.2">
      <c r="J692" s="16"/>
      <c r="K692" s="16"/>
      <c r="L692" s="16"/>
      <c r="M692" s="16"/>
      <c r="N692" s="16"/>
      <c r="O692" s="16"/>
      <c r="P692" s="16"/>
    </row>
    <row r="693" spans="10:16" x14ac:dyDescent="0.2">
      <c r="J693" s="16"/>
      <c r="K693" s="16"/>
      <c r="L693" s="16"/>
      <c r="M693" s="16"/>
      <c r="N693" s="16"/>
      <c r="O693" s="16"/>
      <c r="P693" s="16"/>
    </row>
    <row r="694" spans="10:16" x14ac:dyDescent="0.2">
      <c r="J694" s="16"/>
      <c r="K694" s="16"/>
      <c r="L694" s="16"/>
      <c r="M694" s="16"/>
      <c r="N694" s="16"/>
      <c r="O694" s="16"/>
      <c r="P694" s="16"/>
    </row>
    <row r="695" spans="10:16" x14ac:dyDescent="0.2">
      <c r="J695" s="16"/>
      <c r="K695" s="16"/>
      <c r="L695" s="16"/>
      <c r="M695" s="16"/>
      <c r="N695" s="16"/>
      <c r="O695" s="16"/>
      <c r="P695" s="16"/>
    </row>
    <row r="696" spans="10:16" x14ac:dyDescent="0.2">
      <c r="J696" s="16"/>
      <c r="K696" s="16"/>
      <c r="L696" s="16"/>
      <c r="M696" s="16"/>
      <c r="N696" s="16"/>
      <c r="O696" s="16"/>
      <c r="P696" s="16"/>
    </row>
    <row r="697" spans="10:16" x14ac:dyDescent="0.2">
      <c r="J697" s="16"/>
      <c r="K697" s="16"/>
      <c r="L697" s="16"/>
      <c r="M697" s="16"/>
      <c r="N697" s="16"/>
      <c r="O697" s="16"/>
      <c r="P697" s="16"/>
    </row>
    <row r="698" spans="10:16" x14ac:dyDescent="0.2">
      <c r="J698" s="16"/>
      <c r="K698" s="16"/>
      <c r="L698" s="16"/>
      <c r="M698" s="16"/>
      <c r="N698" s="16"/>
      <c r="O698" s="16"/>
      <c r="P698" s="16"/>
    </row>
    <row r="699" spans="10:16" x14ac:dyDescent="0.2">
      <c r="J699" s="16"/>
      <c r="K699" s="16"/>
      <c r="L699" s="16"/>
      <c r="M699" s="16"/>
      <c r="N699" s="16"/>
      <c r="O699" s="16"/>
      <c r="P699" s="16"/>
    </row>
    <row r="700" spans="10:16" x14ac:dyDescent="0.2">
      <c r="J700" s="16"/>
      <c r="K700" s="16"/>
      <c r="L700" s="16"/>
      <c r="M700" s="16"/>
      <c r="N700" s="16"/>
      <c r="O700" s="16"/>
      <c r="P700" s="16"/>
    </row>
    <row r="701" spans="10:16" x14ac:dyDescent="0.2">
      <c r="J701" s="16"/>
      <c r="K701" s="16"/>
      <c r="L701" s="16"/>
      <c r="M701" s="16"/>
      <c r="N701" s="16"/>
      <c r="O701" s="16"/>
      <c r="P701" s="16"/>
    </row>
    <row r="702" spans="10:16" x14ac:dyDescent="0.2">
      <c r="J702" s="16"/>
      <c r="K702" s="16"/>
      <c r="L702" s="16"/>
      <c r="M702" s="16"/>
      <c r="N702" s="16"/>
      <c r="O702" s="16"/>
      <c r="P702" s="16"/>
    </row>
    <row r="703" spans="10:16" x14ac:dyDescent="0.2">
      <c r="J703" s="16"/>
      <c r="K703" s="16"/>
      <c r="L703" s="16"/>
      <c r="M703" s="16"/>
      <c r="N703" s="16"/>
      <c r="O703" s="16"/>
      <c r="P703" s="16"/>
    </row>
    <row r="704" spans="10:16" x14ac:dyDescent="0.2">
      <c r="J704" s="16"/>
      <c r="K704" s="16"/>
      <c r="L704" s="16"/>
      <c r="M704" s="16"/>
      <c r="N704" s="16"/>
      <c r="O704" s="16"/>
      <c r="P704" s="16"/>
    </row>
    <row r="705" spans="10:16" x14ac:dyDescent="0.2">
      <c r="J705" s="16"/>
      <c r="K705" s="16"/>
      <c r="L705" s="16"/>
      <c r="M705" s="16"/>
      <c r="N705" s="16"/>
      <c r="O705" s="16"/>
      <c r="P705" s="16"/>
    </row>
    <row r="706" spans="10:16" x14ac:dyDescent="0.2">
      <c r="J706" s="16"/>
      <c r="K706" s="16"/>
      <c r="L706" s="16"/>
      <c r="M706" s="16"/>
      <c r="N706" s="16"/>
      <c r="O706" s="16"/>
      <c r="P706" s="16"/>
    </row>
    <row r="707" spans="10:16" x14ac:dyDescent="0.2">
      <c r="J707" s="16"/>
      <c r="K707" s="16"/>
      <c r="L707" s="16"/>
      <c r="M707" s="16"/>
      <c r="N707" s="16"/>
      <c r="O707" s="16"/>
      <c r="P707" s="16"/>
    </row>
    <row r="708" spans="10:16" x14ac:dyDescent="0.2">
      <c r="J708" s="16"/>
      <c r="K708" s="16"/>
      <c r="L708" s="16"/>
      <c r="M708" s="16"/>
      <c r="N708" s="16"/>
      <c r="O708" s="16"/>
      <c r="P708" s="16"/>
    </row>
    <row r="709" spans="10:16" x14ac:dyDescent="0.2">
      <c r="J709" s="16"/>
      <c r="K709" s="16"/>
      <c r="L709" s="16"/>
      <c r="M709" s="16"/>
      <c r="N709" s="16"/>
      <c r="O709" s="16"/>
      <c r="P709" s="16"/>
    </row>
    <row r="710" spans="10:16" x14ac:dyDescent="0.2">
      <c r="J710" s="16"/>
      <c r="K710" s="16"/>
      <c r="L710" s="16"/>
      <c r="M710" s="16"/>
      <c r="N710" s="16"/>
      <c r="O710" s="16"/>
      <c r="P710" s="16"/>
    </row>
    <row r="711" spans="10:16" x14ac:dyDescent="0.2">
      <c r="J711" s="16"/>
      <c r="K711" s="16"/>
      <c r="L711" s="16"/>
      <c r="M711" s="16"/>
      <c r="N711" s="16"/>
      <c r="O711" s="16"/>
      <c r="P711" s="16"/>
    </row>
    <row r="712" spans="10:16" x14ac:dyDescent="0.2">
      <c r="J712" s="16"/>
      <c r="K712" s="16"/>
      <c r="L712" s="16"/>
      <c r="M712" s="16"/>
      <c r="N712" s="16"/>
      <c r="O712" s="16"/>
      <c r="P712" s="16"/>
    </row>
    <row r="713" spans="10:16" x14ac:dyDescent="0.2">
      <c r="J713" s="16"/>
      <c r="K713" s="16"/>
      <c r="L713" s="16"/>
      <c r="M713" s="16"/>
      <c r="N713" s="16"/>
      <c r="O713" s="16"/>
      <c r="P713" s="16"/>
    </row>
    <row r="714" spans="10:16" x14ac:dyDescent="0.2">
      <c r="J714" s="16"/>
      <c r="K714" s="16"/>
      <c r="L714" s="16"/>
      <c r="M714" s="16"/>
      <c r="N714" s="16"/>
      <c r="O714" s="16"/>
      <c r="P714" s="16"/>
    </row>
    <row r="715" spans="10:16" x14ac:dyDescent="0.2">
      <c r="J715" s="16"/>
      <c r="K715" s="16"/>
      <c r="L715" s="16"/>
      <c r="M715" s="16"/>
      <c r="N715" s="16"/>
      <c r="O715" s="16"/>
      <c r="P715" s="16"/>
    </row>
    <row r="716" spans="10:16" x14ac:dyDescent="0.2">
      <c r="J716" s="16"/>
      <c r="K716" s="16"/>
      <c r="L716" s="16"/>
      <c r="M716" s="16"/>
      <c r="N716" s="16"/>
      <c r="O716" s="16"/>
      <c r="P716" s="16"/>
    </row>
    <row r="717" spans="10:16" x14ac:dyDescent="0.2">
      <c r="J717" s="16"/>
      <c r="K717" s="16"/>
      <c r="L717" s="16"/>
      <c r="M717" s="16"/>
      <c r="N717" s="16"/>
      <c r="O717" s="16"/>
      <c r="P717" s="16"/>
    </row>
    <row r="718" spans="10:16" x14ac:dyDescent="0.2">
      <c r="J718" s="16"/>
      <c r="K718" s="16"/>
      <c r="L718" s="16"/>
      <c r="M718" s="16"/>
      <c r="N718" s="16"/>
      <c r="O718" s="16"/>
      <c r="P718" s="16"/>
    </row>
    <row r="719" spans="10:16" x14ac:dyDescent="0.2">
      <c r="J719" s="16"/>
      <c r="K719" s="16"/>
      <c r="L719" s="16"/>
      <c r="M719" s="16"/>
      <c r="N719" s="16"/>
      <c r="O719" s="16"/>
      <c r="P719" s="16"/>
    </row>
    <row r="720" spans="10:16" x14ac:dyDescent="0.2">
      <c r="J720" s="16"/>
      <c r="K720" s="16"/>
      <c r="L720" s="16"/>
      <c r="M720" s="16"/>
      <c r="N720" s="16"/>
      <c r="O720" s="16"/>
      <c r="P720" s="16"/>
    </row>
    <row r="721" spans="10:16" x14ac:dyDescent="0.2">
      <c r="J721" s="16"/>
      <c r="K721" s="16"/>
      <c r="L721" s="16"/>
      <c r="M721" s="16"/>
      <c r="N721" s="16"/>
      <c r="O721" s="16"/>
      <c r="P721" s="16"/>
    </row>
    <row r="722" spans="10:16" x14ac:dyDescent="0.2">
      <c r="J722" s="16"/>
      <c r="K722" s="16"/>
      <c r="L722" s="16"/>
      <c r="M722" s="16"/>
      <c r="N722" s="16"/>
      <c r="O722" s="16"/>
      <c r="P722" s="16"/>
    </row>
    <row r="723" spans="10:16" x14ac:dyDescent="0.2">
      <c r="J723" s="16"/>
      <c r="K723" s="16"/>
      <c r="L723" s="16"/>
      <c r="M723" s="16"/>
      <c r="N723" s="16"/>
      <c r="O723" s="16"/>
      <c r="P723" s="16"/>
    </row>
    <row r="724" spans="10:16" x14ac:dyDescent="0.2">
      <c r="J724" s="16"/>
      <c r="K724" s="16"/>
      <c r="L724" s="16"/>
      <c r="M724" s="16"/>
      <c r="N724" s="16"/>
      <c r="O724" s="16"/>
      <c r="P724" s="16"/>
    </row>
    <row r="725" spans="10:16" x14ac:dyDescent="0.2">
      <c r="J725" s="16"/>
      <c r="K725" s="16"/>
      <c r="L725" s="16"/>
      <c r="M725" s="16"/>
      <c r="N725" s="16"/>
      <c r="O725" s="16"/>
      <c r="P725" s="16"/>
    </row>
    <row r="726" spans="10:16" x14ac:dyDescent="0.2">
      <c r="J726" s="16"/>
      <c r="K726" s="16"/>
      <c r="L726" s="16"/>
      <c r="M726" s="16"/>
      <c r="N726" s="16"/>
      <c r="O726" s="16"/>
      <c r="P726" s="16"/>
    </row>
    <row r="727" spans="10:16" x14ac:dyDescent="0.2">
      <c r="J727" s="16"/>
      <c r="K727" s="16"/>
      <c r="L727" s="16"/>
      <c r="M727" s="16"/>
      <c r="N727" s="16"/>
      <c r="O727" s="16"/>
      <c r="P727" s="16"/>
    </row>
    <row r="728" spans="10:16" x14ac:dyDescent="0.2">
      <c r="J728" s="16"/>
      <c r="K728" s="16"/>
      <c r="L728" s="16"/>
      <c r="M728" s="16"/>
      <c r="N728" s="16"/>
      <c r="O728" s="16"/>
      <c r="P728" s="16"/>
    </row>
    <row r="729" spans="10:16" x14ac:dyDescent="0.2">
      <c r="J729" s="16"/>
      <c r="K729" s="16"/>
      <c r="L729" s="16"/>
      <c r="M729" s="16"/>
      <c r="N729" s="16"/>
      <c r="O729" s="16"/>
      <c r="P729" s="16"/>
    </row>
    <row r="730" spans="10:16" x14ac:dyDescent="0.2">
      <c r="J730" s="16"/>
      <c r="K730" s="16"/>
      <c r="L730" s="16"/>
      <c r="M730" s="16"/>
      <c r="N730" s="16"/>
      <c r="O730" s="16"/>
      <c r="P730" s="16"/>
    </row>
    <row r="731" spans="10:16" x14ac:dyDescent="0.2">
      <c r="J731" s="16"/>
      <c r="K731" s="16"/>
      <c r="L731" s="16"/>
      <c r="M731" s="16"/>
      <c r="N731" s="16"/>
      <c r="O731" s="16"/>
      <c r="P731" s="16"/>
    </row>
    <row r="732" spans="10:16" x14ac:dyDescent="0.2">
      <c r="J732" s="16"/>
      <c r="K732" s="16"/>
      <c r="L732" s="16"/>
      <c r="M732" s="16"/>
      <c r="N732" s="16"/>
      <c r="O732" s="16"/>
      <c r="P732" s="16"/>
    </row>
    <row r="733" spans="10:16" x14ac:dyDescent="0.2">
      <c r="J733" s="16"/>
      <c r="K733" s="16"/>
      <c r="L733" s="16"/>
      <c r="M733" s="16"/>
      <c r="N733" s="16"/>
      <c r="O733" s="16"/>
      <c r="P733" s="16"/>
    </row>
    <row r="734" spans="10:16" x14ac:dyDescent="0.2">
      <c r="J734" s="16"/>
      <c r="K734" s="16"/>
      <c r="L734" s="16"/>
      <c r="M734" s="16"/>
      <c r="N734" s="16"/>
      <c r="O734" s="16"/>
      <c r="P734" s="16"/>
    </row>
    <row r="735" spans="10:16" x14ac:dyDescent="0.2">
      <c r="J735" s="16"/>
      <c r="K735" s="16"/>
      <c r="L735" s="16"/>
      <c r="M735" s="16"/>
      <c r="N735" s="16"/>
      <c r="O735" s="16"/>
      <c r="P735" s="16"/>
    </row>
    <row r="736" spans="10:16" x14ac:dyDescent="0.2">
      <c r="J736" s="16"/>
      <c r="K736" s="16"/>
      <c r="L736" s="16"/>
      <c r="M736" s="16"/>
      <c r="N736" s="16"/>
      <c r="O736" s="16"/>
      <c r="P736" s="16"/>
    </row>
    <row r="737" spans="10:16" x14ac:dyDescent="0.2">
      <c r="J737" s="16"/>
      <c r="K737" s="16"/>
      <c r="L737" s="16"/>
      <c r="M737" s="16"/>
      <c r="N737" s="16"/>
      <c r="O737" s="16"/>
      <c r="P737" s="16"/>
    </row>
    <row r="738" spans="10:16" x14ac:dyDescent="0.2">
      <c r="J738" s="16"/>
      <c r="K738" s="16"/>
      <c r="L738" s="16"/>
      <c r="M738" s="16"/>
      <c r="N738" s="16"/>
      <c r="O738" s="16"/>
      <c r="P738" s="16"/>
    </row>
    <row r="739" spans="10:16" x14ac:dyDescent="0.2">
      <c r="J739" s="16"/>
      <c r="K739" s="16"/>
      <c r="L739" s="16"/>
      <c r="M739" s="16"/>
      <c r="N739" s="16"/>
      <c r="O739" s="16"/>
      <c r="P739" s="16"/>
    </row>
    <row r="740" spans="10:16" x14ac:dyDescent="0.2">
      <c r="J740" s="16"/>
      <c r="K740" s="16"/>
      <c r="L740" s="16"/>
      <c r="M740" s="16"/>
      <c r="N740" s="16"/>
      <c r="O740" s="16"/>
      <c r="P740" s="16"/>
    </row>
    <row r="741" spans="10:16" x14ac:dyDescent="0.2">
      <c r="J741" s="16"/>
      <c r="K741" s="16"/>
      <c r="L741" s="16"/>
      <c r="M741" s="16"/>
      <c r="N741" s="16"/>
      <c r="O741" s="16"/>
      <c r="P741" s="16"/>
    </row>
    <row r="742" spans="10:16" x14ac:dyDescent="0.2">
      <c r="J742" s="16"/>
      <c r="K742" s="16"/>
      <c r="L742" s="16"/>
      <c r="M742" s="16"/>
      <c r="N742" s="16"/>
      <c r="O742" s="16"/>
      <c r="P742" s="16"/>
    </row>
    <row r="743" spans="10:16" x14ac:dyDescent="0.2">
      <c r="J743" s="16"/>
      <c r="K743" s="16"/>
      <c r="L743" s="16"/>
      <c r="M743" s="16"/>
      <c r="N743" s="16"/>
      <c r="O743" s="16"/>
      <c r="P743" s="16"/>
    </row>
    <row r="744" spans="10:16" x14ac:dyDescent="0.2">
      <c r="J744" s="16"/>
      <c r="K744" s="16"/>
      <c r="L744" s="16"/>
      <c r="M744" s="16"/>
      <c r="N744" s="16"/>
      <c r="O744" s="16"/>
      <c r="P744" s="16"/>
    </row>
    <row r="745" spans="10:16" x14ac:dyDescent="0.2">
      <c r="J745" s="16"/>
      <c r="K745" s="16"/>
      <c r="L745" s="16"/>
      <c r="M745" s="16"/>
      <c r="N745" s="16"/>
      <c r="O745" s="16"/>
      <c r="P745" s="16"/>
    </row>
    <row r="746" spans="10:16" x14ac:dyDescent="0.2">
      <c r="J746" s="16"/>
      <c r="K746" s="16"/>
      <c r="L746" s="16"/>
      <c r="M746" s="16"/>
      <c r="N746" s="16"/>
      <c r="O746" s="16"/>
      <c r="P746" s="16"/>
    </row>
    <row r="747" spans="10:16" x14ac:dyDescent="0.2">
      <c r="J747" s="16"/>
      <c r="K747" s="16"/>
      <c r="L747" s="16"/>
      <c r="M747" s="16"/>
      <c r="N747" s="16"/>
      <c r="O747" s="16"/>
      <c r="P747" s="16"/>
    </row>
    <row r="748" spans="10:16" x14ac:dyDescent="0.2">
      <c r="J748" s="16"/>
      <c r="K748" s="16"/>
      <c r="L748" s="16"/>
      <c r="M748" s="16"/>
      <c r="N748" s="16"/>
      <c r="O748" s="16"/>
      <c r="P748" s="16"/>
    </row>
    <row r="749" spans="10:16" x14ac:dyDescent="0.2">
      <c r="J749" s="16"/>
      <c r="K749" s="16"/>
      <c r="L749" s="16"/>
      <c r="M749" s="16"/>
      <c r="N749" s="16"/>
      <c r="O749" s="16"/>
      <c r="P749" s="16"/>
    </row>
    <row r="750" spans="10:16" x14ac:dyDescent="0.2">
      <c r="J750" s="16"/>
      <c r="K750" s="16"/>
      <c r="L750" s="16"/>
      <c r="M750" s="16"/>
      <c r="N750" s="16"/>
      <c r="O750" s="16"/>
      <c r="P750" s="16"/>
    </row>
    <row r="751" spans="10:16" x14ac:dyDescent="0.2">
      <c r="J751" s="16"/>
      <c r="K751" s="16"/>
      <c r="L751" s="16"/>
      <c r="M751" s="16"/>
      <c r="N751" s="16"/>
      <c r="O751" s="16"/>
      <c r="P751" s="16"/>
    </row>
    <row r="752" spans="10:16" x14ac:dyDescent="0.2">
      <c r="J752" s="16"/>
      <c r="K752" s="16"/>
      <c r="L752" s="16"/>
      <c r="M752" s="16"/>
      <c r="N752" s="16"/>
      <c r="O752" s="16"/>
      <c r="P752" s="16"/>
    </row>
    <row r="753" spans="10:16" x14ac:dyDescent="0.2">
      <c r="J753" s="16"/>
      <c r="K753" s="16"/>
      <c r="L753" s="16"/>
      <c r="M753" s="16"/>
      <c r="N753" s="16"/>
      <c r="O753" s="16"/>
      <c r="P753" s="16"/>
    </row>
    <row r="754" spans="10:16" x14ac:dyDescent="0.2">
      <c r="J754" s="16"/>
      <c r="K754" s="16"/>
      <c r="L754" s="16"/>
      <c r="M754" s="16"/>
      <c r="N754" s="16"/>
      <c r="O754" s="16"/>
      <c r="P754" s="16"/>
    </row>
    <row r="755" spans="10:16" x14ac:dyDescent="0.2">
      <c r="J755" s="16"/>
      <c r="K755" s="16"/>
      <c r="L755" s="16"/>
      <c r="M755" s="16"/>
      <c r="N755" s="16"/>
      <c r="O755" s="16"/>
      <c r="P755" s="16"/>
    </row>
    <row r="756" spans="10:16" x14ac:dyDescent="0.2">
      <c r="J756" s="16"/>
      <c r="K756" s="16"/>
      <c r="L756" s="16"/>
      <c r="M756" s="16"/>
      <c r="N756" s="16"/>
      <c r="O756" s="16"/>
      <c r="P756" s="16"/>
    </row>
    <row r="757" spans="10:16" x14ac:dyDescent="0.2">
      <c r="J757" s="16"/>
      <c r="K757" s="16"/>
      <c r="L757" s="16"/>
      <c r="M757" s="16"/>
      <c r="N757" s="16"/>
      <c r="O757" s="16"/>
      <c r="P757" s="16"/>
    </row>
    <row r="758" spans="10:16" x14ac:dyDescent="0.2">
      <c r="J758" s="16"/>
      <c r="K758" s="16"/>
      <c r="L758" s="16"/>
      <c r="M758" s="16"/>
      <c r="N758" s="16"/>
      <c r="O758" s="16"/>
      <c r="P758" s="16"/>
    </row>
    <row r="759" spans="10:16" x14ac:dyDescent="0.2">
      <c r="J759" s="16"/>
      <c r="K759" s="16"/>
      <c r="L759" s="16"/>
      <c r="M759" s="16"/>
      <c r="N759" s="16"/>
      <c r="O759" s="16"/>
      <c r="P759" s="16"/>
    </row>
    <row r="760" spans="10:16" x14ac:dyDescent="0.2">
      <c r="J760" s="16"/>
      <c r="K760" s="16"/>
      <c r="L760" s="16"/>
      <c r="M760" s="16"/>
      <c r="N760" s="16"/>
      <c r="O760" s="16"/>
      <c r="P760" s="16"/>
    </row>
    <row r="761" spans="10:16" x14ac:dyDescent="0.2">
      <c r="J761" s="16"/>
      <c r="K761" s="16"/>
      <c r="L761" s="16"/>
      <c r="M761" s="16"/>
      <c r="N761" s="16"/>
      <c r="O761" s="16"/>
      <c r="P761" s="16"/>
    </row>
    <row r="762" spans="10:16" x14ac:dyDescent="0.2">
      <c r="J762" s="16"/>
      <c r="K762" s="16"/>
      <c r="L762" s="16"/>
      <c r="M762" s="16"/>
      <c r="N762" s="16"/>
      <c r="O762" s="16"/>
      <c r="P762" s="16"/>
    </row>
    <row r="763" spans="10:16" x14ac:dyDescent="0.2">
      <c r="J763" s="16"/>
      <c r="K763" s="16"/>
      <c r="L763" s="16"/>
      <c r="M763" s="16"/>
      <c r="N763" s="16"/>
      <c r="O763" s="16"/>
      <c r="P763" s="16"/>
    </row>
    <row r="764" spans="10:16" x14ac:dyDescent="0.2">
      <c r="J764" s="16"/>
      <c r="K764" s="16"/>
      <c r="L764" s="16"/>
      <c r="M764" s="16"/>
      <c r="N764" s="16"/>
      <c r="O764" s="16"/>
      <c r="P764" s="16"/>
    </row>
    <row r="765" spans="10:16" x14ac:dyDescent="0.2">
      <c r="J765" s="16"/>
      <c r="K765" s="16"/>
      <c r="L765" s="16"/>
      <c r="M765" s="16"/>
      <c r="N765" s="16"/>
      <c r="O765" s="16"/>
      <c r="P765" s="16"/>
    </row>
    <row r="766" spans="10:16" x14ac:dyDescent="0.2">
      <c r="J766" s="16"/>
      <c r="K766" s="16"/>
      <c r="L766" s="16"/>
      <c r="M766" s="16"/>
      <c r="N766" s="16"/>
      <c r="O766" s="16"/>
      <c r="P766" s="16"/>
    </row>
    <row r="767" spans="10:16" x14ac:dyDescent="0.2">
      <c r="J767" s="16"/>
      <c r="K767" s="16"/>
      <c r="L767" s="16"/>
      <c r="M767" s="16"/>
      <c r="N767" s="16"/>
      <c r="O767" s="16"/>
      <c r="P767" s="16"/>
    </row>
    <row r="768" spans="10:16" x14ac:dyDescent="0.2">
      <c r="J768" s="16"/>
      <c r="K768" s="16"/>
      <c r="L768" s="16"/>
      <c r="M768" s="16"/>
      <c r="N768" s="16"/>
      <c r="O768" s="16"/>
      <c r="P768" s="16"/>
    </row>
    <row r="769" spans="10:16" x14ac:dyDescent="0.2">
      <c r="J769" s="16"/>
      <c r="K769" s="16"/>
      <c r="L769" s="16"/>
      <c r="M769" s="16"/>
      <c r="N769" s="16"/>
      <c r="O769" s="16"/>
      <c r="P769" s="16"/>
    </row>
    <row r="770" spans="10:16" x14ac:dyDescent="0.2">
      <c r="J770" s="16"/>
      <c r="K770" s="16"/>
      <c r="L770" s="16"/>
      <c r="M770" s="16"/>
      <c r="N770" s="16"/>
      <c r="O770" s="16"/>
      <c r="P770" s="16"/>
    </row>
    <row r="771" spans="10:16" x14ac:dyDescent="0.2">
      <c r="J771" s="16"/>
      <c r="K771" s="16"/>
      <c r="L771" s="16"/>
      <c r="M771" s="16"/>
      <c r="N771" s="16"/>
      <c r="O771" s="16"/>
      <c r="P771" s="16"/>
    </row>
    <row r="772" spans="10:16" x14ac:dyDescent="0.2">
      <c r="J772" s="16"/>
      <c r="K772" s="16"/>
      <c r="L772" s="16"/>
      <c r="M772" s="16"/>
      <c r="N772" s="16"/>
      <c r="O772" s="16"/>
      <c r="P772" s="16"/>
    </row>
    <row r="773" spans="10:16" x14ac:dyDescent="0.2">
      <c r="J773" s="16"/>
      <c r="K773" s="16"/>
      <c r="L773" s="16"/>
      <c r="M773" s="16"/>
      <c r="N773" s="16"/>
      <c r="O773" s="16"/>
      <c r="P773" s="16"/>
    </row>
    <row r="774" spans="10:16" x14ac:dyDescent="0.2">
      <c r="J774" s="16"/>
      <c r="K774" s="16"/>
      <c r="L774" s="16"/>
      <c r="M774" s="16"/>
      <c r="N774" s="16"/>
      <c r="O774" s="16"/>
      <c r="P774" s="16"/>
    </row>
    <row r="775" spans="10:16" x14ac:dyDescent="0.2">
      <c r="J775" s="16"/>
      <c r="K775" s="16"/>
      <c r="L775" s="16"/>
      <c r="M775" s="16"/>
      <c r="N775" s="16"/>
      <c r="O775" s="16"/>
      <c r="P775" s="16"/>
    </row>
    <row r="776" spans="10:16" x14ac:dyDescent="0.2">
      <c r="J776" s="16"/>
      <c r="K776" s="16"/>
      <c r="L776" s="16"/>
      <c r="M776" s="16"/>
      <c r="N776" s="16"/>
      <c r="O776" s="16"/>
      <c r="P776" s="16"/>
    </row>
    <row r="777" spans="10:16" x14ac:dyDescent="0.2">
      <c r="J777" s="16"/>
      <c r="K777" s="16"/>
      <c r="L777" s="16"/>
      <c r="M777" s="16"/>
      <c r="N777" s="16"/>
      <c r="O777" s="16"/>
      <c r="P777" s="16"/>
    </row>
    <row r="778" spans="10:16" x14ac:dyDescent="0.2">
      <c r="J778" s="16"/>
      <c r="K778" s="16"/>
      <c r="L778" s="16"/>
      <c r="M778" s="16"/>
      <c r="N778" s="16"/>
      <c r="O778" s="16"/>
      <c r="P778" s="16"/>
    </row>
    <row r="779" spans="10:16" x14ac:dyDescent="0.2">
      <c r="J779" s="16"/>
      <c r="K779" s="16"/>
      <c r="L779" s="16"/>
      <c r="M779" s="16"/>
      <c r="N779" s="16"/>
      <c r="O779" s="16"/>
      <c r="P779" s="16"/>
    </row>
    <row r="780" spans="10:16" x14ac:dyDescent="0.2">
      <c r="J780" s="16"/>
      <c r="K780" s="16"/>
      <c r="L780" s="16"/>
      <c r="M780" s="16"/>
      <c r="N780" s="16"/>
      <c r="O780" s="16"/>
      <c r="P780" s="16"/>
    </row>
    <row r="781" spans="10:16" x14ac:dyDescent="0.2">
      <c r="J781" s="16"/>
      <c r="K781" s="16"/>
      <c r="L781" s="16"/>
      <c r="M781" s="16"/>
      <c r="N781" s="16"/>
      <c r="O781" s="16"/>
      <c r="P781" s="16"/>
    </row>
    <row r="782" spans="10:16" x14ac:dyDescent="0.2">
      <c r="J782" s="16"/>
      <c r="K782" s="16"/>
      <c r="L782" s="16"/>
      <c r="M782" s="16"/>
      <c r="N782" s="16"/>
      <c r="O782" s="16"/>
      <c r="P782" s="16"/>
    </row>
    <row r="783" spans="10:16" x14ac:dyDescent="0.2">
      <c r="J783" s="16"/>
      <c r="K783" s="16"/>
      <c r="L783" s="16"/>
      <c r="M783" s="16"/>
      <c r="N783" s="16"/>
      <c r="O783" s="16"/>
      <c r="P783" s="16"/>
    </row>
    <row r="784" spans="10:16" x14ac:dyDescent="0.2">
      <c r="J784" s="16"/>
      <c r="K784" s="16"/>
      <c r="L784" s="16"/>
      <c r="M784" s="16"/>
      <c r="N784" s="16"/>
      <c r="O784" s="16"/>
      <c r="P784" s="16"/>
    </row>
    <row r="785" spans="10:16" x14ac:dyDescent="0.2">
      <c r="J785" s="16"/>
      <c r="K785" s="16"/>
      <c r="L785" s="16"/>
      <c r="M785" s="16"/>
      <c r="N785" s="16"/>
      <c r="O785" s="16"/>
      <c r="P785" s="16"/>
    </row>
    <row r="786" spans="10:16" x14ac:dyDescent="0.2">
      <c r="J786" s="16"/>
      <c r="K786" s="16"/>
      <c r="L786" s="16"/>
      <c r="M786" s="16"/>
      <c r="N786" s="16"/>
      <c r="O786" s="16"/>
      <c r="P786" s="16"/>
    </row>
    <row r="787" spans="10:16" x14ac:dyDescent="0.2">
      <c r="J787" s="16"/>
      <c r="K787" s="16"/>
      <c r="L787" s="16"/>
      <c r="M787" s="16"/>
      <c r="N787" s="16"/>
      <c r="O787" s="16"/>
      <c r="P787" s="16"/>
    </row>
    <row r="788" spans="10:16" x14ac:dyDescent="0.2">
      <c r="J788" s="16"/>
      <c r="K788" s="16"/>
      <c r="L788" s="16"/>
      <c r="M788" s="16"/>
      <c r="N788" s="16"/>
      <c r="O788" s="16"/>
      <c r="P788" s="16"/>
    </row>
    <row r="789" spans="10:16" x14ac:dyDescent="0.2">
      <c r="J789" s="16"/>
      <c r="K789" s="16"/>
      <c r="L789" s="16"/>
      <c r="M789" s="16"/>
      <c r="N789" s="16"/>
      <c r="O789" s="16"/>
      <c r="P789" s="16"/>
    </row>
    <row r="790" spans="10:16" x14ac:dyDescent="0.2">
      <c r="J790" s="16"/>
      <c r="K790" s="16"/>
      <c r="L790" s="16"/>
      <c r="M790" s="16"/>
      <c r="N790" s="16"/>
      <c r="O790" s="16"/>
      <c r="P790" s="16"/>
    </row>
    <row r="791" spans="10:16" x14ac:dyDescent="0.2">
      <c r="J791" s="16"/>
      <c r="K791" s="16"/>
      <c r="L791" s="16"/>
      <c r="M791" s="16"/>
      <c r="N791" s="16"/>
      <c r="O791" s="16"/>
      <c r="P791" s="16"/>
    </row>
    <row r="792" spans="10:16" x14ac:dyDescent="0.2">
      <c r="J792" s="16"/>
      <c r="K792" s="16"/>
      <c r="L792" s="16"/>
      <c r="M792" s="16"/>
      <c r="N792" s="16"/>
      <c r="O792" s="16"/>
      <c r="P792" s="16"/>
    </row>
    <row r="793" spans="10:16" x14ac:dyDescent="0.2">
      <c r="J793" s="16"/>
      <c r="K793" s="16"/>
      <c r="L793" s="16"/>
      <c r="M793" s="16"/>
      <c r="N793" s="16"/>
      <c r="O793" s="16"/>
      <c r="P793" s="16"/>
    </row>
    <row r="794" spans="10:16" x14ac:dyDescent="0.2">
      <c r="J794" s="16"/>
      <c r="K794" s="16"/>
      <c r="L794" s="16"/>
      <c r="M794" s="16"/>
      <c r="N794" s="16"/>
      <c r="O794" s="16"/>
      <c r="P794" s="16"/>
    </row>
    <row r="795" spans="10:16" x14ac:dyDescent="0.2">
      <c r="J795" s="16"/>
      <c r="K795" s="16"/>
      <c r="L795" s="16"/>
      <c r="M795" s="16"/>
      <c r="N795" s="16"/>
      <c r="O795" s="16"/>
      <c r="P795" s="16"/>
    </row>
    <row r="796" spans="10:16" x14ac:dyDescent="0.2">
      <c r="J796" s="16"/>
      <c r="K796" s="16"/>
      <c r="L796" s="16"/>
      <c r="M796" s="16"/>
      <c r="N796" s="16"/>
      <c r="O796" s="16"/>
      <c r="P796" s="16"/>
    </row>
    <row r="797" spans="10:16" x14ac:dyDescent="0.2">
      <c r="J797" s="16"/>
      <c r="K797" s="16"/>
      <c r="L797" s="16"/>
      <c r="M797" s="16"/>
      <c r="N797" s="16"/>
      <c r="O797" s="16"/>
      <c r="P797" s="16"/>
    </row>
    <row r="798" spans="10:16" x14ac:dyDescent="0.2">
      <c r="J798" s="16"/>
      <c r="K798" s="16"/>
      <c r="L798" s="16"/>
      <c r="M798" s="16"/>
      <c r="N798" s="16"/>
      <c r="O798" s="16"/>
      <c r="P798" s="16"/>
    </row>
    <row r="799" spans="10:16" x14ac:dyDescent="0.2">
      <c r="J799" s="16"/>
      <c r="K799" s="16"/>
      <c r="L799" s="16"/>
      <c r="M799" s="16"/>
      <c r="N799" s="16"/>
      <c r="O799" s="16"/>
      <c r="P799" s="16"/>
    </row>
    <row r="800" spans="10:16" x14ac:dyDescent="0.2">
      <c r="J800" s="16"/>
      <c r="K800" s="16"/>
      <c r="L800" s="16"/>
      <c r="M800" s="16"/>
      <c r="N800" s="16"/>
      <c r="O800" s="16"/>
      <c r="P800" s="16"/>
    </row>
    <row r="801" spans="10:16" x14ac:dyDescent="0.2">
      <c r="J801" s="16"/>
      <c r="K801" s="16"/>
      <c r="L801" s="16"/>
      <c r="M801" s="16"/>
      <c r="N801" s="16"/>
      <c r="O801" s="16"/>
      <c r="P801" s="16"/>
    </row>
    <row r="802" spans="10:16" x14ac:dyDescent="0.2">
      <c r="J802" s="16"/>
      <c r="K802" s="16"/>
      <c r="L802" s="16"/>
      <c r="M802" s="16"/>
      <c r="N802" s="16"/>
      <c r="O802" s="16"/>
      <c r="P802" s="16"/>
    </row>
    <row r="803" spans="10:16" x14ac:dyDescent="0.2">
      <c r="J803" s="16"/>
      <c r="K803" s="16"/>
      <c r="L803" s="16"/>
      <c r="M803" s="16"/>
      <c r="N803" s="16"/>
      <c r="O803" s="16"/>
      <c r="P803" s="16"/>
    </row>
    <row r="804" spans="10:16" x14ac:dyDescent="0.2">
      <c r="J804" s="16"/>
      <c r="K804" s="16"/>
      <c r="L804" s="16"/>
      <c r="M804" s="16"/>
      <c r="N804" s="16"/>
      <c r="O804" s="16"/>
      <c r="P804" s="16"/>
    </row>
    <row r="805" spans="10:16" x14ac:dyDescent="0.2">
      <c r="J805" s="16"/>
      <c r="K805" s="16"/>
      <c r="L805" s="16"/>
      <c r="M805" s="16"/>
      <c r="N805" s="16"/>
      <c r="O805" s="16"/>
      <c r="P805" s="16"/>
    </row>
    <row r="806" spans="10:16" x14ac:dyDescent="0.2">
      <c r="J806" s="16"/>
      <c r="K806" s="16"/>
      <c r="L806" s="16"/>
      <c r="M806" s="16"/>
      <c r="N806" s="16"/>
      <c r="O806" s="16"/>
      <c r="P806" s="16"/>
    </row>
    <row r="807" spans="10:16" x14ac:dyDescent="0.2">
      <c r="J807" s="16"/>
      <c r="K807" s="16"/>
      <c r="L807" s="16"/>
      <c r="M807" s="16"/>
      <c r="N807" s="16"/>
      <c r="O807" s="16"/>
      <c r="P807" s="16"/>
    </row>
    <row r="808" spans="10:16" x14ac:dyDescent="0.2">
      <c r="J808" s="16"/>
      <c r="K808" s="16"/>
      <c r="L808" s="16"/>
      <c r="M808" s="16"/>
      <c r="N808" s="16"/>
      <c r="O808" s="16"/>
      <c r="P808" s="16"/>
    </row>
    <row r="809" spans="10:16" x14ac:dyDescent="0.2">
      <c r="J809" s="16"/>
      <c r="K809" s="16"/>
      <c r="L809" s="16"/>
      <c r="M809" s="16"/>
      <c r="N809" s="16"/>
      <c r="O809" s="16"/>
      <c r="P809" s="16"/>
    </row>
    <row r="810" spans="10:16" x14ac:dyDescent="0.2">
      <c r="J810" s="16"/>
      <c r="K810" s="16"/>
      <c r="L810" s="16"/>
      <c r="M810" s="16"/>
      <c r="N810" s="16"/>
      <c r="O810" s="16"/>
      <c r="P810" s="16"/>
    </row>
    <row r="811" spans="10:16" x14ac:dyDescent="0.2">
      <c r="J811" s="16"/>
      <c r="K811" s="16"/>
      <c r="L811" s="16"/>
      <c r="M811" s="16"/>
      <c r="N811" s="16"/>
      <c r="O811" s="16"/>
      <c r="P811" s="16"/>
    </row>
    <row r="812" spans="10:16" x14ac:dyDescent="0.2">
      <c r="J812" s="16"/>
      <c r="K812" s="16"/>
      <c r="L812" s="16"/>
      <c r="M812" s="16"/>
      <c r="N812" s="16"/>
      <c r="O812" s="16"/>
      <c r="P812" s="16"/>
    </row>
    <row r="813" spans="10:16" x14ac:dyDescent="0.2">
      <c r="J813" s="16"/>
      <c r="K813" s="16"/>
      <c r="L813" s="16"/>
      <c r="M813" s="16"/>
      <c r="N813" s="16"/>
      <c r="O813" s="16"/>
      <c r="P813" s="16"/>
    </row>
    <row r="814" spans="10:16" x14ac:dyDescent="0.2">
      <c r="J814" s="16"/>
      <c r="K814" s="16"/>
      <c r="L814" s="16"/>
      <c r="M814" s="16"/>
      <c r="N814" s="16"/>
      <c r="O814" s="16"/>
      <c r="P814" s="16"/>
    </row>
    <row r="815" spans="10:16" x14ac:dyDescent="0.2">
      <c r="J815" s="16"/>
      <c r="K815" s="16"/>
      <c r="L815" s="16"/>
      <c r="M815" s="16"/>
      <c r="N815" s="16"/>
      <c r="O815" s="16"/>
      <c r="P815" s="16"/>
    </row>
    <row r="816" spans="10:16" x14ac:dyDescent="0.2">
      <c r="J816" s="16"/>
      <c r="K816" s="16"/>
      <c r="L816" s="16"/>
      <c r="M816" s="16"/>
      <c r="N816" s="16"/>
      <c r="O816" s="16"/>
      <c r="P816" s="16"/>
    </row>
    <row r="817" spans="10:16" x14ac:dyDescent="0.2">
      <c r="J817" s="16"/>
      <c r="K817" s="16"/>
      <c r="L817" s="16"/>
      <c r="M817" s="16"/>
      <c r="N817" s="16"/>
      <c r="O817" s="16"/>
      <c r="P817" s="16"/>
    </row>
    <row r="818" spans="10:16" x14ac:dyDescent="0.2">
      <c r="J818" s="16"/>
      <c r="K818" s="16"/>
      <c r="L818" s="16"/>
      <c r="M818" s="16"/>
      <c r="N818" s="16"/>
      <c r="O818" s="16"/>
      <c r="P818" s="16"/>
    </row>
    <row r="819" spans="10:16" x14ac:dyDescent="0.2">
      <c r="J819" s="16"/>
      <c r="K819" s="16"/>
      <c r="L819" s="16"/>
      <c r="M819" s="16"/>
      <c r="N819" s="16"/>
      <c r="O819" s="16"/>
      <c r="P819" s="16"/>
    </row>
    <row r="820" spans="10:16" x14ac:dyDescent="0.2">
      <c r="J820" s="16"/>
      <c r="K820" s="16"/>
      <c r="L820" s="16"/>
      <c r="M820" s="16"/>
      <c r="N820" s="16"/>
      <c r="O820" s="16"/>
      <c r="P820" s="16"/>
    </row>
    <row r="821" spans="10:16" x14ac:dyDescent="0.2">
      <c r="J821" s="16"/>
      <c r="K821" s="16"/>
      <c r="L821" s="16"/>
      <c r="M821" s="16"/>
      <c r="N821" s="16"/>
      <c r="O821" s="16"/>
      <c r="P821" s="16"/>
    </row>
    <row r="822" spans="10:16" x14ac:dyDescent="0.2">
      <c r="J822" s="16"/>
      <c r="K822" s="16"/>
      <c r="L822" s="16"/>
      <c r="M822" s="16"/>
      <c r="N822" s="16"/>
      <c r="O822" s="16"/>
      <c r="P822" s="16"/>
    </row>
    <row r="823" spans="10:16" x14ac:dyDescent="0.2">
      <c r="J823" s="16"/>
      <c r="K823" s="16"/>
      <c r="L823" s="16"/>
      <c r="M823" s="16"/>
      <c r="N823" s="16"/>
      <c r="O823" s="16"/>
      <c r="P823" s="16"/>
    </row>
    <row r="824" spans="10:16" x14ac:dyDescent="0.2">
      <c r="J824" s="16"/>
      <c r="K824" s="16"/>
      <c r="L824" s="16"/>
      <c r="M824" s="16"/>
      <c r="N824" s="16"/>
      <c r="O824" s="16"/>
      <c r="P824" s="16"/>
    </row>
    <row r="825" spans="10:16" x14ac:dyDescent="0.2">
      <c r="J825" s="16"/>
      <c r="K825" s="16"/>
      <c r="L825" s="16"/>
      <c r="M825" s="16"/>
      <c r="N825" s="16"/>
      <c r="O825" s="16"/>
      <c r="P825" s="16"/>
    </row>
    <row r="826" spans="10:16" x14ac:dyDescent="0.2">
      <c r="J826" s="16"/>
      <c r="K826" s="16"/>
      <c r="L826" s="16"/>
      <c r="M826" s="16"/>
      <c r="N826" s="16"/>
      <c r="O826" s="16"/>
      <c r="P826" s="16"/>
    </row>
    <row r="827" spans="10:16" x14ac:dyDescent="0.2">
      <c r="J827" s="16"/>
      <c r="K827" s="16"/>
      <c r="L827" s="16"/>
      <c r="M827" s="16"/>
      <c r="N827" s="16"/>
      <c r="O827" s="16"/>
      <c r="P827" s="16"/>
    </row>
    <row r="828" spans="10:16" x14ac:dyDescent="0.2">
      <c r="J828" s="16"/>
      <c r="K828" s="16"/>
      <c r="L828" s="16"/>
      <c r="M828" s="16"/>
      <c r="N828" s="16"/>
      <c r="O828" s="16"/>
      <c r="P828" s="16"/>
    </row>
    <row r="829" spans="10:16" x14ac:dyDescent="0.2">
      <c r="J829" s="16"/>
      <c r="K829" s="16"/>
      <c r="L829" s="16"/>
      <c r="M829" s="16"/>
      <c r="N829" s="16"/>
      <c r="O829" s="16"/>
      <c r="P829" s="16"/>
    </row>
    <row r="830" spans="10:16" x14ac:dyDescent="0.2">
      <c r="J830" s="16"/>
      <c r="K830" s="16"/>
      <c r="L830" s="16"/>
      <c r="M830" s="16"/>
      <c r="N830" s="16"/>
      <c r="O830" s="16"/>
      <c r="P830" s="16"/>
    </row>
    <row r="831" spans="10:16" x14ac:dyDescent="0.2">
      <c r="J831" s="16"/>
      <c r="K831" s="16"/>
      <c r="L831" s="16"/>
      <c r="M831" s="16"/>
      <c r="N831" s="16"/>
      <c r="O831" s="16"/>
      <c r="P831" s="16"/>
    </row>
    <row r="832" spans="10:16" x14ac:dyDescent="0.2">
      <c r="J832" s="16"/>
      <c r="K832" s="16"/>
      <c r="L832" s="16"/>
      <c r="M832" s="16"/>
      <c r="N832" s="16"/>
      <c r="O832" s="16"/>
      <c r="P832" s="16"/>
    </row>
    <row r="833" spans="10:16" x14ac:dyDescent="0.2">
      <c r="J833" s="16"/>
      <c r="K833" s="16"/>
      <c r="L833" s="16"/>
      <c r="M833" s="16"/>
      <c r="N833" s="16"/>
      <c r="O833" s="16"/>
      <c r="P833" s="16"/>
    </row>
    <row r="834" spans="10:16" x14ac:dyDescent="0.2">
      <c r="J834" s="16"/>
      <c r="K834" s="16"/>
      <c r="L834" s="16"/>
      <c r="M834" s="16"/>
      <c r="N834" s="16"/>
      <c r="O834" s="16"/>
      <c r="P834" s="16"/>
    </row>
    <row r="835" spans="10:16" x14ac:dyDescent="0.2">
      <c r="J835" s="16"/>
      <c r="K835" s="16"/>
      <c r="L835" s="16"/>
      <c r="M835" s="16"/>
      <c r="N835" s="16"/>
      <c r="O835" s="16"/>
      <c r="P835" s="16"/>
    </row>
    <row r="836" spans="10:16" x14ac:dyDescent="0.2">
      <c r="J836" s="16"/>
      <c r="K836" s="16"/>
      <c r="L836" s="16"/>
      <c r="M836" s="16"/>
      <c r="N836" s="16"/>
      <c r="O836" s="16"/>
      <c r="P836" s="16"/>
    </row>
    <row r="837" spans="10:16" x14ac:dyDescent="0.2">
      <c r="J837" s="16"/>
      <c r="K837" s="16"/>
      <c r="L837" s="16"/>
      <c r="M837" s="16"/>
      <c r="N837" s="16"/>
      <c r="O837" s="16"/>
      <c r="P837" s="16"/>
    </row>
    <row r="838" spans="10:16" x14ac:dyDescent="0.2">
      <c r="J838" s="16"/>
      <c r="K838" s="16"/>
      <c r="L838" s="16"/>
      <c r="M838" s="16"/>
      <c r="N838" s="16"/>
      <c r="O838" s="16"/>
      <c r="P838" s="16"/>
    </row>
    <row r="839" spans="10:16" x14ac:dyDescent="0.2">
      <c r="J839" s="16"/>
      <c r="K839" s="16"/>
      <c r="L839" s="16"/>
      <c r="M839" s="16"/>
      <c r="N839" s="16"/>
      <c r="O839" s="16"/>
      <c r="P839" s="16"/>
    </row>
    <row r="840" spans="10:16" x14ac:dyDescent="0.2">
      <c r="J840" s="16"/>
      <c r="K840" s="16"/>
      <c r="L840" s="16"/>
      <c r="M840" s="16"/>
      <c r="N840" s="16"/>
      <c r="O840" s="16"/>
      <c r="P840" s="16"/>
    </row>
    <row r="841" spans="10:16" x14ac:dyDescent="0.2">
      <c r="J841" s="16"/>
      <c r="K841" s="16"/>
      <c r="L841" s="16"/>
      <c r="M841" s="16"/>
      <c r="N841" s="16"/>
      <c r="O841" s="16"/>
      <c r="P841" s="16"/>
    </row>
    <row r="842" spans="10:16" x14ac:dyDescent="0.2">
      <c r="J842" s="16"/>
      <c r="K842" s="16"/>
      <c r="L842" s="16"/>
      <c r="M842" s="16"/>
      <c r="N842" s="16"/>
      <c r="O842" s="16"/>
      <c r="P842" s="16"/>
    </row>
    <row r="843" spans="10:16" x14ac:dyDescent="0.2">
      <c r="J843" s="16"/>
      <c r="K843" s="16"/>
      <c r="L843" s="16"/>
      <c r="M843" s="16"/>
      <c r="N843" s="16"/>
      <c r="O843" s="16"/>
      <c r="P843" s="16"/>
    </row>
    <row r="844" spans="10:16" x14ac:dyDescent="0.2">
      <c r="J844" s="16"/>
      <c r="K844" s="16"/>
      <c r="L844" s="16"/>
      <c r="M844" s="16"/>
      <c r="N844" s="16"/>
      <c r="O844" s="16"/>
      <c r="P844" s="16"/>
    </row>
    <row r="845" spans="10:16" x14ac:dyDescent="0.2">
      <c r="J845" s="16"/>
      <c r="K845" s="16"/>
      <c r="L845" s="16"/>
      <c r="M845" s="16"/>
      <c r="N845" s="16"/>
      <c r="O845" s="16"/>
      <c r="P845" s="16"/>
    </row>
    <row r="846" spans="10:16" x14ac:dyDescent="0.2">
      <c r="J846" s="16"/>
      <c r="K846" s="16"/>
      <c r="L846" s="16"/>
      <c r="M846" s="16"/>
      <c r="N846" s="16"/>
      <c r="O846" s="16"/>
      <c r="P846" s="16"/>
    </row>
    <row r="847" spans="10:16" x14ac:dyDescent="0.2">
      <c r="J847" s="16"/>
      <c r="K847" s="16"/>
      <c r="L847" s="16"/>
      <c r="M847" s="16"/>
      <c r="N847" s="16"/>
      <c r="O847" s="16"/>
      <c r="P847" s="16"/>
    </row>
    <row r="848" spans="10:16" x14ac:dyDescent="0.2">
      <c r="J848" s="16"/>
      <c r="K848" s="16"/>
      <c r="L848" s="16"/>
      <c r="M848" s="16"/>
      <c r="N848" s="16"/>
      <c r="O848" s="16"/>
      <c r="P848" s="16"/>
    </row>
    <row r="849" spans="10:16" x14ac:dyDescent="0.2">
      <c r="J849" s="16"/>
      <c r="K849" s="16"/>
      <c r="L849" s="16"/>
      <c r="M849" s="16"/>
      <c r="N849" s="16"/>
      <c r="O849" s="16"/>
      <c r="P849" s="16"/>
    </row>
    <row r="850" spans="10:16" x14ac:dyDescent="0.2">
      <c r="J850" s="16"/>
      <c r="K850" s="16"/>
      <c r="L850" s="16"/>
      <c r="M850" s="16"/>
      <c r="N850" s="16"/>
      <c r="O850" s="16"/>
      <c r="P850" s="16"/>
    </row>
    <row r="851" spans="10:16" x14ac:dyDescent="0.2">
      <c r="J851" s="16"/>
      <c r="K851" s="16"/>
      <c r="L851" s="16"/>
      <c r="M851" s="16"/>
      <c r="N851" s="16"/>
      <c r="O851" s="16"/>
      <c r="P851" s="16"/>
    </row>
    <row r="852" spans="10:16" x14ac:dyDescent="0.2">
      <c r="J852" s="16"/>
      <c r="K852" s="16"/>
      <c r="L852" s="16"/>
      <c r="M852" s="16"/>
      <c r="N852" s="16"/>
      <c r="O852" s="16"/>
      <c r="P852" s="16"/>
    </row>
    <row r="853" spans="10:16" x14ac:dyDescent="0.2">
      <c r="J853" s="16"/>
      <c r="K853" s="16"/>
      <c r="L853" s="16"/>
      <c r="M853" s="16"/>
      <c r="N853" s="16"/>
      <c r="O853" s="16"/>
      <c r="P853" s="16"/>
    </row>
    <row r="854" spans="10:16" x14ac:dyDescent="0.2">
      <c r="J854" s="16"/>
      <c r="K854" s="16"/>
      <c r="L854" s="16"/>
      <c r="M854" s="16"/>
      <c r="N854" s="16"/>
      <c r="O854" s="16"/>
      <c r="P854" s="16"/>
    </row>
    <row r="855" spans="10:16" x14ac:dyDescent="0.2">
      <c r="J855" s="16"/>
      <c r="K855" s="16"/>
      <c r="L855" s="16"/>
      <c r="M855" s="16"/>
      <c r="N855" s="16"/>
      <c r="O855" s="16"/>
      <c r="P855" s="16"/>
    </row>
    <row r="856" spans="10:16" x14ac:dyDescent="0.2">
      <c r="J856" s="16"/>
      <c r="K856" s="16"/>
      <c r="L856" s="16"/>
      <c r="M856" s="16"/>
      <c r="N856" s="16"/>
      <c r="O856" s="16"/>
      <c r="P856" s="16"/>
    </row>
    <row r="857" spans="10:16" x14ac:dyDescent="0.2">
      <c r="J857" s="16"/>
      <c r="K857" s="16"/>
      <c r="L857" s="16"/>
      <c r="M857" s="16"/>
      <c r="N857" s="16"/>
      <c r="O857" s="16"/>
      <c r="P857" s="16"/>
    </row>
    <row r="858" spans="10:16" x14ac:dyDescent="0.2">
      <c r="J858" s="16"/>
      <c r="K858" s="16"/>
      <c r="L858" s="16"/>
      <c r="M858" s="16"/>
      <c r="N858" s="16"/>
      <c r="O858" s="16"/>
      <c r="P858" s="16"/>
    </row>
    <row r="859" spans="10:16" x14ac:dyDescent="0.2">
      <c r="J859" s="16"/>
      <c r="K859" s="16"/>
      <c r="L859" s="16"/>
      <c r="M859" s="16"/>
      <c r="N859" s="16"/>
      <c r="O859" s="16"/>
      <c r="P859" s="16"/>
    </row>
    <row r="860" spans="10:16" x14ac:dyDescent="0.2">
      <c r="J860" s="16"/>
      <c r="K860" s="16"/>
      <c r="L860" s="16"/>
      <c r="M860" s="16"/>
      <c r="N860" s="16"/>
      <c r="O860" s="16"/>
      <c r="P860" s="16"/>
    </row>
    <row r="861" spans="10:16" x14ac:dyDescent="0.2">
      <c r="J861" s="16"/>
      <c r="K861" s="16"/>
      <c r="L861" s="16"/>
      <c r="M861" s="16"/>
      <c r="N861" s="16"/>
      <c r="O861" s="16"/>
      <c r="P861" s="16"/>
    </row>
    <row r="862" spans="10:16" x14ac:dyDescent="0.2">
      <c r="J862" s="16"/>
      <c r="K862" s="16"/>
      <c r="L862" s="16"/>
      <c r="M862" s="16"/>
      <c r="N862" s="16"/>
      <c r="O862" s="16"/>
      <c r="P862" s="16"/>
    </row>
    <row r="863" spans="10:16" x14ac:dyDescent="0.2">
      <c r="J863" s="16"/>
      <c r="K863" s="16"/>
      <c r="L863" s="16"/>
      <c r="M863" s="16"/>
      <c r="N863" s="16"/>
      <c r="O863" s="16"/>
      <c r="P863" s="16"/>
    </row>
    <row r="864" spans="10:16" x14ac:dyDescent="0.2">
      <c r="J864" s="16"/>
      <c r="K864" s="16"/>
      <c r="L864" s="16"/>
      <c r="M864" s="16"/>
      <c r="N864" s="16"/>
      <c r="O864" s="16"/>
      <c r="P864" s="16"/>
    </row>
    <row r="865" spans="10:16" x14ac:dyDescent="0.2">
      <c r="J865" s="16"/>
      <c r="K865" s="16"/>
      <c r="L865" s="16"/>
      <c r="M865" s="16"/>
      <c r="N865" s="16"/>
      <c r="O865" s="16"/>
      <c r="P865" s="16"/>
    </row>
    <row r="866" spans="10:16" x14ac:dyDescent="0.2">
      <c r="J866" s="16"/>
      <c r="K866" s="16"/>
      <c r="L866" s="16"/>
      <c r="M866" s="16"/>
      <c r="N866" s="16"/>
      <c r="O866" s="16"/>
      <c r="P866" s="16"/>
    </row>
    <row r="867" spans="10:16" x14ac:dyDescent="0.2">
      <c r="J867" s="16"/>
      <c r="K867" s="16"/>
      <c r="L867" s="16"/>
      <c r="M867" s="16"/>
      <c r="N867" s="16"/>
      <c r="O867" s="16"/>
      <c r="P867" s="16"/>
    </row>
    <row r="868" spans="10:16" x14ac:dyDescent="0.2">
      <c r="J868" s="16"/>
      <c r="K868" s="16"/>
      <c r="L868" s="16"/>
      <c r="M868" s="16"/>
      <c r="N868" s="16"/>
      <c r="O868" s="16"/>
      <c r="P868" s="16"/>
    </row>
    <row r="869" spans="10:16" x14ac:dyDescent="0.2">
      <c r="J869" s="16"/>
      <c r="K869" s="16"/>
      <c r="L869" s="16"/>
      <c r="M869" s="16"/>
      <c r="N869" s="16"/>
      <c r="O869" s="16"/>
      <c r="P869" s="16"/>
    </row>
    <row r="870" spans="10:16" x14ac:dyDescent="0.2">
      <c r="J870" s="16"/>
      <c r="K870" s="16"/>
      <c r="L870" s="16"/>
      <c r="M870" s="16"/>
      <c r="N870" s="16"/>
      <c r="O870" s="16"/>
      <c r="P870" s="16"/>
    </row>
    <row r="871" spans="10:16" x14ac:dyDescent="0.2">
      <c r="J871" s="16"/>
      <c r="K871" s="16"/>
      <c r="L871" s="16"/>
      <c r="M871" s="16"/>
      <c r="N871" s="16"/>
      <c r="O871" s="16"/>
      <c r="P871" s="16"/>
    </row>
    <row r="872" spans="10:16" x14ac:dyDescent="0.2">
      <c r="J872" s="16"/>
      <c r="K872" s="16"/>
      <c r="L872" s="16"/>
      <c r="M872" s="16"/>
      <c r="N872" s="16"/>
      <c r="O872" s="16"/>
      <c r="P872" s="16"/>
    </row>
    <row r="873" spans="10:16" x14ac:dyDescent="0.2">
      <c r="J873" s="16"/>
      <c r="K873" s="16"/>
      <c r="L873" s="16"/>
      <c r="M873" s="16"/>
      <c r="N873" s="16"/>
      <c r="O873" s="16"/>
      <c r="P873" s="16"/>
    </row>
    <row r="874" spans="10:16" x14ac:dyDescent="0.2">
      <c r="J874" s="16"/>
      <c r="K874" s="16"/>
      <c r="L874" s="16"/>
      <c r="M874" s="16"/>
      <c r="N874" s="16"/>
      <c r="O874" s="16"/>
      <c r="P874" s="16"/>
    </row>
    <row r="875" spans="10:16" x14ac:dyDescent="0.2">
      <c r="J875" s="16"/>
      <c r="K875" s="16"/>
      <c r="L875" s="16"/>
      <c r="M875" s="16"/>
      <c r="N875" s="16"/>
      <c r="O875" s="16"/>
      <c r="P875" s="16"/>
    </row>
    <row r="876" spans="10:16" x14ac:dyDescent="0.2">
      <c r="J876" s="16"/>
      <c r="K876" s="16"/>
      <c r="L876" s="16"/>
      <c r="M876" s="16"/>
      <c r="N876" s="16"/>
      <c r="O876" s="16"/>
      <c r="P876" s="16"/>
    </row>
    <row r="877" spans="10:16" x14ac:dyDescent="0.2">
      <c r="J877" s="16"/>
      <c r="K877" s="16"/>
      <c r="L877" s="16"/>
      <c r="M877" s="16"/>
      <c r="N877" s="16"/>
      <c r="O877" s="16"/>
      <c r="P877" s="16"/>
    </row>
    <row r="878" spans="10:16" x14ac:dyDescent="0.2">
      <c r="J878" s="16"/>
      <c r="K878" s="16"/>
      <c r="L878" s="16"/>
      <c r="M878" s="16"/>
      <c r="N878" s="16"/>
      <c r="O878" s="16"/>
      <c r="P878" s="16"/>
    </row>
    <row r="879" spans="10:16" x14ac:dyDescent="0.2">
      <c r="J879" s="16"/>
      <c r="K879" s="16"/>
      <c r="L879" s="16"/>
      <c r="M879" s="16"/>
      <c r="N879" s="16"/>
      <c r="O879" s="16"/>
      <c r="P879" s="16"/>
    </row>
    <row r="880" spans="10:16" x14ac:dyDescent="0.2">
      <c r="J880" s="16"/>
      <c r="K880" s="16"/>
      <c r="L880" s="16"/>
      <c r="M880" s="16"/>
      <c r="N880" s="16"/>
      <c r="O880" s="16"/>
      <c r="P880" s="16"/>
    </row>
    <row r="881" spans="10:16" x14ac:dyDescent="0.2">
      <c r="J881" s="16"/>
      <c r="K881" s="16"/>
      <c r="L881" s="16"/>
      <c r="M881" s="16"/>
      <c r="N881" s="16"/>
      <c r="O881" s="16"/>
      <c r="P881" s="16"/>
    </row>
    <row r="882" spans="10:16" x14ac:dyDescent="0.2">
      <c r="J882" s="16"/>
      <c r="K882" s="16"/>
      <c r="L882" s="16"/>
      <c r="M882" s="16"/>
      <c r="N882" s="16"/>
      <c r="O882" s="16"/>
      <c r="P882" s="16"/>
    </row>
    <row r="883" spans="10:16" x14ac:dyDescent="0.2">
      <c r="J883" s="16"/>
      <c r="K883" s="16"/>
      <c r="L883" s="16"/>
      <c r="M883" s="16"/>
      <c r="N883" s="16"/>
      <c r="O883" s="16"/>
      <c r="P883" s="16"/>
    </row>
    <row r="884" spans="10:16" x14ac:dyDescent="0.2">
      <c r="J884" s="16"/>
      <c r="K884" s="16"/>
      <c r="L884" s="16"/>
      <c r="M884" s="16"/>
      <c r="N884" s="16"/>
      <c r="O884" s="16"/>
      <c r="P884" s="16"/>
    </row>
    <row r="885" spans="10:16" x14ac:dyDescent="0.2">
      <c r="J885" s="16"/>
      <c r="K885" s="16"/>
      <c r="L885" s="16"/>
      <c r="M885" s="16"/>
      <c r="N885" s="16"/>
      <c r="O885" s="16"/>
      <c r="P885" s="16"/>
    </row>
    <row r="886" spans="10:16" x14ac:dyDescent="0.2">
      <c r="J886" s="16"/>
      <c r="K886" s="16"/>
      <c r="L886" s="16"/>
      <c r="M886" s="16"/>
      <c r="N886" s="16"/>
      <c r="O886" s="16"/>
      <c r="P886" s="16"/>
    </row>
    <row r="887" spans="10:16" x14ac:dyDescent="0.2">
      <c r="J887" s="16"/>
      <c r="K887" s="16"/>
      <c r="L887" s="16"/>
      <c r="M887" s="16"/>
      <c r="N887" s="16"/>
      <c r="O887" s="16"/>
      <c r="P887" s="16"/>
    </row>
    <row r="888" spans="10:16" x14ac:dyDescent="0.2">
      <c r="J888" s="16"/>
      <c r="K888" s="16"/>
      <c r="L888" s="16"/>
      <c r="M888" s="16"/>
      <c r="N888" s="16"/>
      <c r="O888" s="16"/>
      <c r="P888" s="16"/>
    </row>
    <row r="889" spans="10:16" x14ac:dyDescent="0.2">
      <c r="J889" s="16"/>
      <c r="K889" s="16"/>
      <c r="L889" s="16"/>
      <c r="M889" s="16"/>
      <c r="N889" s="16"/>
      <c r="O889" s="16"/>
      <c r="P889" s="16"/>
    </row>
    <row r="890" spans="10:16" x14ac:dyDescent="0.2">
      <c r="J890" s="16"/>
      <c r="K890" s="16"/>
      <c r="L890" s="16"/>
      <c r="M890" s="16"/>
      <c r="N890" s="16"/>
      <c r="O890" s="16"/>
      <c r="P890" s="16"/>
    </row>
    <row r="891" spans="10:16" x14ac:dyDescent="0.2">
      <c r="J891" s="16"/>
      <c r="K891" s="16"/>
      <c r="L891" s="16"/>
      <c r="M891" s="16"/>
      <c r="N891" s="16"/>
      <c r="O891" s="16"/>
      <c r="P891" s="16"/>
    </row>
    <row r="892" spans="10:16" x14ac:dyDescent="0.2">
      <c r="J892" s="16"/>
      <c r="K892" s="16"/>
      <c r="L892" s="16"/>
      <c r="M892" s="16"/>
      <c r="N892" s="16"/>
      <c r="O892" s="16"/>
      <c r="P892" s="16"/>
    </row>
    <row r="893" spans="10:16" x14ac:dyDescent="0.2">
      <c r="J893" s="16"/>
      <c r="K893" s="16"/>
      <c r="L893" s="16"/>
      <c r="M893" s="16"/>
      <c r="N893" s="16"/>
      <c r="O893" s="16"/>
      <c r="P893" s="16"/>
    </row>
    <row r="894" spans="10:16" x14ac:dyDescent="0.2">
      <c r="J894" s="16"/>
      <c r="K894" s="16"/>
      <c r="L894" s="16"/>
      <c r="M894" s="16"/>
      <c r="N894" s="16"/>
      <c r="O894" s="16"/>
      <c r="P894" s="16"/>
    </row>
    <row r="895" spans="10:16" x14ac:dyDescent="0.2">
      <c r="J895" s="16"/>
      <c r="K895" s="16"/>
      <c r="L895" s="16"/>
      <c r="M895" s="16"/>
      <c r="N895" s="16"/>
      <c r="O895" s="16"/>
      <c r="P895" s="16"/>
    </row>
    <row r="896" spans="10:16" x14ac:dyDescent="0.2">
      <c r="J896" s="16"/>
      <c r="K896" s="16"/>
      <c r="L896" s="16"/>
      <c r="M896" s="16"/>
      <c r="N896" s="16"/>
      <c r="O896" s="16"/>
      <c r="P896" s="16"/>
    </row>
    <row r="897" spans="10:16" x14ac:dyDescent="0.2">
      <c r="J897" s="16"/>
      <c r="K897" s="16"/>
      <c r="L897" s="16"/>
      <c r="M897" s="16"/>
      <c r="N897" s="16"/>
      <c r="O897" s="16"/>
      <c r="P897" s="16"/>
    </row>
    <row r="898" spans="10:16" x14ac:dyDescent="0.2">
      <c r="J898" s="16"/>
      <c r="K898" s="16"/>
      <c r="L898" s="16"/>
      <c r="M898" s="16"/>
      <c r="N898" s="16"/>
      <c r="O898" s="16"/>
      <c r="P898" s="16"/>
    </row>
    <row r="899" spans="10:16" x14ac:dyDescent="0.2">
      <c r="J899" s="16"/>
      <c r="K899" s="16"/>
      <c r="L899" s="16"/>
      <c r="M899" s="16"/>
      <c r="N899" s="16"/>
      <c r="O899" s="16"/>
      <c r="P899" s="16"/>
    </row>
    <row r="900" spans="10:16" x14ac:dyDescent="0.2">
      <c r="J900" s="16"/>
      <c r="K900" s="16"/>
      <c r="L900" s="16"/>
      <c r="M900" s="16"/>
      <c r="N900" s="16"/>
      <c r="O900" s="16"/>
      <c r="P900" s="16"/>
    </row>
    <row r="901" spans="10:16" x14ac:dyDescent="0.2">
      <c r="J901" s="16"/>
      <c r="K901" s="16"/>
      <c r="L901" s="16"/>
      <c r="M901" s="16"/>
      <c r="N901" s="16"/>
      <c r="O901" s="16"/>
      <c r="P901" s="16"/>
    </row>
    <row r="902" spans="10:16" x14ac:dyDescent="0.2">
      <c r="J902" s="16"/>
      <c r="K902" s="16"/>
      <c r="L902" s="16"/>
      <c r="M902" s="16"/>
      <c r="N902" s="16"/>
      <c r="O902" s="16"/>
      <c r="P902" s="16"/>
    </row>
    <row r="903" spans="10:16" x14ac:dyDescent="0.2">
      <c r="J903" s="16"/>
      <c r="K903" s="16"/>
      <c r="L903" s="16"/>
      <c r="M903" s="16"/>
      <c r="N903" s="16"/>
      <c r="O903" s="16"/>
      <c r="P903" s="16"/>
    </row>
    <row r="904" spans="10:16" x14ac:dyDescent="0.2">
      <c r="J904" s="16"/>
      <c r="K904" s="16"/>
      <c r="L904" s="16"/>
      <c r="M904" s="16"/>
      <c r="N904" s="16"/>
      <c r="O904" s="16"/>
      <c r="P904" s="16"/>
    </row>
    <row r="905" spans="10:16" x14ac:dyDescent="0.2">
      <c r="J905" s="16"/>
      <c r="K905" s="16"/>
      <c r="L905" s="16"/>
      <c r="M905" s="16"/>
      <c r="N905" s="16"/>
      <c r="O905" s="16"/>
      <c r="P905" s="16"/>
    </row>
    <row r="906" spans="10:16" x14ac:dyDescent="0.2">
      <c r="J906" s="16"/>
      <c r="K906" s="16"/>
      <c r="L906" s="16"/>
      <c r="M906" s="16"/>
      <c r="N906" s="16"/>
      <c r="O906" s="16"/>
      <c r="P906" s="16"/>
    </row>
    <row r="907" spans="10:16" x14ac:dyDescent="0.2">
      <c r="J907" s="16"/>
      <c r="K907" s="16"/>
      <c r="L907" s="16"/>
      <c r="M907" s="16"/>
      <c r="N907" s="16"/>
      <c r="O907" s="16"/>
      <c r="P907" s="16"/>
    </row>
    <row r="908" spans="10:16" x14ac:dyDescent="0.2">
      <c r="J908" s="16"/>
      <c r="K908" s="16"/>
      <c r="L908" s="16"/>
      <c r="M908" s="16"/>
      <c r="N908" s="16"/>
      <c r="O908" s="16"/>
      <c r="P908" s="16"/>
    </row>
    <row r="909" spans="10:16" x14ac:dyDescent="0.2">
      <c r="J909" s="16"/>
      <c r="K909" s="16"/>
      <c r="L909" s="16"/>
      <c r="M909" s="16"/>
      <c r="N909" s="16"/>
      <c r="O909" s="16"/>
      <c r="P909" s="16"/>
    </row>
    <row r="910" spans="10:16" x14ac:dyDescent="0.2">
      <c r="J910" s="16"/>
      <c r="K910" s="16"/>
      <c r="L910" s="16"/>
      <c r="M910" s="16"/>
      <c r="N910" s="16"/>
      <c r="O910" s="16"/>
      <c r="P910" s="16"/>
    </row>
    <row r="911" spans="10:16" x14ac:dyDescent="0.2">
      <c r="J911" s="16"/>
      <c r="K911" s="16"/>
      <c r="L911" s="16"/>
      <c r="M911" s="16"/>
      <c r="N911" s="16"/>
      <c r="O911" s="16"/>
      <c r="P911" s="16"/>
    </row>
    <row r="912" spans="10:16" x14ac:dyDescent="0.2">
      <c r="J912" s="16"/>
      <c r="K912" s="16"/>
      <c r="L912" s="16"/>
      <c r="M912" s="16"/>
      <c r="N912" s="16"/>
      <c r="O912" s="16"/>
      <c r="P912" s="16"/>
    </row>
    <row r="913" spans="10:16" x14ac:dyDescent="0.2">
      <c r="J913" s="16"/>
      <c r="K913" s="16"/>
      <c r="L913" s="16"/>
      <c r="M913" s="16"/>
      <c r="N913" s="16"/>
      <c r="O913" s="16"/>
      <c r="P913" s="16"/>
    </row>
    <row r="914" spans="10:16" x14ac:dyDescent="0.2">
      <c r="J914" s="16"/>
      <c r="K914" s="16"/>
      <c r="L914" s="16"/>
      <c r="M914" s="16"/>
      <c r="N914" s="16"/>
      <c r="O914" s="16"/>
      <c r="P914" s="16"/>
    </row>
    <row r="915" spans="10:16" x14ac:dyDescent="0.2">
      <c r="J915" s="16"/>
      <c r="K915" s="16"/>
      <c r="L915" s="16"/>
      <c r="M915" s="16"/>
      <c r="N915" s="16"/>
      <c r="O915" s="16"/>
      <c r="P915" s="16"/>
    </row>
    <row r="916" spans="10:16" x14ac:dyDescent="0.2">
      <c r="J916" s="16"/>
      <c r="K916" s="16"/>
      <c r="L916" s="16"/>
      <c r="M916" s="16"/>
      <c r="N916" s="16"/>
      <c r="O916" s="16"/>
      <c r="P916" s="16"/>
    </row>
    <row r="917" spans="10:16" x14ac:dyDescent="0.2">
      <c r="J917" s="16"/>
      <c r="K917" s="16"/>
      <c r="L917" s="16"/>
      <c r="M917" s="16"/>
      <c r="N917" s="16"/>
      <c r="O917" s="16"/>
      <c r="P917" s="16"/>
    </row>
    <row r="918" spans="10:16" x14ac:dyDescent="0.2">
      <c r="J918" s="16"/>
      <c r="K918" s="16"/>
      <c r="L918" s="16"/>
      <c r="M918" s="16"/>
      <c r="N918" s="16"/>
      <c r="O918" s="16"/>
      <c r="P918" s="16"/>
    </row>
    <row r="919" spans="10:16" x14ac:dyDescent="0.2">
      <c r="J919" s="16"/>
      <c r="K919" s="16"/>
      <c r="L919" s="16"/>
      <c r="M919" s="16"/>
      <c r="N919" s="16"/>
      <c r="O919" s="16"/>
      <c r="P919" s="16"/>
    </row>
    <row r="920" spans="10:16" x14ac:dyDescent="0.2">
      <c r="J920" s="16"/>
      <c r="K920" s="16"/>
      <c r="L920" s="16"/>
      <c r="M920" s="16"/>
      <c r="N920" s="16"/>
      <c r="O920" s="16"/>
      <c r="P920" s="16"/>
    </row>
    <row r="921" spans="10:16" x14ac:dyDescent="0.2">
      <c r="J921" s="16"/>
      <c r="K921" s="16"/>
      <c r="L921" s="16"/>
      <c r="M921" s="16"/>
      <c r="N921" s="16"/>
      <c r="O921" s="16"/>
      <c r="P921" s="16"/>
    </row>
    <row r="922" spans="10:16" x14ac:dyDescent="0.2">
      <c r="J922" s="16"/>
      <c r="K922" s="16"/>
      <c r="L922" s="16"/>
      <c r="M922" s="16"/>
      <c r="N922" s="16"/>
      <c r="O922" s="16"/>
      <c r="P922" s="16"/>
    </row>
    <row r="923" spans="10:16" x14ac:dyDescent="0.2">
      <c r="J923" s="16"/>
      <c r="K923" s="16"/>
      <c r="L923" s="16"/>
      <c r="M923" s="16"/>
      <c r="N923" s="16"/>
      <c r="O923" s="16"/>
      <c r="P923" s="16"/>
    </row>
    <row r="924" spans="10:16" x14ac:dyDescent="0.2">
      <c r="J924" s="16"/>
      <c r="K924" s="16"/>
      <c r="L924" s="16"/>
      <c r="M924" s="16"/>
      <c r="N924" s="16"/>
      <c r="O924" s="16"/>
      <c r="P924" s="16"/>
    </row>
    <row r="925" spans="10:16" x14ac:dyDescent="0.2">
      <c r="J925" s="16"/>
      <c r="K925" s="16"/>
      <c r="L925" s="16"/>
      <c r="M925" s="16"/>
      <c r="N925" s="16"/>
      <c r="O925" s="16"/>
      <c r="P925" s="16"/>
    </row>
    <row r="926" spans="10:16" x14ac:dyDescent="0.2">
      <c r="J926" s="16"/>
      <c r="K926" s="16"/>
      <c r="L926" s="16"/>
      <c r="M926" s="16"/>
      <c r="N926" s="16"/>
      <c r="O926" s="16"/>
      <c r="P926" s="16"/>
    </row>
    <row r="927" spans="10:16" x14ac:dyDescent="0.2">
      <c r="J927" s="16"/>
      <c r="K927" s="16"/>
      <c r="L927" s="16"/>
      <c r="M927" s="16"/>
      <c r="N927" s="16"/>
      <c r="O927" s="16"/>
      <c r="P927" s="16"/>
    </row>
    <row r="928" spans="10:16" x14ac:dyDescent="0.2">
      <c r="J928" s="16"/>
      <c r="K928" s="16"/>
      <c r="L928" s="16"/>
      <c r="M928" s="16"/>
      <c r="N928" s="16"/>
      <c r="O928" s="16"/>
      <c r="P928" s="16"/>
    </row>
    <row r="929" spans="10:16" x14ac:dyDescent="0.2">
      <c r="J929" s="16"/>
      <c r="K929" s="16"/>
      <c r="L929" s="16"/>
      <c r="M929" s="16"/>
      <c r="N929" s="16"/>
      <c r="O929" s="16"/>
      <c r="P929" s="16"/>
    </row>
    <row r="930" spans="10:16" x14ac:dyDescent="0.2">
      <c r="J930" s="16"/>
      <c r="K930" s="16"/>
      <c r="L930" s="16"/>
      <c r="M930" s="16"/>
      <c r="N930" s="16"/>
      <c r="O930" s="16"/>
      <c r="P930" s="16"/>
    </row>
    <row r="931" spans="10:16" x14ac:dyDescent="0.2">
      <c r="J931" s="16"/>
      <c r="K931" s="16"/>
      <c r="L931" s="16"/>
      <c r="M931" s="16"/>
      <c r="N931" s="16"/>
      <c r="O931" s="16"/>
      <c r="P931" s="16"/>
    </row>
    <row r="932" spans="10:16" x14ac:dyDescent="0.2">
      <c r="J932" s="16"/>
      <c r="K932" s="16"/>
      <c r="L932" s="16"/>
      <c r="M932" s="16"/>
      <c r="N932" s="16"/>
      <c r="O932" s="16"/>
      <c r="P932" s="16"/>
    </row>
    <row r="933" spans="10:16" x14ac:dyDescent="0.2">
      <c r="J933" s="16"/>
      <c r="K933" s="16"/>
      <c r="L933" s="16"/>
      <c r="M933" s="16"/>
      <c r="N933" s="16"/>
      <c r="O933" s="16"/>
      <c r="P933" s="16"/>
    </row>
    <row r="934" spans="10:16" x14ac:dyDescent="0.2">
      <c r="J934" s="16"/>
      <c r="K934" s="16"/>
      <c r="L934" s="16"/>
      <c r="M934" s="16"/>
      <c r="N934" s="16"/>
      <c r="O934" s="16"/>
      <c r="P934" s="16"/>
    </row>
    <row r="935" spans="10:16" x14ac:dyDescent="0.2">
      <c r="J935" s="16"/>
      <c r="K935" s="16"/>
      <c r="L935" s="16"/>
      <c r="M935" s="16"/>
      <c r="N935" s="16"/>
      <c r="O935" s="16"/>
      <c r="P935" s="16"/>
    </row>
    <row r="936" spans="10:16" x14ac:dyDescent="0.2">
      <c r="J936" s="16"/>
      <c r="K936" s="16"/>
      <c r="L936" s="16"/>
      <c r="M936" s="16"/>
      <c r="N936" s="16"/>
      <c r="O936" s="16"/>
      <c r="P936" s="16"/>
    </row>
    <row r="937" spans="10:16" x14ac:dyDescent="0.2">
      <c r="J937" s="16"/>
      <c r="K937" s="16"/>
      <c r="L937" s="16"/>
      <c r="M937" s="16"/>
      <c r="N937" s="16"/>
      <c r="O937" s="16"/>
      <c r="P937" s="16"/>
    </row>
    <row r="938" spans="10:16" x14ac:dyDescent="0.2">
      <c r="J938" s="16"/>
      <c r="K938" s="16"/>
      <c r="L938" s="16"/>
      <c r="M938" s="16"/>
      <c r="N938" s="16"/>
      <c r="O938" s="16"/>
      <c r="P938" s="16"/>
    </row>
    <row r="939" spans="10:16" x14ac:dyDescent="0.2">
      <c r="J939" s="16"/>
      <c r="K939" s="16"/>
      <c r="L939" s="16"/>
      <c r="M939" s="16"/>
      <c r="N939" s="16"/>
      <c r="O939" s="16"/>
      <c r="P939" s="16"/>
    </row>
    <row r="940" spans="10:16" x14ac:dyDescent="0.2">
      <c r="J940" s="16"/>
      <c r="K940" s="16"/>
      <c r="L940" s="16"/>
      <c r="M940" s="16"/>
      <c r="N940" s="16"/>
      <c r="O940" s="16"/>
      <c r="P940" s="16"/>
    </row>
    <row r="941" spans="10:16" x14ac:dyDescent="0.2">
      <c r="J941" s="16"/>
      <c r="K941" s="16"/>
      <c r="L941" s="16"/>
      <c r="M941" s="16"/>
      <c r="N941" s="16"/>
      <c r="O941" s="16"/>
      <c r="P941" s="16"/>
    </row>
    <row r="942" spans="10:16" x14ac:dyDescent="0.2">
      <c r="J942" s="16"/>
      <c r="K942" s="16"/>
      <c r="L942" s="16"/>
      <c r="M942" s="16"/>
      <c r="N942" s="16"/>
      <c r="O942" s="16"/>
      <c r="P942" s="16"/>
    </row>
    <row r="943" spans="10:16" x14ac:dyDescent="0.2">
      <c r="J943" s="16"/>
      <c r="K943" s="16"/>
      <c r="L943" s="16"/>
      <c r="M943" s="16"/>
      <c r="N943" s="16"/>
      <c r="O943" s="16"/>
      <c r="P943" s="16"/>
    </row>
    <row r="944" spans="10:16" x14ac:dyDescent="0.2">
      <c r="J944" s="16"/>
      <c r="K944" s="16"/>
      <c r="L944" s="16"/>
      <c r="M944" s="16"/>
      <c r="N944" s="16"/>
      <c r="O944" s="16"/>
      <c r="P944" s="16"/>
    </row>
    <row r="945" spans="10:16" x14ac:dyDescent="0.2">
      <c r="J945" s="16"/>
      <c r="K945" s="16"/>
      <c r="L945" s="16"/>
      <c r="M945" s="16"/>
      <c r="N945" s="16"/>
      <c r="O945" s="16"/>
      <c r="P945" s="16"/>
    </row>
    <row r="946" spans="10:16" x14ac:dyDescent="0.2">
      <c r="J946" s="16"/>
      <c r="K946" s="16"/>
      <c r="L946" s="16"/>
      <c r="M946" s="16"/>
      <c r="N946" s="16"/>
      <c r="O946" s="16"/>
      <c r="P946" s="16"/>
    </row>
    <row r="947" spans="10:16" x14ac:dyDescent="0.2">
      <c r="J947" s="16"/>
      <c r="K947" s="16"/>
      <c r="L947" s="16"/>
      <c r="M947" s="16"/>
      <c r="N947" s="16"/>
      <c r="O947" s="16"/>
      <c r="P947" s="16"/>
    </row>
    <row r="948" spans="10:16" x14ac:dyDescent="0.2">
      <c r="J948" s="16"/>
      <c r="K948" s="16"/>
      <c r="L948" s="16"/>
      <c r="M948" s="16"/>
      <c r="N948" s="16"/>
      <c r="O948" s="16"/>
      <c r="P948" s="16"/>
    </row>
    <row r="949" spans="10:16" x14ac:dyDescent="0.2">
      <c r="J949" s="16"/>
      <c r="K949" s="16"/>
      <c r="L949" s="16"/>
      <c r="M949" s="16"/>
      <c r="N949" s="16"/>
      <c r="O949" s="16"/>
      <c r="P949" s="16"/>
    </row>
    <row r="950" spans="10:16" x14ac:dyDescent="0.2">
      <c r="J950" s="16"/>
      <c r="K950" s="16"/>
      <c r="L950" s="16"/>
      <c r="M950" s="16"/>
      <c r="N950" s="16"/>
      <c r="O950" s="16"/>
      <c r="P950" s="16"/>
    </row>
    <row r="951" spans="10:16" x14ac:dyDescent="0.2">
      <c r="J951" s="16"/>
      <c r="K951" s="16"/>
      <c r="L951" s="16"/>
      <c r="M951" s="16"/>
      <c r="N951" s="16"/>
      <c r="O951" s="16"/>
      <c r="P951" s="16"/>
    </row>
    <row r="952" spans="10:16" x14ac:dyDescent="0.2">
      <c r="J952" s="16"/>
      <c r="K952" s="16"/>
      <c r="L952" s="16"/>
      <c r="M952" s="16"/>
      <c r="N952" s="16"/>
      <c r="O952" s="16"/>
      <c r="P952" s="16"/>
    </row>
    <row r="953" spans="10:16" x14ac:dyDescent="0.2">
      <c r="J953" s="16"/>
      <c r="K953" s="16"/>
      <c r="L953" s="16"/>
      <c r="M953" s="16"/>
      <c r="N953" s="16"/>
      <c r="O953" s="16"/>
      <c r="P953" s="16"/>
    </row>
    <row r="954" spans="10:16" x14ac:dyDescent="0.2">
      <c r="J954" s="16"/>
      <c r="K954" s="16"/>
      <c r="L954" s="16"/>
      <c r="M954" s="16"/>
      <c r="N954" s="16"/>
      <c r="O954" s="16"/>
      <c r="P954" s="16"/>
    </row>
    <row r="955" spans="10:16" x14ac:dyDescent="0.2">
      <c r="J955" s="16"/>
      <c r="K955" s="16"/>
      <c r="L955" s="16"/>
      <c r="M955" s="16"/>
      <c r="N955" s="16"/>
      <c r="O955" s="16"/>
      <c r="P955" s="16"/>
    </row>
    <row r="956" spans="10:16" x14ac:dyDescent="0.2">
      <c r="J956" s="16"/>
      <c r="K956" s="16"/>
      <c r="L956" s="16"/>
      <c r="M956" s="16"/>
      <c r="N956" s="16"/>
      <c r="O956" s="16"/>
      <c r="P956" s="16"/>
    </row>
    <row r="957" spans="10:16" x14ac:dyDescent="0.2">
      <c r="J957" s="16"/>
      <c r="K957" s="16"/>
      <c r="L957" s="16"/>
      <c r="M957" s="16"/>
      <c r="N957" s="16"/>
      <c r="O957" s="16"/>
      <c r="P957" s="16"/>
    </row>
    <row r="958" spans="10:16" x14ac:dyDescent="0.2">
      <c r="J958" s="16"/>
      <c r="K958" s="16"/>
      <c r="L958" s="16"/>
      <c r="M958" s="16"/>
      <c r="N958" s="16"/>
      <c r="O958" s="16"/>
      <c r="P958" s="16"/>
    </row>
    <row r="959" spans="10:16" x14ac:dyDescent="0.2">
      <c r="J959" s="16"/>
      <c r="K959" s="16"/>
      <c r="L959" s="16"/>
      <c r="M959" s="16"/>
      <c r="N959" s="16"/>
      <c r="O959" s="16"/>
      <c r="P959" s="16"/>
    </row>
    <row r="960" spans="10:16" x14ac:dyDescent="0.2">
      <c r="J960" s="16"/>
      <c r="K960" s="16"/>
      <c r="L960" s="16"/>
      <c r="M960" s="16"/>
      <c r="N960" s="16"/>
      <c r="O960" s="16"/>
      <c r="P960" s="16"/>
    </row>
    <row r="961" spans="10:16" x14ac:dyDescent="0.2">
      <c r="J961" s="16"/>
      <c r="K961" s="16"/>
      <c r="L961" s="16"/>
      <c r="M961" s="16"/>
      <c r="N961" s="16"/>
      <c r="O961" s="16"/>
      <c r="P961" s="16"/>
    </row>
    <row r="962" spans="10:16" x14ac:dyDescent="0.2">
      <c r="J962" s="16"/>
      <c r="K962" s="16"/>
      <c r="L962" s="16"/>
      <c r="M962" s="16"/>
      <c r="N962" s="16"/>
      <c r="O962" s="16"/>
      <c r="P962" s="16"/>
    </row>
    <row r="963" spans="10:16" x14ac:dyDescent="0.2">
      <c r="J963" s="16"/>
      <c r="K963" s="16"/>
      <c r="L963" s="16"/>
      <c r="M963" s="16"/>
      <c r="N963" s="16"/>
      <c r="O963" s="16"/>
      <c r="P963" s="16"/>
    </row>
    <row r="964" spans="10:16" x14ac:dyDescent="0.2">
      <c r="J964" s="16"/>
      <c r="K964" s="16"/>
      <c r="L964" s="16"/>
      <c r="M964" s="16"/>
      <c r="N964" s="16"/>
      <c r="O964" s="16"/>
      <c r="P964" s="16"/>
    </row>
    <row r="965" spans="10:16" x14ac:dyDescent="0.2">
      <c r="J965" s="16"/>
      <c r="K965" s="16"/>
      <c r="L965" s="16"/>
      <c r="M965" s="16"/>
      <c r="N965" s="16"/>
      <c r="O965" s="16"/>
      <c r="P965" s="16"/>
    </row>
    <row r="966" spans="10:16" x14ac:dyDescent="0.2">
      <c r="J966" s="16"/>
      <c r="K966" s="16"/>
      <c r="L966" s="16"/>
      <c r="M966" s="16"/>
      <c r="N966" s="16"/>
      <c r="O966" s="16"/>
      <c r="P966" s="16"/>
    </row>
    <row r="967" spans="10:16" x14ac:dyDescent="0.2">
      <c r="J967" s="16"/>
      <c r="K967" s="16"/>
      <c r="L967" s="16"/>
      <c r="M967" s="16"/>
      <c r="N967" s="16"/>
      <c r="O967" s="16"/>
      <c r="P967" s="16"/>
    </row>
    <row r="968" spans="10:16" x14ac:dyDescent="0.2">
      <c r="J968" s="16"/>
      <c r="K968" s="16"/>
      <c r="L968" s="16"/>
      <c r="M968" s="16"/>
      <c r="N968" s="16"/>
      <c r="O968" s="16"/>
      <c r="P968" s="16"/>
    </row>
    <row r="969" spans="10:16" x14ac:dyDescent="0.2">
      <c r="J969" s="16"/>
      <c r="K969" s="16"/>
      <c r="L969" s="16"/>
      <c r="M969" s="16"/>
      <c r="N969" s="16"/>
      <c r="O969" s="16"/>
      <c r="P969" s="16"/>
    </row>
    <row r="970" spans="10:16" x14ac:dyDescent="0.2">
      <c r="J970" s="16"/>
      <c r="K970" s="16"/>
      <c r="L970" s="16"/>
      <c r="M970" s="16"/>
      <c r="N970" s="16"/>
      <c r="O970" s="16"/>
      <c r="P970" s="16"/>
    </row>
    <row r="971" spans="10:16" x14ac:dyDescent="0.2">
      <c r="J971" s="16"/>
      <c r="K971" s="16"/>
      <c r="L971" s="16"/>
      <c r="M971" s="16"/>
      <c r="N971" s="16"/>
      <c r="O971" s="16"/>
      <c r="P971" s="16"/>
    </row>
    <row r="972" spans="10:16" x14ac:dyDescent="0.2">
      <c r="J972" s="16"/>
      <c r="K972" s="16"/>
      <c r="L972" s="16"/>
      <c r="M972" s="16"/>
      <c r="N972" s="16"/>
      <c r="O972" s="16"/>
      <c r="P972" s="16"/>
    </row>
    <row r="973" spans="10:16" x14ac:dyDescent="0.2">
      <c r="J973" s="16"/>
      <c r="K973" s="16"/>
      <c r="L973" s="16"/>
      <c r="M973" s="16"/>
      <c r="N973" s="16"/>
      <c r="O973" s="16"/>
      <c r="P973" s="16"/>
    </row>
    <row r="974" spans="10:16" x14ac:dyDescent="0.2">
      <c r="J974" s="16"/>
      <c r="K974" s="16"/>
      <c r="L974" s="16"/>
      <c r="M974" s="16"/>
      <c r="N974" s="16"/>
      <c r="O974" s="16"/>
      <c r="P974" s="16"/>
    </row>
    <row r="975" spans="10:16" x14ac:dyDescent="0.2">
      <c r="J975" s="16"/>
      <c r="K975" s="16"/>
      <c r="L975" s="16"/>
      <c r="M975" s="16"/>
      <c r="N975" s="16"/>
      <c r="O975" s="16"/>
      <c r="P975" s="16"/>
    </row>
    <row r="976" spans="10:16" x14ac:dyDescent="0.2">
      <c r="J976" s="16"/>
      <c r="K976" s="16"/>
      <c r="L976" s="16"/>
      <c r="M976" s="16"/>
      <c r="N976" s="16"/>
      <c r="O976" s="16"/>
      <c r="P976" s="16"/>
    </row>
    <row r="977" spans="10:16" x14ac:dyDescent="0.2">
      <c r="J977" s="16"/>
      <c r="K977" s="16"/>
      <c r="L977" s="16"/>
      <c r="M977" s="16"/>
      <c r="N977" s="16"/>
      <c r="O977" s="16"/>
      <c r="P977" s="16"/>
    </row>
    <row r="978" spans="10:16" x14ac:dyDescent="0.2">
      <c r="J978" s="16"/>
      <c r="K978" s="16"/>
      <c r="L978" s="16"/>
      <c r="M978" s="16"/>
      <c r="N978" s="16"/>
      <c r="O978" s="16"/>
      <c r="P978" s="16"/>
    </row>
    <row r="979" spans="10:16" x14ac:dyDescent="0.2">
      <c r="J979" s="16"/>
      <c r="K979" s="16"/>
      <c r="L979" s="16"/>
      <c r="M979" s="16"/>
      <c r="N979" s="16"/>
      <c r="O979" s="16"/>
      <c r="P979" s="16"/>
    </row>
    <row r="980" spans="10:16" x14ac:dyDescent="0.2">
      <c r="J980" s="16"/>
      <c r="K980" s="16"/>
      <c r="L980" s="16"/>
      <c r="M980" s="16"/>
      <c r="N980" s="16"/>
      <c r="O980" s="16"/>
      <c r="P980" s="16"/>
    </row>
    <row r="981" spans="10:16" x14ac:dyDescent="0.2">
      <c r="J981" s="16"/>
      <c r="K981" s="16"/>
      <c r="L981" s="16"/>
      <c r="M981" s="16"/>
      <c r="N981" s="16"/>
      <c r="O981" s="16"/>
      <c r="P981" s="16"/>
    </row>
    <row r="982" spans="10:16" x14ac:dyDescent="0.2">
      <c r="J982" s="16"/>
      <c r="K982" s="16"/>
      <c r="L982" s="16"/>
      <c r="M982" s="16"/>
      <c r="N982" s="16"/>
      <c r="O982" s="16"/>
      <c r="P982" s="16"/>
    </row>
    <row r="983" spans="10:16" x14ac:dyDescent="0.2">
      <c r="J983" s="16"/>
      <c r="K983" s="16"/>
      <c r="L983" s="16"/>
      <c r="M983" s="16"/>
      <c r="N983" s="16"/>
      <c r="O983" s="16"/>
      <c r="P983" s="16"/>
    </row>
    <row r="984" spans="10:16" x14ac:dyDescent="0.2">
      <c r="J984" s="16"/>
      <c r="K984" s="16"/>
      <c r="L984" s="16"/>
      <c r="M984" s="16"/>
      <c r="N984" s="16"/>
      <c r="O984" s="16"/>
      <c r="P984" s="16"/>
    </row>
    <row r="985" spans="10:16" x14ac:dyDescent="0.2">
      <c r="J985" s="16"/>
      <c r="K985" s="16"/>
      <c r="L985" s="16"/>
      <c r="M985" s="16"/>
      <c r="N985" s="16"/>
      <c r="O985" s="16"/>
      <c r="P985" s="16"/>
    </row>
    <row r="986" spans="10:16" x14ac:dyDescent="0.2">
      <c r="J986" s="16"/>
      <c r="K986" s="16"/>
      <c r="L986" s="16"/>
      <c r="M986" s="16"/>
      <c r="N986" s="16"/>
      <c r="O986" s="16"/>
      <c r="P986" s="16"/>
    </row>
    <row r="987" spans="10:16" x14ac:dyDescent="0.2">
      <c r="J987" s="16"/>
      <c r="K987" s="16"/>
      <c r="L987" s="16"/>
      <c r="M987" s="16"/>
      <c r="N987" s="16"/>
      <c r="O987" s="16"/>
      <c r="P987" s="16"/>
    </row>
    <row r="988" spans="10:16" x14ac:dyDescent="0.2">
      <c r="J988" s="16"/>
      <c r="K988" s="16"/>
      <c r="L988" s="16"/>
      <c r="M988" s="16"/>
      <c r="N988" s="16"/>
      <c r="O988" s="16"/>
      <c r="P988" s="16"/>
    </row>
    <row r="989" spans="10:16" x14ac:dyDescent="0.2">
      <c r="J989" s="16"/>
      <c r="K989" s="16"/>
      <c r="L989" s="16"/>
      <c r="M989" s="16"/>
      <c r="N989" s="16"/>
      <c r="O989" s="16"/>
      <c r="P989" s="16"/>
    </row>
    <row r="990" spans="10:16" x14ac:dyDescent="0.2">
      <c r="J990" s="16"/>
      <c r="K990" s="16"/>
      <c r="L990" s="16"/>
      <c r="M990" s="16"/>
      <c r="N990" s="16"/>
      <c r="O990" s="16"/>
      <c r="P990" s="16"/>
    </row>
    <row r="991" spans="10:16" x14ac:dyDescent="0.2">
      <c r="J991" s="16"/>
      <c r="K991" s="16"/>
      <c r="L991" s="16"/>
      <c r="M991" s="16"/>
      <c r="N991" s="16"/>
      <c r="O991" s="16"/>
      <c r="P991" s="16"/>
    </row>
    <row r="992" spans="10:16" x14ac:dyDescent="0.2">
      <c r="J992" s="16"/>
      <c r="K992" s="16"/>
      <c r="L992" s="16"/>
      <c r="M992" s="16"/>
      <c r="N992" s="16"/>
      <c r="O992" s="16"/>
      <c r="P992" s="16"/>
    </row>
    <row r="993" spans="10:16" x14ac:dyDescent="0.2">
      <c r="J993" s="16"/>
      <c r="K993" s="16"/>
      <c r="L993" s="16"/>
      <c r="M993" s="16"/>
      <c r="N993" s="16"/>
      <c r="O993" s="16"/>
      <c r="P993" s="16"/>
    </row>
    <row r="994" spans="10:16" x14ac:dyDescent="0.2">
      <c r="J994" s="16"/>
      <c r="K994" s="16"/>
      <c r="L994" s="16"/>
      <c r="M994" s="16"/>
      <c r="N994" s="16"/>
      <c r="O994" s="16"/>
      <c r="P994" s="16"/>
    </row>
    <row r="995" spans="10:16" x14ac:dyDescent="0.2">
      <c r="J995" s="16"/>
      <c r="K995" s="16"/>
      <c r="L995" s="16"/>
      <c r="M995" s="16"/>
      <c r="N995" s="16"/>
      <c r="O995" s="16"/>
      <c r="P995" s="16"/>
    </row>
    <row r="996" spans="10:16" x14ac:dyDescent="0.2">
      <c r="J996" s="16"/>
      <c r="K996" s="16"/>
      <c r="L996" s="16"/>
      <c r="M996" s="16"/>
      <c r="N996" s="16"/>
      <c r="O996" s="16"/>
      <c r="P996" s="16"/>
    </row>
    <row r="997" spans="10:16" x14ac:dyDescent="0.2">
      <c r="J997" s="16"/>
      <c r="K997" s="16"/>
      <c r="L997" s="16"/>
      <c r="M997" s="16"/>
      <c r="N997" s="16"/>
      <c r="O997" s="16"/>
      <c r="P997" s="16"/>
    </row>
    <row r="998" spans="10:16" x14ac:dyDescent="0.2">
      <c r="J998" s="16"/>
      <c r="K998" s="16"/>
      <c r="L998" s="16"/>
      <c r="M998" s="16"/>
      <c r="N998" s="16"/>
      <c r="O998" s="16"/>
      <c r="P998" s="16"/>
    </row>
    <row r="999" spans="10:16" x14ac:dyDescent="0.2">
      <c r="J999" s="16"/>
      <c r="K999" s="16"/>
      <c r="L999" s="16"/>
      <c r="M999" s="16"/>
      <c r="N999" s="16"/>
      <c r="O999" s="16"/>
      <c r="P999" s="16"/>
    </row>
    <row r="1000" spans="10:16" x14ac:dyDescent="0.2">
      <c r="J1000" s="16"/>
      <c r="K1000" s="16"/>
      <c r="L1000" s="16"/>
      <c r="M1000" s="16"/>
      <c r="N1000" s="16"/>
      <c r="O1000" s="16"/>
      <c r="P1000" s="16"/>
    </row>
    <row r="1001" spans="10:16" x14ac:dyDescent="0.2">
      <c r="J1001" s="16"/>
      <c r="K1001" s="16"/>
      <c r="L1001" s="16"/>
      <c r="M1001" s="16"/>
      <c r="N1001" s="16"/>
      <c r="O1001" s="16"/>
      <c r="P1001" s="16"/>
    </row>
    <row r="1002" spans="10:16" x14ac:dyDescent="0.2">
      <c r="J1002" s="16"/>
      <c r="K1002" s="16"/>
      <c r="L1002" s="16"/>
      <c r="M1002" s="16"/>
      <c r="N1002" s="16"/>
      <c r="O1002" s="16"/>
      <c r="P1002" s="16"/>
    </row>
    <row r="1003" spans="10:16" x14ac:dyDescent="0.2">
      <c r="J1003" s="16"/>
      <c r="K1003" s="16"/>
      <c r="L1003" s="16"/>
      <c r="M1003" s="16"/>
      <c r="N1003" s="16"/>
      <c r="O1003" s="16"/>
      <c r="P1003" s="16"/>
    </row>
    <row r="1004" spans="10:16" x14ac:dyDescent="0.2">
      <c r="J1004" s="16"/>
      <c r="K1004" s="16"/>
      <c r="L1004" s="16"/>
      <c r="M1004" s="16"/>
      <c r="N1004" s="16"/>
      <c r="O1004" s="16"/>
      <c r="P1004" s="16"/>
    </row>
    <row r="1005" spans="10:16" x14ac:dyDescent="0.2">
      <c r="J1005" s="16"/>
      <c r="K1005" s="16"/>
      <c r="L1005" s="16"/>
      <c r="M1005" s="16"/>
      <c r="N1005" s="16"/>
      <c r="O1005" s="16"/>
      <c r="P1005" s="16"/>
    </row>
    <row r="1006" spans="10:16" x14ac:dyDescent="0.2">
      <c r="J1006" s="16"/>
      <c r="K1006" s="16"/>
      <c r="L1006" s="16"/>
      <c r="M1006" s="16"/>
      <c r="N1006" s="16"/>
      <c r="O1006" s="16"/>
      <c r="P1006" s="16"/>
    </row>
    <row r="1007" spans="10:16" x14ac:dyDescent="0.2">
      <c r="J1007" s="16"/>
      <c r="K1007" s="16"/>
      <c r="L1007" s="16"/>
      <c r="M1007" s="16"/>
      <c r="N1007" s="16"/>
      <c r="O1007" s="16"/>
      <c r="P1007" s="16"/>
    </row>
    <row r="1008" spans="10:16" x14ac:dyDescent="0.2">
      <c r="J1008" s="16"/>
      <c r="K1008" s="16"/>
      <c r="L1008" s="16"/>
      <c r="M1008" s="16"/>
      <c r="N1008" s="16"/>
      <c r="O1008" s="16"/>
      <c r="P1008" s="16"/>
    </row>
    <row r="1009" spans="10:16" x14ac:dyDescent="0.2">
      <c r="J1009" s="16"/>
      <c r="K1009" s="16"/>
      <c r="L1009" s="16"/>
      <c r="M1009" s="16"/>
      <c r="N1009" s="16"/>
      <c r="O1009" s="16"/>
      <c r="P1009" s="16"/>
    </row>
    <row r="1010" spans="10:16" x14ac:dyDescent="0.2">
      <c r="J1010" s="16"/>
      <c r="K1010" s="16"/>
      <c r="L1010" s="16"/>
      <c r="M1010" s="16"/>
      <c r="N1010" s="16"/>
      <c r="O1010" s="16"/>
      <c r="P1010" s="16"/>
    </row>
    <row r="1011" spans="10:16" x14ac:dyDescent="0.2">
      <c r="J1011" s="16"/>
      <c r="K1011" s="16"/>
      <c r="L1011" s="16"/>
      <c r="M1011" s="16"/>
      <c r="N1011" s="16"/>
      <c r="O1011" s="16"/>
      <c r="P1011" s="16"/>
    </row>
    <row r="1012" spans="10:16" x14ac:dyDescent="0.2">
      <c r="J1012" s="16"/>
      <c r="K1012" s="16"/>
      <c r="L1012" s="16"/>
      <c r="M1012" s="16"/>
      <c r="N1012" s="16"/>
      <c r="O1012" s="16"/>
      <c r="P1012" s="16"/>
    </row>
    <row r="1013" spans="10:16" x14ac:dyDescent="0.2">
      <c r="J1013" s="16"/>
      <c r="K1013" s="16"/>
      <c r="L1013" s="16"/>
      <c r="M1013" s="16"/>
      <c r="N1013" s="16"/>
      <c r="O1013" s="16"/>
      <c r="P1013" s="16"/>
    </row>
    <row r="1014" spans="10:16" x14ac:dyDescent="0.2">
      <c r="J1014" s="16"/>
      <c r="K1014" s="16"/>
      <c r="L1014" s="16"/>
      <c r="M1014" s="16"/>
      <c r="N1014" s="16"/>
      <c r="O1014" s="16"/>
      <c r="P1014" s="16"/>
    </row>
    <row r="1015" spans="10:16" x14ac:dyDescent="0.2">
      <c r="J1015" s="16"/>
      <c r="K1015" s="16"/>
      <c r="L1015" s="16"/>
      <c r="M1015" s="16"/>
      <c r="N1015" s="16"/>
      <c r="O1015" s="16"/>
      <c r="P1015" s="16"/>
    </row>
    <row r="1016" spans="10:16" x14ac:dyDescent="0.2">
      <c r="J1016" s="16"/>
      <c r="K1016" s="16"/>
      <c r="L1016" s="16"/>
      <c r="M1016" s="16"/>
      <c r="N1016" s="16"/>
      <c r="O1016" s="16"/>
      <c r="P1016" s="16"/>
    </row>
    <row r="1017" spans="10:16" x14ac:dyDescent="0.2">
      <c r="J1017" s="16"/>
      <c r="K1017" s="16"/>
      <c r="L1017" s="16"/>
      <c r="M1017" s="16"/>
      <c r="N1017" s="16"/>
      <c r="O1017" s="16"/>
      <c r="P1017" s="16"/>
    </row>
    <row r="1018" spans="10:16" x14ac:dyDescent="0.2">
      <c r="J1018" s="16"/>
      <c r="K1018" s="16"/>
      <c r="L1018" s="16"/>
      <c r="M1018" s="16"/>
      <c r="N1018" s="16"/>
      <c r="O1018" s="16"/>
      <c r="P1018" s="16"/>
    </row>
    <row r="1019" spans="10:16" x14ac:dyDescent="0.2">
      <c r="J1019" s="16"/>
      <c r="K1019" s="16"/>
      <c r="L1019" s="16"/>
      <c r="M1019" s="16"/>
      <c r="N1019" s="16"/>
      <c r="O1019" s="16"/>
      <c r="P1019" s="16"/>
    </row>
    <row r="1020" spans="10:16" x14ac:dyDescent="0.2">
      <c r="J1020" s="16"/>
      <c r="K1020" s="16"/>
      <c r="L1020" s="16"/>
      <c r="M1020" s="16"/>
      <c r="N1020" s="16"/>
      <c r="O1020" s="16"/>
      <c r="P1020" s="16"/>
    </row>
    <row r="1021" spans="10:16" x14ac:dyDescent="0.2">
      <c r="J1021" s="16"/>
      <c r="K1021" s="16"/>
      <c r="L1021" s="16"/>
      <c r="M1021" s="16"/>
      <c r="N1021" s="16"/>
      <c r="O1021" s="16"/>
      <c r="P1021" s="16"/>
    </row>
    <row r="1022" spans="10:16" x14ac:dyDescent="0.2">
      <c r="J1022" s="16"/>
      <c r="K1022" s="16"/>
      <c r="L1022" s="16"/>
      <c r="M1022" s="16"/>
      <c r="N1022" s="16"/>
      <c r="O1022" s="16"/>
      <c r="P1022" s="16"/>
    </row>
    <row r="1023" spans="10:16" x14ac:dyDescent="0.2">
      <c r="J1023" s="16"/>
      <c r="K1023" s="16"/>
      <c r="L1023" s="16"/>
      <c r="M1023" s="16"/>
      <c r="N1023" s="16"/>
      <c r="O1023" s="16"/>
      <c r="P1023" s="16"/>
    </row>
    <row r="1024" spans="10:16" x14ac:dyDescent="0.2">
      <c r="J1024" s="16"/>
      <c r="K1024" s="16"/>
      <c r="L1024" s="16"/>
      <c r="M1024" s="16"/>
      <c r="N1024" s="16"/>
      <c r="O1024" s="16"/>
      <c r="P1024" s="16"/>
    </row>
    <row r="1025" spans="10:16" x14ac:dyDescent="0.2">
      <c r="J1025" s="16"/>
      <c r="K1025" s="16"/>
      <c r="L1025" s="16"/>
      <c r="M1025" s="16"/>
      <c r="N1025" s="16"/>
      <c r="O1025" s="16"/>
      <c r="P1025" s="16"/>
    </row>
    <row r="1026" spans="10:16" x14ac:dyDescent="0.2">
      <c r="J1026" s="16"/>
      <c r="K1026" s="16"/>
      <c r="L1026" s="16"/>
      <c r="M1026" s="16"/>
      <c r="N1026" s="16"/>
      <c r="O1026" s="16"/>
      <c r="P1026" s="16"/>
    </row>
    <row r="1027" spans="10:16" x14ac:dyDescent="0.2">
      <c r="J1027" s="16"/>
      <c r="K1027" s="16"/>
      <c r="L1027" s="16"/>
      <c r="M1027" s="16"/>
      <c r="N1027" s="16"/>
      <c r="O1027" s="16"/>
      <c r="P1027" s="16"/>
    </row>
    <row r="1028" spans="10:16" x14ac:dyDescent="0.2">
      <c r="J1028" s="16"/>
      <c r="K1028" s="16"/>
      <c r="L1028" s="16"/>
      <c r="M1028" s="16"/>
      <c r="N1028" s="16"/>
      <c r="O1028" s="16"/>
      <c r="P1028" s="16"/>
    </row>
    <row r="1029" spans="10:16" x14ac:dyDescent="0.2">
      <c r="J1029" s="16"/>
      <c r="K1029" s="16"/>
      <c r="L1029" s="16"/>
      <c r="M1029" s="16"/>
      <c r="N1029" s="16"/>
      <c r="O1029" s="16"/>
      <c r="P1029" s="16"/>
    </row>
    <row r="1030" spans="10:16" x14ac:dyDescent="0.2">
      <c r="J1030" s="16"/>
      <c r="K1030" s="16"/>
      <c r="L1030" s="16"/>
      <c r="M1030" s="16"/>
      <c r="N1030" s="16"/>
      <c r="O1030" s="16"/>
      <c r="P1030" s="16"/>
    </row>
    <row r="1031" spans="10:16" x14ac:dyDescent="0.2">
      <c r="J1031" s="16"/>
      <c r="K1031" s="16"/>
      <c r="L1031" s="16"/>
      <c r="M1031" s="16"/>
      <c r="N1031" s="16"/>
      <c r="O1031" s="16"/>
      <c r="P1031" s="16"/>
    </row>
    <row r="1032" spans="10:16" x14ac:dyDescent="0.2">
      <c r="J1032" s="16"/>
      <c r="K1032" s="16"/>
      <c r="L1032" s="16"/>
      <c r="M1032" s="16"/>
      <c r="N1032" s="16"/>
      <c r="O1032" s="16"/>
      <c r="P1032" s="16"/>
    </row>
    <row r="1033" spans="10:16" x14ac:dyDescent="0.2">
      <c r="J1033" s="16"/>
      <c r="K1033" s="16"/>
      <c r="L1033" s="16"/>
      <c r="M1033" s="16"/>
      <c r="N1033" s="16"/>
      <c r="O1033" s="16"/>
      <c r="P1033" s="16"/>
    </row>
    <row r="1034" spans="10:16" x14ac:dyDescent="0.2">
      <c r="J1034" s="16"/>
      <c r="K1034" s="16"/>
      <c r="L1034" s="16"/>
      <c r="M1034" s="16"/>
      <c r="N1034" s="16"/>
      <c r="O1034" s="16"/>
      <c r="P1034" s="16"/>
    </row>
    <row r="1035" spans="10:16" x14ac:dyDescent="0.2">
      <c r="J1035" s="16"/>
      <c r="K1035" s="16"/>
      <c r="L1035" s="16"/>
      <c r="M1035" s="16"/>
      <c r="N1035" s="16"/>
      <c r="O1035" s="16"/>
      <c r="P1035" s="16"/>
    </row>
    <row r="1036" spans="10:16" x14ac:dyDescent="0.2">
      <c r="J1036" s="16"/>
      <c r="K1036" s="16"/>
      <c r="L1036" s="16"/>
      <c r="M1036" s="16"/>
      <c r="N1036" s="16"/>
      <c r="O1036" s="16"/>
      <c r="P1036" s="16"/>
    </row>
    <row r="1037" spans="10:16" x14ac:dyDescent="0.2">
      <c r="J1037" s="16"/>
      <c r="K1037" s="16"/>
      <c r="L1037" s="16"/>
      <c r="M1037" s="16"/>
      <c r="N1037" s="16"/>
      <c r="O1037" s="16"/>
      <c r="P1037" s="16"/>
    </row>
    <row r="1038" spans="10:16" x14ac:dyDescent="0.2">
      <c r="J1038" s="16"/>
      <c r="K1038" s="16"/>
      <c r="L1038" s="16"/>
      <c r="M1038" s="16"/>
      <c r="N1038" s="16"/>
      <c r="O1038" s="16"/>
      <c r="P1038" s="16"/>
    </row>
    <row r="1039" spans="10:16" x14ac:dyDescent="0.2">
      <c r="J1039" s="16"/>
      <c r="K1039" s="16"/>
      <c r="L1039" s="16"/>
      <c r="M1039" s="16"/>
      <c r="N1039" s="16"/>
      <c r="O1039" s="16"/>
      <c r="P1039" s="16"/>
    </row>
    <row r="1040" spans="10:16" x14ac:dyDescent="0.2">
      <c r="J1040" s="16"/>
      <c r="K1040" s="16"/>
      <c r="L1040" s="16"/>
      <c r="M1040" s="16"/>
      <c r="N1040" s="16"/>
      <c r="O1040" s="16"/>
      <c r="P1040" s="16"/>
    </row>
    <row r="1041" spans="10:16" x14ac:dyDescent="0.2">
      <c r="J1041" s="16"/>
      <c r="K1041" s="16"/>
      <c r="L1041" s="16"/>
      <c r="M1041" s="16"/>
      <c r="N1041" s="16"/>
      <c r="O1041" s="16"/>
      <c r="P1041" s="16"/>
    </row>
    <row r="1042" spans="10:16" x14ac:dyDescent="0.2">
      <c r="J1042" s="16"/>
      <c r="K1042" s="16"/>
      <c r="L1042" s="16"/>
      <c r="M1042" s="16"/>
      <c r="N1042" s="16"/>
      <c r="O1042" s="16"/>
      <c r="P1042" s="16"/>
    </row>
    <row r="1043" spans="10:16" x14ac:dyDescent="0.2">
      <c r="J1043" s="16"/>
      <c r="K1043" s="16"/>
      <c r="L1043" s="16"/>
      <c r="M1043" s="16"/>
      <c r="N1043" s="16"/>
      <c r="O1043" s="16"/>
      <c r="P1043" s="16"/>
    </row>
    <row r="1044" spans="10:16" x14ac:dyDescent="0.2">
      <c r="J1044" s="16"/>
      <c r="K1044" s="16"/>
      <c r="L1044" s="16"/>
      <c r="M1044" s="16"/>
      <c r="N1044" s="16"/>
      <c r="O1044" s="16"/>
      <c r="P1044" s="16"/>
    </row>
    <row r="1045" spans="10:16" x14ac:dyDescent="0.2">
      <c r="J1045" s="16"/>
      <c r="K1045" s="16"/>
      <c r="L1045" s="16"/>
      <c r="M1045" s="16"/>
      <c r="N1045" s="16"/>
      <c r="O1045" s="16"/>
      <c r="P1045" s="16"/>
    </row>
    <row r="1046" spans="10:16" x14ac:dyDescent="0.2">
      <c r="J1046" s="16"/>
      <c r="K1046" s="16"/>
      <c r="L1046" s="16"/>
      <c r="M1046" s="16"/>
      <c r="N1046" s="16"/>
      <c r="O1046" s="16"/>
      <c r="P1046" s="16"/>
    </row>
    <row r="1047" spans="10:16" x14ac:dyDescent="0.2">
      <c r="J1047" s="16"/>
      <c r="K1047" s="16"/>
      <c r="L1047" s="16"/>
      <c r="M1047" s="16"/>
      <c r="N1047" s="16"/>
      <c r="O1047" s="16"/>
      <c r="P1047" s="16"/>
    </row>
    <row r="1048" spans="10:16" x14ac:dyDescent="0.2">
      <c r="J1048" s="16"/>
      <c r="K1048" s="16"/>
      <c r="L1048" s="16"/>
      <c r="M1048" s="16"/>
      <c r="N1048" s="16"/>
      <c r="O1048" s="16"/>
      <c r="P1048" s="16"/>
    </row>
    <row r="1049" spans="10:16" x14ac:dyDescent="0.2">
      <c r="J1049" s="16"/>
      <c r="K1049" s="16"/>
      <c r="L1049" s="16"/>
      <c r="M1049" s="16"/>
      <c r="N1049" s="16"/>
      <c r="O1049" s="16"/>
      <c r="P1049" s="16"/>
    </row>
    <row r="1050" spans="10:16" x14ac:dyDescent="0.2">
      <c r="J1050" s="16"/>
      <c r="K1050" s="16"/>
      <c r="L1050" s="16"/>
      <c r="M1050" s="16"/>
      <c r="N1050" s="16"/>
      <c r="O1050" s="16"/>
      <c r="P1050" s="16"/>
    </row>
    <row r="1051" spans="10:16" x14ac:dyDescent="0.2">
      <c r="J1051" s="16"/>
      <c r="K1051" s="16"/>
      <c r="L1051" s="16"/>
      <c r="M1051" s="16"/>
      <c r="N1051" s="16"/>
      <c r="O1051" s="16"/>
      <c r="P1051" s="16"/>
    </row>
    <row r="1052" spans="10:16" x14ac:dyDescent="0.2">
      <c r="J1052" s="16"/>
      <c r="K1052" s="16"/>
      <c r="L1052" s="16"/>
      <c r="M1052" s="16"/>
      <c r="N1052" s="16"/>
      <c r="O1052" s="16"/>
      <c r="P1052" s="16"/>
    </row>
    <row r="1053" spans="10:16" x14ac:dyDescent="0.2">
      <c r="J1053" s="16"/>
      <c r="K1053" s="16"/>
      <c r="L1053" s="16"/>
      <c r="M1053" s="16"/>
      <c r="N1053" s="16"/>
      <c r="O1053" s="16"/>
      <c r="P1053" s="16"/>
    </row>
    <row r="1054" spans="10:16" x14ac:dyDescent="0.2">
      <c r="J1054" s="16"/>
      <c r="K1054" s="16"/>
      <c r="L1054" s="16"/>
      <c r="M1054" s="16"/>
      <c r="N1054" s="16"/>
      <c r="O1054" s="16"/>
      <c r="P1054" s="16"/>
    </row>
    <row r="1055" spans="10:16" x14ac:dyDescent="0.2">
      <c r="J1055" s="16"/>
      <c r="K1055" s="16"/>
      <c r="L1055" s="16"/>
      <c r="M1055" s="16"/>
      <c r="N1055" s="16"/>
      <c r="O1055" s="16"/>
      <c r="P1055" s="16"/>
    </row>
    <row r="1056" spans="10:16" x14ac:dyDescent="0.2">
      <c r="J1056" s="16"/>
      <c r="K1056" s="16"/>
      <c r="L1056" s="16"/>
      <c r="M1056" s="16"/>
      <c r="N1056" s="16"/>
      <c r="O1056" s="16"/>
      <c r="P1056" s="16"/>
    </row>
    <row r="1057" spans="10:16" x14ac:dyDescent="0.2">
      <c r="J1057" s="16"/>
      <c r="K1057" s="16"/>
      <c r="L1057" s="16"/>
      <c r="M1057" s="16"/>
      <c r="N1057" s="16"/>
      <c r="O1057" s="16"/>
      <c r="P1057" s="16"/>
    </row>
    <row r="1058" spans="10:16" x14ac:dyDescent="0.2">
      <c r="J1058" s="16"/>
      <c r="K1058" s="16"/>
      <c r="L1058" s="16"/>
      <c r="M1058" s="16"/>
      <c r="N1058" s="16"/>
      <c r="O1058" s="16"/>
      <c r="P1058" s="16"/>
    </row>
    <row r="1059" spans="10:16" x14ac:dyDescent="0.2">
      <c r="J1059" s="16"/>
      <c r="K1059" s="16"/>
      <c r="L1059" s="16"/>
      <c r="M1059" s="16"/>
      <c r="N1059" s="16"/>
      <c r="O1059" s="16"/>
      <c r="P1059" s="16"/>
    </row>
    <row r="1060" spans="10:16" x14ac:dyDescent="0.2">
      <c r="J1060" s="16"/>
      <c r="K1060" s="16"/>
      <c r="L1060" s="16"/>
      <c r="M1060" s="16"/>
      <c r="N1060" s="16"/>
      <c r="O1060" s="16"/>
      <c r="P1060" s="16"/>
    </row>
    <row r="1061" spans="10:16" x14ac:dyDescent="0.2">
      <c r="J1061" s="16"/>
      <c r="K1061" s="16"/>
      <c r="L1061" s="16"/>
      <c r="M1061" s="16"/>
      <c r="N1061" s="16"/>
      <c r="O1061" s="16"/>
      <c r="P1061" s="16"/>
    </row>
    <row r="1062" spans="10:16" x14ac:dyDescent="0.2">
      <c r="J1062" s="16"/>
      <c r="K1062" s="16"/>
      <c r="L1062" s="16"/>
      <c r="M1062" s="16"/>
      <c r="N1062" s="16"/>
      <c r="O1062" s="16"/>
      <c r="P1062" s="16"/>
    </row>
    <row r="1063" spans="10:16" x14ac:dyDescent="0.2">
      <c r="J1063" s="16"/>
      <c r="K1063" s="16"/>
      <c r="L1063" s="16"/>
      <c r="M1063" s="16"/>
      <c r="N1063" s="16"/>
      <c r="O1063" s="16"/>
      <c r="P1063" s="16"/>
    </row>
    <row r="1064" spans="10:16" x14ac:dyDescent="0.2">
      <c r="J1064" s="16"/>
      <c r="K1064" s="16"/>
      <c r="L1064" s="16"/>
      <c r="M1064" s="16"/>
      <c r="N1064" s="16"/>
      <c r="O1064" s="16"/>
      <c r="P1064" s="16"/>
    </row>
    <row r="1065" spans="10:16" x14ac:dyDescent="0.2">
      <c r="J1065" s="16"/>
      <c r="K1065" s="16"/>
      <c r="L1065" s="16"/>
      <c r="M1065" s="16"/>
      <c r="N1065" s="16"/>
      <c r="O1065" s="16"/>
      <c r="P1065" s="16"/>
    </row>
    <row r="1066" spans="10:16" x14ac:dyDescent="0.2">
      <c r="J1066" s="16"/>
      <c r="K1066" s="16"/>
      <c r="L1066" s="16"/>
      <c r="M1066" s="16"/>
      <c r="N1066" s="16"/>
      <c r="O1066" s="16"/>
      <c r="P1066" s="16"/>
    </row>
    <row r="1067" spans="10:16" x14ac:dyDescent="0.2">
      <c r="J1067" s="16"/>
      <c r="K1067" s="16"/>
      <c r="L1067" s="16"/>
      <c r="M1067" s="16"/>
      <c r="N1067" s="16"/>
      <c r="O1067" s="16"/>
      <c r="P1067" s="16"/>
    </row>
    <row r="1068" spans="10:16" x14ac:dyDescent="0.2">
      <c r="J1068" s="16"/>
      <c r="K1068" s="16"/>
      <c r="L1068" s="16"/>
      <c r="M1068" s="16"/>
      <c r="N1068" s="16"/>
      <c r="O1068" s="16"/>
      <c r="P1068" s="16"/>
    </row>
    <row r="1069" spans="10:16" x14ac:dyDescent="0.2">
      <c r="J1069" s="16"/>
      <c r="K1069" s="16"/>
      <c r="L1069" s="16"/>
      <c r="M1069" s="16"/>
      <c r="N1069" s="16"/>
      <c r="O1069" s="16"/>
      <c r="P1069" s="16"/>
    </row>
    <row r="1070" spans="10:16" x14ac:dyDescent="0.2">
      <c r="J1070" s="16"/>
      <c r="K1070" s="16"/>
      <c r="L1070" s="16"/>
      <c r="M1070" s="16"/>
      <c r="N1070" s="16"/>
      <c r="O1070" s="16"/>
      <c r="P1070" s="16"/>
    </row>
    <row r="1071" spans="10:16" x14ac:dyDescent="0.2">
      <c r="J1071" s="16"/>
      <c r="K1071" s="16"/>
      <c r="L1071" s="16"/>
      <c r="M1071" s="16"/>
      <c r="N1071" s="16"/>
      <c r="O1071" s="16"/>
      <c r="P1071" s="16"/>
    </row>
    <row r="1072" spans="10:16" x14ac:dyDescent="0.2">
      <c r="J1072" s="16"/>
      <c r="K1072" s="16"/>
      <c r="L1072" s="16"/>
      <c r="M1072" s="16"/>
      <c r="N1072" s="16"/>
      <c r="O1072" s="16"/>
      <c r="P1072" s="16"/>
    </row>
    <row r="1073" spans="10:16" x14ac:dyDescent="0.2">
      <c r="J1073" s="16"/>
      <c r="K1073" s="16"/>
      <c r="L1073" s="16"/>
      <c r="M1073" s="16"/>
      <c r="N1073" s="16"/>
      <c r="O1073" s="16"/>
      <c r="P1073" s="16"/>
    </row>
    <row r="1074" spans="10:16" x14ac:dyDescent="0.2">
      <c r="J1074" s="16"/>
      <c r="K1074" s="16"/>
      <c r="L1074" s="16"/>
      <c r="M1074" s="16"/>
      <c r="N1074" s="16"/>
      <c r="O1074" s="16"/>
      <c r="P1074" s="16"/>
    </row>
    <row r="1075" spans="10:16" x14ac:dyDescent="0.2">
      <c r="J1075" s="16"/>
      <c r="K1075" s="16"/>
      <c r="L1075" s="16"/>
      <c r="M1075" s="16"/>
      <c r="N1075" s="16"/>
      <c r="O1075" s="16"/>
      <c r="P1075" s="16"/>
    </row>
    <row r="1076" spans="10:16" x14ac:dyDescent="0.2">
      <c r="J1076" s="16"/>
      <c r="K1076" s="16"/>
      <c r="L1076" s="16"/>
      <c r="M1076" s="16"/>
      <c r="N1076" s="16"/>
      <c r="O1076" s="16"/>
      <c r="P1076" s="16"/>
    </row>
    <row r="1077" spans="10:16" x14ac:dyDescent="0.2">
      <c r="J1077" s="16"/>
      <c r="K1077" s="16"/>
      <c r="L1077" s="16"/>
      <c r="M1077" s="16"/>
      <c r="N1077" s="16"/>
      <c r="O1077" s="16"/>
      <c r="P1077" s="16"/>
    </row>
    <row r="1078" spans="10:16" x14ac:dyDescent="0.2">
      <c r="J1078" s="16"/>
      <c r="K1078" s="16"/>
      <c r="L1078" s="16"/>
      <c r="M1078" s="16"/>
      <c r="N1078" s="16"/>
      <c r="O1078" s="16"/>
      <c r="P1078" s="16"/>
    </row>
    <row r="1079" spans="10:16" x14ac:dyDescent="0.2">
      <c r="J1079" s="16"/>
      <c r="K1079" s="16"/>
      <c r="L1079" s="16"/>
      <c r="M1079" s="16"/>
      <c r="N1079" s="16"/>
      <c r="O1079" s="16"/>
      <c r="P1079" s="16"/>
    </row>
    <row r="1080" spans="10:16" x14ac:dyDescent="0.2">
      <c r="J1080" s="16"/>
      <c r="K1080" s="16"/>
      <c r="L1080" s="16"/>
      <c r="M1080" s="16"/>
      <c r="N1080" s="16"/>
      <c r="O1080" s="16"/>
      <c r="P1080" s="16"/>
    </row>
    <row r="1081" spans="10:16" x14ac:dyDescent="0.2">
      <c r="J1081" s="16"/>
      <c r="K1081" s="16"/>
      <c r="L1081" s="16"/>
      <c r="M1081" s="16"/>
      <c r="N1081" s="16"/>
      <c r="O1081" s="16"/>
      <c r="P1081" s="16"/>
    </row>
    <row r="1082" spans="10:16" x14ac:dyDescent="0.2">
      <c r="J1082" s="16"/>
      <c r="K1082" s="16"/>
      <c r="L1082" s="16"/>
      <c r="M1082" s="16"/>
      <c r="N1082" s="16"/>
      <c r="O1082" s="16"/>
      <c r="P1082" s="16"/>
    </row>
    <row r="1083" spans="10:16" x14ac:dyDescent="0.2">
      <c r="J1083" s="16"/>
      <c r="K1083" s="16"/>
      <c r="L1083" s="16"/>
      <c r="M1083" s="16"/>
      <c r="N1083" s="16"/>
      <c r="O1083" s="16"/>
      <c r="P1083" s="16"/>
    </row>
    <row r="1084" spans="10:16" x14ac:dyDescent="0.2">
      <c r="J1084" s="16"/>
      <c r="K1084" s="16"/>
      <c r="L1084" s="16"/>
      <c r="M1084" s="16"/>
      <c r="N1084" s="16"/>
      <c r="O1084" s="16"/>
      <c r="P1084" s="16"/>
    </row>
    <row r="1085" spans="10:16" x14ac:dyDescent="0.2">
      <c r="J1085" s="16"/>
      <c r="K1085" s="16"/>
      <c r="L1085" s="16"/>
      <c r="M1085" s="16"/>
      <c r="N1085" s="16"/>
      <c r="O1085" s="16"/>
      <c r="P1085" s="16"/>
    </row>
    <row r="1086" spans="10:16" x14ac:dyDescent="0.2">
      <c r="J1086" s="16"/>
      <c r="K1086" s="16"/>
      <c r="L1086" s="16"/>
      <c r="M1086" s="16"/>
      <c r="N1086" s="16"/>
      <c r="O1086" s="16"/>
      <c r="P1086" s="16"/>
    </row>
    <row r="1087" spans="10:16" x14ac:dyDescent="0.2">
      <c r="J1087" s="16"/>
      <c r="K1087" s="16"/>
      <c r="L1087" s="16"/>
      <c r="M1087" s="16"/>
      <c r="N1087" s="16"/>
      <c r="O1087" s="16"/>
      <c r="P1087" s="16"/>
    </row>
    <row r="1088" spans="10:16" x14ac:dyDescent="0.2">
      <c r="J1088" s="16"/>
      <c r="K1088" s="16"/>
      <c r="L1088" s="16"/>
      <c r="M1088" s="16"/>
      <c r="N1088" s="16"/>
      <c r="O1088" s="16"/>
      <c r="P1088" s="16"/>
    </row>
    <row r="1089" spans="10:16" x14ac:dyDescent="0.2">
      <c r="J1089" s="16"/>
      <c r="K1089" s="16"/>
      <c r="L1089" s="16"/>
      <c r="M1089" s="16"/>
      <c r="N1089" s="16"/>
      <c r="O1089" s="16"/>
      <c r="P1089" s="16"/>
    </row>
    <row r="1090" spans="10:16" x14ac:dyDescent="0.2">
      <c r="J1090" s="16"/>
      <c r="K1090" s="16"/>
      <c r="L1090" s="16"/>
      <c r="M1090" s="16"/>
      <c r="N1090" s="16"/>
      <c r="O1090" s="16"/>
      <c r="P1090" s="16"/>
    </row>
    <row r="1091" spans="10:16" x14ac:dyDescent="0.2">
      <c r="J1091" s="16"/>
      <c r="K1091" s="16"/>
      <c r="L1091" s="16"/>
      <c r="M1091" s="16"/>
      <c r="N1091" s="16"/>
      <c r="O1091" s="16"/>
      <c r="P1091" s="16"/>
    </row>
    <row r="1092" spans="10:16" x14ac:dyDescent="0.2">
      <c r="J1092" s="16"/>
      <c r="K1092" s="16"/>
      <c r="L1092" s="16"/>
      <c r="M1092" s="16"/>
      <c r="N1092" s="16"/>
      <c r="O1092" s="16"/>
      <c r="P1092" s="16"/>
    </row>
    <row r="1093" spans="10:16" x14ac:dyDescent="0.2">
      <c r="J1093" s="16"/>
      <c r="K1093" s="16"/>
      <c r="L1093" s="16"/>
      <c r="M1093" s="16"/>
      <c r="N1093" s="16"/>
      <c r="O1093" s="16"/>
      <c r="P1093" s="16"/>
    </row>
    <row r="1094" spans="10:16" x14ac:dyDescent="0.2">
      <c r="J1094" s="16"/>
      <c r="K1094" s="16"/>
      <c r="L1094" s="16"/>
      <c r="M1094" s="16"/>
      <c r="N1094" s="16"/>
      <c r="O1094" s="16"/>
      <c r="P1094" s="16"/>
    </row>
    <row r="1095" spans="10:16" x14ac:dyDescent="0.2">
      <c r="J1095" s="16"/>
      <c r="K1095" s="16"/>
      <c r="L1095" s="16"/>
      <c r="M1095" s="16"/>
      <c r="N1095" s="16"/>
      <c r="O1095" s="16"/>
      <c r="P1095" s="16"/>
    </row>
    <row r="1096" spans="10:16" x14ac:dyDescent="0.2">
      <c r="J1096" s="16"/>
      <c r="K1096" s="16"/>
      <c r="L1096" s="16"/>
      <c r="M1096" s="16"/>
      <c r="N1096" s="16"/>
      <c r="O1096" s="16"/>
      <c r="P1096" s="16"/>
    </row>
    <row r="1097" spans="10:16" x14ac:dyDescent="0.2">
      <c r="J1097" s="16"/>
      <c r="K1097" s="16"/>
      <c r="L1097" s="16"/>
      <c r="M1097" s="16"/>
      <c r="N1097" s="16"/>
      <c r="O1097" s="16"/>
      <c r="P1097" s="16"/>
    </row>
    <row r="1098" spans="10:16" x14ac:dyDescent="0.2">
      <c r="J1098" s="16"/>
      <c r="K1098" s="16"/>
      <c r="L1098" s="16"/>
      <c r="M1098" s="16"/>
      <c r="N1098" s="16"/>
      <c r="O1098" s="16"/>
      <c r="P1098" s="16"/>
    </row>
    <row r="1099" spans="10:16" x14ac:dyDescent="0.2">
      <c r="J1099" s="16"/>
      <c r="K1099" s="16"/>
      <c r="L1099" s="16"/>
      <c r="M1099" s="16"/>
      <c r="N1099" s="16"/>
      <c r="O1099" s="16"/>
      <c r="P1099" s="16"/>
    </row>
    <row r="1100" spans="10:16" x14ac:dyDescent="0.2">
      <c r="J1100" s="16"/>
      <c r="K1100" s="16"/>
      <c r="L1100" s="16"/>
      <c r="M1100" s="16"/>
      <c r="N1100" s="16"/>
      <c r="O1100" s="16"/>
      <c r="P1100" s="16"/>
    </row>
    <row r="1101" spans="10:16" x14ac:dyDescent="0.2">
      <c r="J1101" s="16"/>
      <c r="K1101" s="16"/>
      <c r="L1101" s="16"/>
      <c r="M1101" s="16"/>
      <c r="N1101" s="16"/>
      <c r="O1101" s="16"/>
      <c r="P1101" s="16"/>
    </row>
    <row r="1102" spans="10:16" x14ac:dyDescent="0.2">
      <c r="J1102" s="16"/>
      <c r="K1102" s="16"/>
      <c r="L1102" s="16"/>
      <c r="M1102" s="16"/>
      <c r="N1102" s="16"/>
      <c r="O1102" s="16"/>
      <c r="P1102" s="16"/>
    </row>
    <row r="1103" spans="10:16" x14ac:dyDescent="0.2">
      <c r="J1103" s="16"/>
      <c r="K1103" s="16"/>
      <c r="L1103" s="16"/>
      <c r="M1103" s="16"/>
      <c r="N1103" s="16"/>
      <c r="O1103" s="16"/>
      <c r="P1103" s="16"/>
    </row>
    <row r="1104" spans="10:16" x14ac:dyDescent="0.2">
      <c r="J1104" s="16"/>
      <c r="K1104" s="16"/>
      <c r="L1104" s="16"/>
      <c r="M1104" s="16"/>
      <c r="N1104" s="16"/>
      <c r="O1104" s="16"/>
      <c r="P1104" s="16"/>
    </row>
    <row r="1105" spans="10:16" x14ac:dyDescent="0.2">
      <c r="J1105" s="16"/>
      <c r="K1105" s="16"/>
      <c r="L1105" s="16"/>
      <c r="M1105" s="16"/>
      <c r="N1105" s="16"/>
      <c r="O1105" s="16"/>
      <c r="P1105" s="16"/>
    </row>
    <row r="1106" spans="10:16" x14ac:dyDescent="0.2">
      <c r="J1106" s="16"/>
      <c r="K1106" s="16"/>
      <c r="L1106" s="16"/>
      <c r="M1106" s="16"/>
      <c r="N1106" s="16"/>
      <c r="O1106" s="16"/>
      <c r="P1106" s="16"/>
    </row>
    <row r="1107" spans="10:16" x14ac:dyDescent="0.2">
      <c r="J1107" s="16"/>
      <c r="K1107" s="16"/>
      <c r="L1107" s="16"/>
      <c r="M1107" s="16"/>
      <c r="N1107" s="16"/>
      <c r="O1107" s="16"/>
      <c r="P1107" s="16"/>
    </row>
    <row r="1108" spans="10:16" x14ac:dyDescent="0.2">
      <c r="J1108" s="16"/>
      <c r="K1108" s="16"/>
      <c r="L1108" s="16"/>
      <c r="M1108" s="16"/>
      <c r="N1108" s="16"/>
      <c r="O1108" s="16"/>
      <c r="P1108" s="16"/>
    </row>
    <row r="1109" spans="10:16" x14ac:dyDescent="0.2">
      <c r="J1109" s="16"/>
      <c r="K1109" s="16"/>
      <c r="L1109" s="16"/>
      <c r="M1109" s="16"/>
      <c r="N1109" s="16"/>
      <c r="O1109" s="16"/>
      <c r="P1109" s="16"/>
    </row>
    <row r="1110" spans="10:16" x14ac:dyDescent="0.2">
      <c r="J1110" s="16"/>
      <c r="K1110" s="16"/>
      <c r="L1110" s="16"/>
      <c r="M1110" s="16"/>
      <c r="N1110" s="16"/>
      <c r="O1110" s="16"/>
      <c r="P1110" s="16"/>
    </row>
    <row r="1111" spans="10:16" x14ac:dyDescent="0.2">
      <c r="J1111" s="16"/>
      <c r="K1111" s="16"/>
      <c r="L1111" s="16"/>
      <c r="M1111" s="16"/>
      <c r="N1111" s="16"/>
      <c r="O1111" s="16"/>
      <c r="P1111" s="16"/>
    </row>
    <row r="1112" spans="10:16" x14ac:dyDescent="0.2">
      <c r="J1112" s="16"/>
      <c r="K1112" s="16"/>
      <c r="L1112" s="16"/>
      <c r="M1112" s="16"/>
      <c r="N1112" s="16"/>
      <c r="O1112" s="16"/>
      <c r="P1112" s="16"/>
    </row>
    <row r="1113" spans="10:16" x14ac:dyDescent="0.2">
      <c r="J1113" s="16"/>
      <c r="K1113" s="16"/>
      <c r="L1113" s="16"/>
      <c r="M1113" s="16"/>
      <c r="N1113" s="16"/>
      <c r="O1113" s="16"/>
      <c r="P1113" s="16"/>
    </row>
    <row r="1114" spans="10:16" x14ac:dyDescent="0.2">
      <c r="J1114" s="16"/>
      <c r="K1114" s="16"/>
      <c r="L1114" s="16"/>
      <c r="M1114" s="16"/>
      <c r="N1114" s="16"/>
      <c r="O1114" s="16"/>
      <c r="P1114" s="16"/>
    </row>
    <row r="1115" spans="10:16" x14ac:dyDescent="0.2">
      <c r="J1115" s="16"/>
      <c r="K1115" s="16"/>
      <c r="L1115" s="16"/>
      <c r="M1115" s="16"/>
      <c r="N1115" s="16"/>
      <c r="O1115" s="16"/>
      <c r="P1115" s="16"/>
    </row>
    <row r="1116" spans="10:16" x14ac:dyDescent="0.2">
      <c r="J1116" s="16"/>
      <c r="K1116" s="16"/>
      <c r="L1116" s="16"/>
      <c r="M1116" s="16"/>
      <c r="N1116" s="16"/>
      <c r="O1116" s="16"/>
      <c r="P1116" s="16"/>
    </row>
    <row r="1117" spans="10:16" x14ac:dyDescent="0.2">
      <c r="J1117" s="16"/>
      <c r="K1117" s="16"/>
      <c r="L1117" s="16"/>
      <c r="M1117" s="16"/>
      <c r="N1117" s="16"/>
      <c r="O1117" s="16"/>
      <c r="P1117" s="16"/>
    </row>
    <row r="1118" spans="10:16" x14ac:dyDescent="0.2">
      <c r="J1118" s="16"/>
      <c r="K1118" s="16"/>
      <c r="L1118" s="16"/>
      <c r="M1118" s="16"/>
      <c r="N1118" s="16"/>
      <c r="O1118" s="16"/>
      <c r="P1118" s="16"/>
    </row>
    <row r="1119" spans="10:16" x14ac:dyDescent="0.2">
      <c r="J1119" s="16"/>
      <c r="K1119" s="16"/>
      <c r="L1119" s="16"/>
      <c r="M1119" s="16"/>
      <c r="N1119" s="16"/>
      <c r="O1119" s="16"/>
      <c r="P1119" s="16"/>
    </row>
    <row r="1120" spans="10:16" x14ac:dyDescent="0.2">
      <c r="J1120" s="16"/>
      <c r="K1120" s="16"/>
      <c r="L1120" s="16"/>
      <c r="M1120" s="16"/>
      <c r="N1120" s="16"/>
      <c r="O1120" s="16"/>
      <c r="P1120" s="16"/>
    </row>
    <row r="1121" spans="10:16" x14ac:dyDescent="0.2">
      <c r="J1121" s="16"/>
      <c r="K1121" s="16"/>
      <c r="L1121" s="16"/>
      <c r="M1121" s="16"/>
      <c r="N1121" s="16"/>
      <c r="O1121" s="16"/>
      <c r="P1121" s="16"/>
    </row>
    <row r="1122" spans="10:16" x14ac:dyDescent="0.2">
      <c r="J1122" s="16"/>
      <c r="K1122" s="16"/>
      <c r="L1122" s="16"/>
      <c r="M1122" s="16"/>
      <c r="N1122" s="16"/>
      <c r="O1122" s="16"/>
      <c r="P1122" s="16"/>
    </row>
    <row r="1123" spans="10:16" x14ac:dyDescent="0.2">
      <c r="J1123" s="16"/>
      <c r="K1123" s="16"/>
      <c r="L1123" s="16"/>
      <c r="M1123" s="16"/>
      <c r="N1123" s="16"/>
      <c r="O1123" s="16"/>
      <c r="P1123" s="16"/>
    </row>
    <row r="1124" spans="10:16" x14ac:dyDescent="0.2">
      <c r="J1124" s="16"/>
      <c r="K1124" s="16"/>
      <c r="L1124" s="16"/>
      <c r="M1124" s="16"/>
      <c r="N1124" s="16"/>
      <c r="O1124" s="16"/>
      <c r="P1124" s="16"/>
    </row>
    <row r="1125" spans="10:16" x14ac:dyDescent="0.2">
      <c r="J1125" s="16"/>
      <c r="K1125" s="16"/>
      <c r="L1125" s="16"/>
      <c r="M1125" s="16"/>
      <c r="N1125" s="16"/>
      <c r="O1125" s="16"/>
      <c r="P1125" s="16"/>
    </row>
    <row r="1126" spans="10:16" x14ac:dyDescent="0.2">
      <c r="J1126" s="16"/>
      <c r="K1126" s="16"/>
      <c r="L1126" s="16"/>
      <c r="M1126" s="16"/>
      <c r="N1126" s="16"/>
      <c r="O1126" s="16"/>
      <c r="P1126" s="16"/>
    </row>
    <row r="1127" spans="10:16" x14ac:dyDescent="0.2">
      <c r="J1127" s="16"/>
      <c r="K1127" s="16"/>
      <c r="L1127" s="16"/>
      <c r="M1127" s="16"/>
      <c r="N1127" s="16"/>
      <c r="O1127" s="16"/>
      <c r="P1127" s="16"/>
    </row>
    <row r="1128" spans="10:16" x14ac:dyDescent="0.2">
      <c r="J1128" s="16"/>
      <c r="K1128" s="16"/>
      <c r="L1128" s="16"/>
      <c r="M1128" s="16"/>
      <c r="N1128" s="16"/>
      <c r="O1128" s="16"/>
      <c r="P1128" s="16"/>
    </row>
    <row r="1129" spans="10:16" x14ac:dyDescent="0.2">
      <c r="J1129" s="16"/>
      <c r="K1129" s="16"/>
      <c r="L1129" s="16"/>
      <c r="M1129" s="16"/>
      <c r="N1129" s="16"/>
      <c r="O1129" s="16"/>
      <c r="P1129" s="16"/>
    </row>
    <row r="1130" spans="10:16" x14ac:dyDescent="0.2">
      <c r="J1130" s="16"/>
      <c r="K1130" s="16"/>
      <c r="L1130" s="16"/>
      <c r="M1130" s="16"/>
      <c r="N1130" s="16"/>
      <c r="O1130" s="16"/>
      <c r="P1130" s="16"/>
    </row>
    <row r="1131" spans="10:16" x14ac:dyDescent="0.2">
      <c r="J1131" s="16"/>
      <c r="K1131" s="16"/>
      <c r="L1131" s="16"/>
      <c r="M1131" s="16"/>
      <c r="N1131" s="16"/>
      <c r="O1131" s="16"/>
      <c r="P1131" s="16"/>
    </row>
    <row r="1132" spans="10:16" x14ac:dyDescent="0.2">
      <c r="J1132" s="16"/>
      <c r="K1132" s="16"/>
      <c r="L1132" s="16"/>
      <c r="M1132" s="16"/>
      <c r="N1132" s="16"/>
      <c r="O1132" s="16"/>
      <c r="P1132" s="16"/>
    </row>
    <row r="1133" spans="10:16" x14ac:dyDescent="0.2">
      <c r="J1133" s="16"/>
      <c r="K1133" s="16"/>
      <c r="L1133" s="16"/>
      <c r="M1133" s="16"/>
      <c r="N1133" s="16"/>
      <c r="O1133" s="16"/>
      <c r="P1133" s="16"/>
    </row>
    <row r="1134" spans="10:16" x14ac:dyDescent="0.2">
      <c r="J1134" s="16"/>
      <c r="K1134" s="16"/>
      <c r="L1134" s="16"/>
      <c r="M1134" s="16"/>
      <c r="N1134" s="16"/>
      <c r="O1134" s="16"/>
      <c r="P1134" s="16"/>
    </row>
    <row r="1135" spans="10:16" x14ac:dyDescent="0.2">
      <c r="J1135" s="16"/>
      <c r="K1135" s="16"/>
      <c r="L1135" s="16"/>
      <c r="M1135" s="16"/>
      <c r="N1135" s="16"/>
      <c r="O1135" s="16"/>
      <c r="P1135" s="16"/>
    </row>
    <row r="1136" spans="10:16" x14ac:dyDescent="0.2">
      <c r="J1136" s="16"/>
      <c r="K1136" s="16"/>
      <c r="L1136" s="16"/>
      <c r="M1136" s="16"/>
      <c r="N1136" s="16"/>
      <c r="O1136" s="16"/>
      <c r="P1136" s="16"/>
    </row>
    <row r="1137" spans="10:16" x14ac:dyDescent="0.2">
      <c r="J1137" s="16"/>
      <c r="K1137" s="16"/>
      <c r="L1137" s="16"/>
      <c r="M1137" s="16"/>
      <c r="N1137" s="16"/>
      <c r="O1137" s="16"/>
      <c r="P1137" s="16"/>
    </row>
    <row r="1138" spans="10:16" x14ac:dyDescent="0.2">
      <c r="J1138" s="16"/>
      <c r="K1138" s="16"/>
      <c r="L1138" s="16"/>
      <c r="M1138" s="16"/>
      <c r="N1138" s="16"/>
      <c r="O1138" s="16"/>
      <c r="P1138" s="16"/>
    </row>
    <row r="1139" spans="10:16" x14ac:dyDescent="0.2">
      <c r="J1139" s="16"/>
      <c r="K1139" s="16"/>
      <c r="L1139" s="16"/>
      <c r="M1139" s="16"/>
      <c r="N1139" s="16"/>
      <c r="O1139" s="16"/>
      <c r="P1139" s="16"/>
    </row>
    <row r="1140" spans="10:16" x14ac:dyDescent="0.2">
      <c r="J1140" s="16"/>
      <c r="K1140" s="16"/>
      <c r="L1140" s="16"/>
      <c r="M1140" s="16"/>
      <c r="N1140" s="16"/>
      <c r="O1140" s="16"/>
      <c r="P1140" s="16"/>
    </row>
    <row r="1141" spans="10:16" x14ac:dyDescent="0.2">
      <c r="J1141" s="16"/>
      <c r="K1141" s="16"/>
      <c r="L1141" s="16"/>
      <c r="M1141" s="16"/>
      <c r="N1141" s="16"/>
      <c r="O1141" s="16"/>
      <c r="P1141" s="16"/>
    </row>
    <row r="1142" spans="10:16" x14ac:dyDescent="0.2">
      <c r="J1142" s="16"/>
      <c r="K1142" s="16"/>
      <c r="L1142" s="16"/>
      <c r="M1142" s="16"/>
      <c r="N1142" s="16"/>
      <c r="O1142" s="16"/>
      <c r="P1142" s="16"/>
    </row>
    <row r="1143" spans="10:16" x14ac:dyDescent="0.2">
      <c r="J1143" s="16"/>
      <c r="K1143" s="16"/>
      <c r="L1143" s="16"/>
      <c r="M1143" s="16"/>
      <c r="N1143" s="16"/>
      <c r="O1143" s="16"/>
      <c r="P1143" s="16"/>
    </row>
    <row r="1144" spans="10:16" x14ac:dyDescent="0.2">
      <c r="J1144" s="16"/>
      <c r="K1144" s="16"/>
      <c r="L1144" s="16"/>
      <c r="M1144" s="16"/>
      <c r="N1144" s="16"/>
      <c r="O1144" s="16"/>
      <c r="P1144" s="16"/>
    </row>
    <row r="1145" spans="10:16" x14ac:dyDescent="0.2">
      <c r="J1145" s="16"/>
      <c r="K1145" s="16"/>
      <c r="L1145" s="16"/>
      <c r="M1145" s="16"/>
      <c r="N1145" s="16"/>
      <c r="O1145" s="16"/>
      <c r="P1145" s="16"/>
    </row>
    <row r="1146" spans="10:16" x14ac:dyDescent="0.2">
      <c r="J1146" s="16"/>
      <c r="K1146" s="16"/>
      <c r="L1146" s="16"/>
      <c r="M1146" s="16"/>
      <c r="N1146" s="16"/>
      <c r="O1146" s="16"/>
      <c r="P1146" s="16"/>
    </row>
    <row r="1147" spans="10:16" x14ac:dyDescent="0.2">
      <c r="J1147" s="16"/>
      <c r="K1147" s="16"/>
      <c r="L1147" s="16"/>
      <c r="M1147" s="16"/>
      <c r="N1147" s="16"/>
      <c r="O1147" s="16"/>
      <c r="P1147" s="16"/>
    </row>
    <row r="1148" spans="10:16" x14ac:dyDescent="0.2">
      <c r="J1148" s="16"/>
      <c r="K1148" s="16"/>
      <c r="L1148" s="16"/>
      <c r="M1148" s="16"/>
      <c r="N1148" s="16"/>
      <c r="O1148" s="16"/>
      <c r="P1148" s="16"/>
    </row>
    <row r="1149" spans="10:16" x14ac:dyDescent="0.2">
      <c r="J1149" s="16"/>
      <c r="K1149" s="16"/>
      <c r="L1149" s="16"/>
      <c r="M1149" s="16"/>
      <c r="N1149" s="16"/>
      <c r="O1149" s="16"/>
      <c r="P1149" s="16"/>
    </row>
    <row r="1150" spans="10:16" x14ac:dyDescent="0.2">
      <c r="J1150" s="16"/>
      <c r="K1150" s="16"/>
      <c r="L1150" s="16"/>
      <c r="M1150" s="16"/>
      <c r="N1150" s="16"/>
      <c r="O1150" s="16"/>
      <c r="P1150" s="16"/>
    </row>
    <row r="1151" spans="10:16" x14ac:dyDescent="0.2">
      <c r="J1151" s="16"/>
      <c r="K1151" s="16"/>
      <c r="L1151" s="16"/>
      <c r="M1151" s="16"/>
      <c r="N1151" s="16"/>
      <c r="O1151" s="16"/>
      <c r="P1151" s="16"/>
    </row>
    <row r="1152" spans="10:16" x14ac:dyDescent="0.2">
      <c r="J1152" s="16"/>
      <c r="K1152" s="16"/>
      <c r="L1152" s="16"/>
      <c r="M1152" s="16"/>
      <c r="N1152" s="16"/>
      <c r="O1152" s="16"/>
      <c r="P1152" s="16"/>
    </row>
    <row r="1153" spans="10:16" x14ac:dyDescent="0.2">
      <c r="J1153" s="16"/>
      <c r="K1153" s="16"/>
      <c r="L1153" s="16"/>
      <c r="M1153" s="16"/>
      <c r="N1153" s="16"/>
      <c r="O1153" s="16"/>
      <c r="P1153" s="16"/>
    </row>
    <row r="1154" spans="10:16" x14ac:dyDescent="0.2">
      <c r="J1154" s="16"/>
      <c r="K1154" s="16"/>
      <c r="L1154" s="16"/>
      <c r="M1154" s="16"/>
      <c r="N1154" s="16"/>
      <c r="O1154" s="16"/>
      <c r="P1154" s="16"/>
    </row>
    <row r="1155" spans="10:16" x14ac:dyDescent="0.2">
      <c r="J1155" s="16"/>
      <c r="K1155" s="16"/>
      <c r="L1155" s="16"/>
      <c r="M1155" s="16"/>
      <c r="N1155" s="16"/>
      <c r="O1155" s="16"/>
      <c r="P1155" s="16"/>
    </row>
    <row r="1156" spans="10:16" x14ac:dyDescent="0.2">
      <c r="J1156" s="16"/>
      <c r="K1156" s="16"/>
      <c r="L1156" s="16"/>
      <c r="M1156" s="16"/>
      <c r="N1156" s="16"/>
      <c r="O1156" s="16"/>
      <c r="P1156" s="16"/>
    </row>
    <row r="1157" spans="10:16" x14ac:dyDescent="0.2">
      <c r="J1157" s="16"/>
      <c r="K1157" s="16"/>
      <c r="L1157" s="16"/>
      <c r="M1157" s="16"/>
      <c r="N1157" s="16"/>
      <c r="O1157" s="16"/>
      <c r="P1157" s="16"/>
    </row>
    <row r="1158" spans="10:16" x14ac:dyDescent="0.2">
      <c r="J1158" s="16"/>
      <c r="K1158" s="16"/>
      <c r="L1158" s="16"/>
      <c r="M1158" s="16"/>
      <c r="N1158" s="16"/>
      <c r="O1158" s="16"/>
      <c r="P1158" s="16"/>
    </row>
    <row r="1159" spans="10:16" x14ac:dyDescent="0.2">
      <c r="J1159" s="16"/>
      <c r="K1159" s="16"/>
      <c r="L1159" s="16"/>
      <c r="M1159" s="16"/>
      <c r="N1159" s="16"/>
      <c r="O1159" s="16"/>
      <c r="P1159" s="16"/>
    </row>
    <row r="1160" spans="10:16" x14ac:dyDescent="0.2">
      <c r="J1160" s="16"/>
      <c r="K1160" s="16"/>
      <c r="L1160" s="16"/>
      <c r="M1160" s="16"/>
      <c r="N1160" s="16"/>
      <c r="O1160" s="16"/>
      <c r="P1160" s="16"/>
    </row>
    <row r="1161" spans="10:16" x14ac:dyDescent="0.2">
      <c r="J1161" s="16"/>
      <c r="K1161" s="16"/>
      <c r="L1161" s="16"/>
      <c r="M1161" s="16"/>
      <c r="N1161" s="16"/>
      <c r="O1161" s="16"/>
      <c r="P1161" s="16"/>
    </row>
    <row r="1162" spans="10:16" x14ac:dyDescent="0.2">
      <c r="J1162" s="16"/>
      <c r="K1162" s="16"/>
      <c r="L1162" s="16"/>
      <c r="M1162" s="16"/>
      <c r="N1162" s="16"/>
      <c r="O1162" s="16"/>
      <c r="P1162" s="16"/>
    </row>
    <row r="1163" spans="10:16" x14ac:dyDescent="0.2">
      <c r="J1163" s="16"/>
      <c r="K1163" s="16"/>
      <c r="L1163" s="16"/>
      <c r="M1163" s="16"/>
      <c r="N1163" s="16"/>
      <c r="O1163" s="16"/>
      <c r="P1163" s="16"/>
    </row>
    <row r="1164" spans="10:16" x14ac:dyDescent="0.2">
      <c r="J1164" s="16"/>
      <c r="K1164" s="16"/>
      <c r="L1164" s="16"/>
      <c r="M1164" s="16"/>
      <c r="N1164" s="16"/>
      <c r="O1164" s="16"/>
      <c r="P1164" s="16"/>
    </row>
    <row r="1165" spans="10:16" x14ac:dyDescent="0.2">
      <c r="J1165" s="16"/>
      <c r="K1165" s="16"/>
      <c r="L1165" s="16"/>
      <c r="M1165" s="16"/>
      <c r="N1165" s="16"/>
      <c r="O1165" s="16"/>
      <c r="P1165" s="16"/>
    </row>
    <row r="1166" spans="10:16" x14ac:dyDescent="0.2">
      <c r="J1166" s="16"/>
      <c r="K1166" s="16"/>
      <c r="L1166" s="16"/>
      <c r="M1166" s="16"/>
      <c r="N1166" s="16"/>
      <c r="O1166" s="16"/>
      <c r="P1166" s="16"/>
    </row>
    <row r="1167" spans="10:16" x14ac:dyDescent="0.2">
      <c r="J1167" s="16"/>
      <c r="K1167" s="16"/>
      <c r="L1167" s="16"/>
      <c r="M1167" s="16"/>
      <c r="N1167" s="16"/>
      <c r="O1167" s="16"/>
      <c r="P1167" s="16"/>
    </row>
    <row r="1168" spans="10:16" x14ac:dyDescent="0.2">
      <c r="J1168" s="16"/>
      <c r="K1168" s="16"/>
      <c r="L1168" s="16"/>
      <c r="M1168" s="16"/>
      <c r="N1168" s="16"/>
      <c r="O1168" s="16"/>
      <c r="P1168" s="16"/>
    </row>
    <row r="1169" spans="10:16" x14ac:dyDescent="0.2">
      <c r="J1169" s="16"/>
      <c r="K1169" s="16"/>
      <c r="L1169" s="16"/>
      <c r="M1169" s="16"/>
      <c r="N1169" s="16"/>
      <c r="O1169" s="16"/>
      <c r="P1169" s="16"/>
    </row>
    <row r="1170" spans="10:16" x14ac:dyDescent="0.2">
      <c r="J1170" s="16"/>
      <c r="K1170" s="16"/>
      <c r="L1170" s="16"/>
      <c r="M1170" s="16"/>
      <c r="N1170" s="16"/>
      <c r="O1170" s="16"/>
      <c r="P1170" s="16"/>
    </row>
    <row r="1171" spans="10:16" x14ac:dyDescent="0.2">
      <c r="J1171" s="16"/>
      <c r="K1171" s="16"/>
      <c r="L1171" s="16"/>
      <c r="M1171" s="16"/>
      <c r="N1171" s="16"/>
      <c r="O1171" s="16"/>
      <c r="P1171" s="16"/>
    </row>
    <row r="1172" spans="10:16" x14ac:dyDescent="0.2">
      <c r="J1172" s="16"/>
      <c r="K1172" s="16"/>
      <c r="L1172" s="16"/>
      <c r="M1172" s="16"/>
      <c r="N1172" s="16"/>
      <c r="O1172" s="16"/>
      <c r="P1172" s="16"/>
    </row>
    <row r="1173" spans="10:16" x14ac:dyDescent="0.2">
      <c r="J1173" s="16"/>
      <c r="K1173" s="16"/>
      <c r="L1173" s="16"/>
      <c r="M1173" s="16"/>
      <c r="N1173" s="16"/>
      <c r="O1173" s="16"/>
      <c r="P1173" s="16"/>
    </row>
    <row r="1174" spans="10:16" x14ac:dyDescent="0.2">
      <c r="J1174" s="16"/>
      <c r="K1174" s="16"/>
      <c r="L1174" s="16"/>
      <c r="M1174" s="16"/>
      <c r="N1174" s="16"/>
      <c r="O1174" s="16"/>
      <c r="P1174" s="16"/>
    </row>
    <row r="1175" spans="10:16" x14ac:dyDescent="0.2">
      <c r="J1175" s="16"/>
      <c r="K1175" s="16"/>
      <c r="L1175" s="16"/>
      <c r="M1175" s="16"/>
      <c r="N1175" s="16"/>
      <c r="O1175" s="16"/>
      <c r="P1175" s="16"/>
    </row>
    <row r="1176" spans="10:16" x14ac:dyDescent="0.2">
      <c r="J1176" s="16"/>
      <c r="K1176" s="16"/>
      <c r="L1176" s="16"/>
      <c r="M1176" s="16"/>
      <c r="N1176" s="16"/>
      <c r="O1176" s="16"/>
      <c r="P1176" s="16"/>
    </row>
    <row r="1177" spans="10:16" x14ac:dyDescent="0.2">
      <c r="J1177" s="16"/>
      <c r="K1177" s="16"/>
      <c r="L1177" s="16"/>
      <c r="M1177" s="16"/>
      <c r="N1177" s="16"/>
      <c r="O1177" s="16"/>
      <c r="P1177" s="16"/>
    </row>
    <row r="1178" spans="10:16" x14ac:dyDescent="0.2">
      <c r="J1178" s="16"/>
      <c r="K1178" s="16"/>
      <c r="L1178" s="16"/>
      <c r="M1178" s="16"/>
      <c r="N1178" s="16"/>
      <c r="O1178" s="16"/>
      <c r="P1178" s="16"/>
    </row>
    <row r="1179" spans="10:16" x14ac:dyDescent="0.2">
      <c r="J1179" s="16"/>
      <c r="K1179" s="16"/>
      <c r="L1179" s="16"/>
      <c r="M1179" s="16"/>
      <c r="N1179" s="16"/>
      <c r="O1179" s="16"/>
      <c r="P1179" s="16"/>
    </row>
    <row r="1180" spans="10:16" x14ac:dyDescent="0.2">
      <c r="J1180" s="16"/>
      <c r="K1180" s="16"/>
      <c r="L1180" s="16"/>
      <c r="M1180" s="16"/>
      <c r="N1180" s="16"/>
      <c r="O1180" s="16"/>
      <c r="P1180" s="16"/>
    </row>
    <row r="1181" spans="10:16" x14ac:dyDescent="0.2">
      <c r="J1181" s="16"/>
      <c r="K1181" s="16"/>
      <c r="L1181" s="16"/>
      <c r="M1181" s="16"/>
      <c r="N1181" s="16"/>
      <c r="O1181" s="16"/>
      <c r="P1181" s="16"/>
    </row>
    <row r="1182" spans="10:16" x14ac:dyDescent="0.2">
      <c r="J1182" s="16"/>
      <c r="K1182" s="16"/>
      <c r="L1182" s="16"/>
      <c r="M1182" s="16"/>
      <c r="N1182" s="16"/>
      <c r="O1182" s="16"/>
      <c r="P1182" s="16"/>
    </row>
    <row r="1183" spans="10:16" x14ac:dyDescent="0.2">
      <c r="J1183" s="16"/>
      <c r="K1183" s="16"/>
      <c r="L1183" s="16"/>
      <c r="M1183" s="16"/>
      <c r="N1183" s="16"/>
      <c r="O1183" s="16"/>
      <c r="P1183" s="16"/>
    </row>
    <row r="1184" spans="10:16" x14ac:dyDescent="0.2">
      <c r="J1184" s="16"/>
      <c r="K1184" s="16"/>
      <c r="L1184" s="16"/>
      <c r="M1184" s="16"/>
      <c r="N1184" s="16"/>
      <c r="O1184" s="16"/>
      <c r="P1184" s="16"/>
    </row>
    <row r="1185" spans="10:16" x14ac:dyDescent="0.2">
      <c r="J1185" s="16"/>
      <c r="K1185" s="16"/>
      <c r="L1185" s="16"/>
      <c r="M1185" s="16"/>
      <c r="N1185" s="16"/>
      <c r="O1185" s="16"/>
      <c r="P1185" s="16"/>
    </row>
    <row r="1186" spans="10:16" x14ac:dyDescent="0.2">
      <c r="J1186" s="16"/>
      <c r="K1186" s="16"/>
      <c r="L1186" s="16"/>
      <c r="M1186" s="16"/>
      <c r="N1186" s="16"/>
      <c r="O1186" s="16"/>
      <c r="P1186" s="16"/>
    </row>
    <row r="1187" spans="10:16" x14ac:dyDescent="0.2">
      <c r="J1187" s="16"/>
      <c r="K1187" s="16"/>
      <c r="L1187" s="16"/>
      <c r="M1187" s="16"/>
      <c r="N1187" s="16"/>
      <c r="O1187" s="16"/>
      <c r="P1187" s="16"/>
    </row>
    <row r="1188" spans="10:16" x14ac:dyDescent="0.2">
      <c r="J1188" s="16"/>
      <c r="K1188" s="16"/>
      <c r="L1188" s="16"/>
      <c r="M1188" s="16"/>
      <c r="N1188" s="16"/>
      <c r="O1188" s="16"/>
      <c r="P1188" s="16"/>
    </row>
    <row r="1189" spans="10:16" x14ac:dyDescent="0.2">
      <c r="J1189" s="16"/>
      <c r="K1189" s="16"/>
      <c r="L1189" s="16"/>
      <c r="M1189" s="16"/>
      <c r="N1189" s="16"/>
      <c r="O1189" s="16"/>
      <c r="P1189" s="16"/>
    </row>
    <row r="1190" spans="10:16" x14ac:dyDescent="0.2">
      <c r="J1190" s="16"/>
      <c r="K1190" s="16"/>
      <c r="L1190" s="16"/>
      <c r="M1190" s="16"/>
      <c r="N1190" s="16"/>
      <c r="O1190" s="16"/>
      <c r="P1190" s="16"/>
    </row>
    <row r="1191" spans="10:16" x14ac:dyDescent="0.2">
      <c r="J1191" s="16"/>
      <c r="K1191" s="16"/>
      <c r="L1191" s="16"/>
      <c r="M1191" s="16"/>
      <c r="N1191" s="16"/>
      <c r="O1191" s="16"/>
      <c r="P1191" s="16"/>
    </row>
    <row r="1192" spans="10:16" x14ac:dyDescent="0.2">
      <c r="J1192" s="16"/>
      <c r="K1192" s="16"/>
      <c r="L1192" s="16"/>
      <c r="M1192" s="16"/>
      <c r="N1192" s="16"/>
      <c r="O1192" s="16"/>
      <c r="P1192" s="16"/>
    </row>
    <row r="1193" spans="10:16" x14ac:dyDescent="0.2">
      <c r="J1193" s="16"/>
      <c r="K1193" s="16"/>
      <c r="L1193" s="16"/>
      <c r="M1193" s="16"/>
      <c r="N1193" s="16"/>
      <c r="O1193" s="16"/>
      <c r="P1193" s="16"/>
    </row>
    <row r="1194" spans="10:16" x14ac:dyDescent="0.2">
      <c r="J1194" s="16"/>
      <c r="K1194" s="16"/>
      <c r="L1194" s="16"/>
      <c r="M1194" s="16"/>
      <c r="N1194" s="16"/>
      <c r="O1194" s="16"/>
      <c r="P1194" s="16"/>
    </row>
    <row r="1195" spans="10:16" x14ac:dyDescent="0.2">
      <c r="J1195" s="16"/>
      <c r="K1195" s="16"/>
      <c r="L1195" s="16"/>
      <c r="M1195" s="16"/>
      <c r="N1195" s="16"/>
      <c r="O1195" s="16"/>
      <c r="P1195" s="16"/>
    </row>
    <row r="1196" spans="10:16" x14ac:dyDescent="0.2">
      <c r="J1196" s="16"/>
      <c r="K1196" s="16"/>
      <c r="L1196" s="16"/>
      <c r="M1196" s="16"/>
      <c r="N1196" s="16"/>
      <c r="O1196" s="16"/>
      <c r="P1196" s="16"/>
    </row>
    <row r="1197" spans="10:16" x14ac:dyDescent="0.2">
      <c r="J1197" s="16"/>
      <c r="K1197" s="16"/>
      <c r="L1197" s="16"/>
      <c r="M1197" s="16"/>
      <c r="N1197" s="16"/>
      <c r="O1197" s="16"/>
      <c r="P1197" s="16"/>
    </row>
    <row r="1198" spans="10:16" x14ac:dyDescent="0.2">
      <c r="J1198" s="16"/>
      <c r="K1198" s="16"/>
      <c r="L1198" s="16"/>
      <c r="M1198" s="16"/>
      <c r="N1198" s="16"/>
      <c r="O1198" s="16"/>
      <c r="P1198" s="16"/>
    </row>
    <row r="1199" spans="10:16" x14ac:dyDescent="0.2">
      <c r="J1199" s="16"/>
      <c r="K1199" s="16"/>
      <c r="L1199" s="16"/>
      <c r="M1199" s="16"/>
      <c r="N1199" s="16"/>
      <c r="O1199" s="16"/>
      <c r="P1199" s="16"/>
    </row>
    <row r="1200" spans="10:16" x14ac:dyDescent="0.2">
      <c r="J1200" s="16"/>
      <c r="K1200" s="16"/>
      <c r="L1200" s="16"/>
      <c r="M1200" s="16"/>
      <c r="N1200" s="16"/>
      <c r="O1200" s="16"/>
      <c r="P1200" s="16"/>
    </row>
    <row r="1201" spans="10:16" x14ac:dyDescent="0.2">
      <c r="J1201" s="16"/>
      <c r="K1201" s="16"/>
      <c r="L1201" s="16"/>
      <c r="M1201" s="16"/>
      <c r="N1201" s="16"/>
      <c r="O1201" s="16"/>
      <c r="P1201" s="16"/>
    </row>
    <row r="1202" spans="10:16" x14ac:dyDescent="0.2">
      <c r="J1202" s="16"/>
      <c r="K1202" s="16"/>
      <c r="L1202" s="16"/>
      <c r="M1202" s="16"/>
      <c r="N1202" s="16"/>
      <c r="O1202" s="16"/>
      <c r="P1202" s="16"/>
    </row>
    <row r="1203" spans="10:16" x14ac:dyDescent="0.2">
      <c r="J1203" s="16"/>
      <c r="K1203" s="16"/>
      <c r="L1203" s="16"/>
      <c r="M1203" s="16"/>
      <c r="N1203" s="16"/>
      <c r="O1203" s="16"/>
      <c r="P1203" s="16"/>
    </row>
    <row r="1204" spans="10:16" x14ac:dyDescent="0.2">
      <c r="J1204" s="16"/>
      <c r="K1204" s="16"/>
      <c r="L1204" s="16"/>
      <c r="M1204" s="16"/>
      <c r="N1204" s="16"/>
      <c r="O1204" s="16"/>
      <c r="P1204" s="16"/>
    </row>
    <row r="1205" spans="10:16" x14ac:dyDescent="0.2">
      <c r="J1205" s="16"/>
      <c r="K1205" s="16"/>
      <c r="L1205" s="16"/>
      <c r="M1205" s="16"/>
      <c r="N1205" s="16"/>
      <c r="O1205" s="16"/>
      <c r="P1205" s="16"/>
    </row>
    <row r="1206" spans="10:16" x14ac:dyDescent="0.2">
      <c r="J1206" s="16"/>
      <c r="K1206" s="16"/>
      <c r="L1206" s="16"/>
      <c r="M1206" s="16"/>
      <c r="N1206" s="16"/>
      <c r="O1206" s="16"/>
      <c r="P1206" s="16"/>
    </row>
    <row r="1207" spans="10:16" x14ac:dyDescent="0.2">
      <c r="J1207" s="16"/>
      <c r="K1207" s="16"/>
      <c r="L1207" s="16"/>
      <c r="M1207" s="16"/>
      <c r="N1207" s="16"/>
      <c r="O1207" s="16"/>
      <c r="P1207" s="16"/>
    </row>
    <row r="1208" spans="10:16" x14ac:dyDescent="0.2">
      <c r="J1208" s="16"/>
      <c r="K1208" s="16"/>
      <c r="L1208" s="16"/>
      <c r="M1208" s="16"/>
      <c r="N1208" s="16"/>
      <c r="O1208" s="16"/>
      <c r="P1208" s="16"/>
    </row>
    <row r="1209" spans="10:16" x14ac:dyDescent="0.2">
      <c r="J1209" s="16"/>
      <c r="K1209" s="16"/>
      <c r="L1209" s="16"/>
      <c r="M1209" s="16"/>
      <c r="N1209" s="16"/>
      <c r="O1209" s="16"/>
      <c r="P1209" s="16"/>
    </row>
    <row r="1210" spans="10:16" x14ac:dyDescent="0.2">
      <c r="J1210" s="16"/>
      <c r="K1210" s="16"/>
      <c r="L1210" s="16"/>
      <c r="M1210" s="16"/>
      <c r="N1210" s="16"/>
      <c r="O1210" s="16"/>
      <c r="P1210" s="16"/>
    </row>
    <row r="1211" spans="10:16" x14ac:dyDescent="0.2">
      <c r="J1211" s="16"/>
      <c r="K1211" s="16"/>
      <c r="L1211" s="16"/>
      <c r="M1211" s="16"/>
      <c r="N1211" s="16"/>
      <c r="O1211" s="16"/>
      <c r="P1211" s="16"/>
    </row>
    <row r="1212" spans="10:16" x14ac:dyDescent="0.2">
      <c r="J1212" s="16"/>
      <c r="K1212" s="16"/>
      <c r="L1212" s="16"/>
      <c r="M1212" s="16"/>
      <c r="N1212" s="16"/>
      <c r="O1212" s="16"/>
      <c r="P1212" s="16"/>
    </row>
    <row r="1213" spans="10:16" x14ac:dyDescent="0.2">
      <c r="J1213" s="16"/>
      <c r="K1213" s="16"/>
      <c r="L1213" s="16"/>
      <c r="M1213" s="16"/>
      <c r="N1213" s="16"/>
      <c r="O1213" s="16"/>
      <c r="P1213" s="16"/>
    </row>
    <row r="1214" spans="10:16" x14ac:dyDescent="0.2">
      <c r="J1214" s="16"/>
      <c r="K1214" s="16"/>
      <c r="L1214" s="16"/>
      <c r="M1214" s="16"/>
      <c r="N1214" s="16"/>
      <c r="O1214" s="16"/>
      <c r="P1214" s="16"/>
    </row>
    <row r="1215" spans="10:16" x14ac:dyDescent="0.2">
      <c r="J1215" s="16"/>
      <c r="K1215" s="16"/>
      <c r="L1215" s="16"/>
      <c r="M1215" s="16"/>
      <c r="N1215" s="16"/>
      <c r="O1215" s="16"/>
      <c r="P1215" s="16"/>
    </row>
    <row r="1216" spans="10:16" x14ac:dyDescent="0.2">
      <c r="J1216" s="16"/>
      <c r="K1216" s="16"/>
      <c r="L1216" s="16"/>
      <c r="M1216" s="16"/>
      <c r="N1216" s="16"/>
      <c r="O1216" s="16"/>
      <c r="P1216" s="16"/>
    </row>
    <row r="1217" spans="10:16" x14ac:dyDescent="0.2">
      <c r="J1217" s="16"/>
      <c r="K1217" s="16"/>
      <c r="L1217" s="16"/>
      <c r="M1217" s="16"/>
      <c r="N1217" s="16"/>
      <c r="O1217" s="16"/>
      <c r="P1217" s="16"/>
    </row>
    <row r="1218" spans="10:16" x14ac:dyDescent="0.2">
      <c r="J1218" s="16"/>
      <c r="K1218" s="16"/>
      <c r="L1218" s="16"/>
      <c r="M1218" s="16"/>
      <c r="N1218" s="16"/>
      <c r="O1218" s="16"/>
      <c r="P1218" s="16"/>
    </row>
    <row r="1219" spans="10:16" x14ac:dyDescent="0.2">
      <c r="J1219" s="16"/>
      <c r="K1219" s="16"/>
      <c r="L1219" s="16"/>
      <c r="M1219" s="16"/>
      <c r="N1219" s="16"/>
      <c r="O1219" s="16"/>
      <c r="P1219" s="16"/>
    </row>
    <row r="1220" spans="10:16" x14ac:dyDescent="0.2">
      <c r="J1220" s="16"/>
      <c r="K1220" s="16"/>
      <c r="L1220" s="16"/>
      <c r="M1220" s="16"/>
      <c r="N1220" s="16"/>
      <c r="O1220" s="16"/>
      <c r="P1220" s="16"/>
    </row>
    <row r="1221" spans="10:16" x14ac:dyDescent="0.2">
      <c r="J1221" s="16"/>
      <c r="K1221" s="16"/>
      <c r="L1221" s="16"/>
      <c r="M1221" s="16"/>
      <c r="N1221" s="16"/>
      <c r="O1221" s="16"/>
      <c r="P1221" s="16"/>
    </row>
    <row r="1222" spans="10:16" x14ac:dyDescent="0.2">
      <c r="J1222" s="16"/>
      <c r="K1222" s="16"/>
      <c r="L1222" s="16"/>
      <c r="M1222" s="16"/>
      <c r="N1222" s="16"/>
      <c r="O1222" s="16"/>
      <c r="P1222" s="16"/>
    </row>
    <row r="1223" spans="10:16" x14ac:dyDescent="0.2">
      <c r="J1223" s="16"/>
      <c r="K1223" s="16"/>
      <c r="L1223" s="16"/>
      <c r="M1223" s="16"/>
      <c r="N1223" s="16"/>
      <c r="O1223" s="16"/>
      <c r="P1223" s="16"/>
    </row>
    <row r="1224" spans="10:16" x14ac:dyDescent="0.2">
      <c r="J1224" s="16"/>
      <c r="K1224" s="16"/>
      <c r="L1224" s="16"/>
      <c r="M1224" s="16"/>
      <c r="N1224" s="16"/>
      <c r="O1224" s="16"/>
      <c r="P1224" s="16"/>
    </row>
    <row r="1225" spans="10:16" x14ac:dyDescent="0.2">
      <c r="J1225" s="16"/>
      <c r="K1225" s="16"/>
      <c r="L1225" s="16"/>
      <c r="M1225" s="16"/>
      <c r="N1225" s="16"/>
      <c r="O1225" s="16"/>
      <c r="P1225" s="16"/>
    </row>
    <row r="1226" spans="10:16" x14ac:dyDescent="0.2">
      <c r="J1226" s="16"/>
      <c r="K1226" s="16"/>
      <c r="L1226" s="16"/>
      <c r="M1226" s="16"/>
      <c r="N1226" s="16"/>
      <c r="O1226" s="16"/>
      <c r="P1226" s="16"/>
    </row>
    <row r="1227" spans="10:16" x14ac:dyDescent="0.2">
      <c r="J1227" s="16"/>
      <c r="K1227" s="16"/>
      <c r="L1227" s="16"/>
      <c r="M1227" s="16"/>
      <c r="N1227" s="16"/>
      <c r="O1227" s="16"/>
      <c r="P1227" s="16"/>
    </row>
    <row r="1228" spans="10:16" x14ac:dyDescent="0.2">
      <c r="J1228" s="16"/>
      <c r="K1228" s="16"/>
      <c r="L1228" s="16"/>
      <c r="M1228" s="16"/>
      <c r="N1228" s="16"/>
      <c r="O1228" s="16"/>
      <c r="P1228" s="16"/>
    </row>
    <row r="1229" spans="10:16" x14ac:dyDescent="0.2">
      <c r="J1229" s="16"/>
      <c r="K1229" s="16"/>
      <c r="L1229" s="16"/>
      <c r="M1229" s="16"/>
      <c r="N1229" s="16"/>
      <c r="O1229" s="16"/>
      <c r="P1229" s="16"/>
    </row>
    <row r="1230" spans="10:16" x14ac:dyDescent="0.2">
      <c r="J1230" s="16"/>
      <c r="K1230" s="16"/>
      <c r="L1230" s="16"/>
      <c r="M1230" s="16"/>
      <c r="N1230" s="16"/>
      <c r="O1230" s="16"/>
      <c r="P1230" s="16"/>
    </row>
    <row r="1231" spans="10:16" x14ac:dyDescent="0.2">
      <c r="J1231" s="16"/>
      <c r="K1231" s="16"/>
      <c r="L1231" s="16"/>
      <c r="M1231" s="16"/>
      <c r="N1231" s="16"/>
      <c r="O1231" s="16"/>
      <c r="P1231" s="16"/>
    </row>
    <row r="1232" spans="10:16" x14ac:dyDescent="0.2">
      <c r="J1232" s="16"/>
      <c r="K1232" s="16"/>
      <c r="L1232" s="16"/>
      <c r="M1232" s="16"/>
      <c r="N1232" s="16"/>
      <c r="O1232" s="16"/>
      <c r="P1232" s="16"/>
    </row>
    <row r="1233" spans="10:16" x14ac:dyDescent="0.2">
      <c r="J1233" s="16"/>
      <c r="K1233" s="16"/>
      <c r="L1233" s="16"/>
      <c r="M1233" s="16"/>
      <c r="N1233" s="16"/>
      <c r="O1233" s="16"/>
      <c r="P1233" s="16"/>
    </row>
    <row r="1234" spans="10:16" x14ac:dyDescent="0.2">
      <c r="J1234" s="16"/>
      <c r="K1234" s="16"/>
      <c r="L1234" s="16"/>
      <c r="M1234" s="16"/>
      <c r="N1234" s="16"/>
      <c r="O1234" s="16"/>
      <c r="P1234" s="16"/>
    </row>
    <row r="1235" spans="10:16" x14ac:dyDescent="0.2">
      <c r="J1235" s="16"/>
      <c r="K1235" s="16"/>
      <c r="L1235" s="16"/>
      <c r="M1235" s="16"/>
      <c r="N1235" s="16"/>
      <c r="O1235" s="16"/>
      <c r="P1235" s="16"/>
    </row>
    <row r="1236" spans="10:16" x14ac:dyDescent="0.2">
      <c r="J1236" s="16"/>
      <c r="K1236" s="16"/>
      <c r="L1236" s="16"/>
      <c r="M1236" s="16"/>
      <c r="N1236" s="16"/>
      <c r="O1236" s="16"/>
      <c r="P1236" s="16"/>
    </row>
    <row r="1237" spans="10:16" x14ac:dyDescent="0.2">
      <c r="J1237" s="16"/>
      <c r="K1237" s="16"/>
      <c r="L1237" s="16"/>
      <c r="M1237" s="16"/>
      <c r="N1237" s="16"/>
      <c r="O1237" s="16"/>
      <c r="P1237" s="16"/>
    </row>
    <row r="1238" spans="10:16" x14ac:dyDescent="0.2">
      <c r="J1238" s="16"/>
      <c r="K1238" s="16"/>
      <c r="L1238" s="16"/>
      <c r="M1238" s="16"/>
      <c r="N1238" s="16"/>
      <c r="O1238" s="16"/>
      <c r="P1238" s="16"/>
    </row>
    <row r="1239" spans="10:16" x14ac:dyDescent="0.2">
      <c r="J1239" s="16"/>
      <c r="K1239" s="16"/>
      <c r="L1239" s="16"/>
      <c r="M1239" s="16"/>
      <c r="N1239" s="16"/>
      <c r="O1239" s="16"/>
      <c r="P1239" s="16"/>
    </row>
    <row r="1240" spans="10:16" x14ac:dyDescent="0.2">
      <c r="J1240" s="16"/>
      <c r="K1240" s="16"/>
      <c r="L1240" s="16"/>
      <c r="M1240" s="16"/>
      <c r="N1240" s="16"/>
      <c r="O1240" s="16"/>
      <c r="P1240" s="16"/>
    </row>
    <row r="1241" spans="10:16" x14ac:dyDescent="0.2">
      <c r="J1241" s="16"/>
      <c r="K1241" s="16"/>
      <c r="L1241" s="16"/>
      <c r="M1241" s="16"/>
      <c r="N1241" s="16"/>
      <c r="O1241" s="16"/>
      <c r="P1241" s="16"/>
    </row>
    <row r="1242" spans="10:16" x14ac:dyDescent="0.2">
      <c r="J1242" s="16"/>
      <c r="K1242" s="16"/>
      <c r="L1242" s="16"/>
      <c r="M1242" s="16"/>
      <c r="N1242" s="16"/>
      <c r="O1242" s="16"/>
      <c r="P1242" s="16"/>
    </row>
    <row r="1243" spans="10:16" x14ac:dyDescent="0.2">
      <c r="J1243" s="16"/>
      <c r="K1243" s="16"/>
      <c r="L1243" s="16"/>
      <c r="M1243" s="16"/>
      <c r="N1243" s="16"/>
      <c r="O1243" s="16"/>
      <c r="P1243" s="16"/>
    </row>
    <row r="1244" spans="10:16" x14ac:dyDescent="0.2">
      <c r="J1244" s="16"/>
      <c r="K1244" s="16"/>
      <c r="L1244" s="16"/>
      <c r="M1244" s="16"/>
      <c r="N1244" s="16"/>
      <c r="O1244" s="16"/>
      <c r="P1244" s="16"/>
    </row>
    <row r="1245" spans="10:16" x14ac:dyDescent="0.2">
      <c r="J1245" s="16"/>
      <c r="K1245" s="16"/>
      <c r="L1245" s="16"/>
      <c r="M1245" s="16"/>
      <c r="N1245" s="16"/>
      <c r="O1245" s="16"/>
      <c r="P1245" s="16"/>
    </row>
    <row r="1246" spans="10:16" x14ac:dyDescent="0.2">
      <c r="J1246" s="16"/>
      <c r="K1246" s="16"/>
      <c r="L1246" s="16"/>
      <c r="M1246" s="16"/>
      <c r="N1246" s="16"/>
      <c r="O1246" s="16"/>
      <c r="P1246" s="16"/>
    </row>
    <row r="1247" spans="10:16" x14ac:dyDescent="0.2">
      <c r="J1247" s="16"/>
      <c r="K1247" s="16"/>
      <c r="L1247" s="16"/>
      <c r="M1247" s="16"/>
      <c r="N1247" s="16"/>
      <c r="O1247" s="16"/>
      <c r="P1247" s="16"/>
    </row>
    <row r="1248" spans="10:16" x14ac:dyDescent="0.2">
      <c r="J1248" s="16"/>
      <c r="K1248" s="16"/>
      <c r="L1248" s="16"/>
      <c r="M1248" s="16"/>
      <c r="N1248" s="16"/>
      <c r="O1248" s="16"/>
      <c r="P1248" s="16"/>
    </row>
    <row r="1249" spans="10:16" x14ac:dyDescent="0.2">
      <c r="J1249" s="16"/>
      <c r="K1249" s="16"/>
      <c r="L1249" s="16"/>
      <c r="M1249" s="16"/>
      <c r="N1249" s="16"/>
      <c r="O1249" s="16"/>
      <c r="P1249" s="16"/>
    </row>
    <row r="1250" spans="10:16" x14ac:dyDescent="0.2">
      <c r="J1250" s="16"/>
      <c r="K1250" s="16"/>
      <c r="L1250" s="16"/>
      <c r="M1250" s="16"/>
      <c r="N1250" s="16"/>
      <c r="O1250" s="16"/>
      <c r="P1250" s="16"/>
    </row>
    <row r="1251" spans="10:16" x14ac:dyDescent="0.2">
      <c r="J1251" s="16"/>
      <c r="K1251" s="16"/>
      <c r="L1251" s="16"/>
      <c r="M1251" s="16"/>
      <c r="N1251" s="16"/>
      <c r="O1251" s="16"/>
      <c r="P1251" s="16"/>
    </row>
    <row r="1252" spans="10:16" x14ac:dyDescent="0.2">
      <c r="J1252" s="16"/>
      <c r="K1252" s="16"/>
      <c r="L1252" s="16"/>
      <c r="M1252" s="16"/>
      <c r="N1252" s="16"/>
      <c r="O1252" s="16"/>
      <c r="P1252" s="16"/>
    </row>
    <row r="1253" spans="10:16" x14ac:dyDescent="0.2">
      <c r="J1253" s="16"/>
      <c r="K1253" s="16"/>
      <c r="L1253" s="16"/>
      <c r="M1253" s="16"/>
      <c r="N1253" s="16"/>
      <c r="O1253" s="16"/>
      <c r="P1253" s="16"/>
    </row>
    <row r="1254" spans="10:16" x14ac:dyDescent="0.2">
      <c r="J1254" s="16"/>
      <c r="K1254" s="16"/>
      <c r="L1254" s="16"/>
      <c r="M1254" s="16"/>
      <c r="N1254" s="16"/>
      <c r="O1254" s="16"/>
      <c r="P1254" s="16"/>
    </row>
    <row r="1255" spans="10:16" x14ac:dyDescent="0.2">
      <c r="J1255" s="16"/>
      <c r="K1255" s="16"/>
      <c r="L1255" s="16"/>
      <c r="M1255" s="16"/>
      <c r="N1255" s="16"/>
      <c r="O1255" s="16"/>
      <c r="P1255" s="16"/>
    </row>
    <row r="1256" spans="10:16" x14ac:dyDescent="0.2">
      <c r="J1256" s="16"/>
      <c r="K1256" s="16"/>
      <c r="L1256" s="16"/>
      <c r="M1256" s="16"/>
      <c r="N1256" s="16"/>
      <c r="O1256" s="16"/>
      <c r="P1256" s="16"/>
    </row>
    <row r="1257" spans="10:16" x14ac:dyDescent="0.2">
      <c r="J1257" s="16"/>
      <c r="K1257" s="16"/>
      <c r="L1257" s="16"/>
      <c r="M1257" s="16"/>
      <c r="N1257" s="16"/>
      <c r="O1257" s="16"/>
      <c r="P1257" s="16"/>
    </row>
    <row r="1258" spans="10:16" x14ac:dyDescent="0.2">
      <c r="J1258" s="16"/>
      <c r="K1258" s="16"/>
      <c r="L1258" s="16"/>
      <c r="M1258" s="16"/>
      <c r="N1258" s="16"/>
      <c r="O1258" s="16"/>
      <c r="P1258" s="16"/>
    </row>
    <row r="1259" spans="10:16" x14ac:dyDescent="0.2">
      <c r="J1259" s="16"/>
      <c r="K1259" s="16"/>
      <c r="L1259" s="16"/>
      <c r="M1259" s="16"/>
      <c r="N1259" s="16"/>
      <c r="O1259" s="16"/>
      <c r="P1259" s="16"/>
    </row>
    <row r="1260" spans="10:16" x14ac:dyDescent="0.2">
      <c r="J1260" s="16"/>
      <c r="K1260" s="16"/>
      <c r="L1260" s="16"/>
      <c r="M1260" s="16"/>
      <c r="N1260" s="16"/>
      <c r="O1260" s="16"/>
      <c r="P1260" s="16"/>
    </row>
    <row r="1261" spans="10:16" x14ac:dyDescent="0.2">
      <c r="J1261" s="16"/>
      <c r="K1261" s="16"/>
      <c r="L1261" s="16"/>
      <c r="M1261" s="16"/>
      <c r="N1261" s="16"/>
      <c r="O1261" s="16"/>
      <c r="P1261" s="16"/>
    </row>
    <row r="1262" spans="10:16" x14ac:dyDescent="0.2">
      <c r="J1262" s="16"/>
      <c r="K1262" s="16"/>
      <c r="L1262" s="16"/>
      <c r="M1262" s="16"/>
      <c r="N1262" s="16"/>
      <c r="O1262" s="16"/>
      <c r="P1262" s="16"/>
    </row>
    <row r="1263" spans="10:16" x14ac:dyDescent="0.2">
      <c r="J1263" s="16"/>
      <c r="K1263" s="16"/>
      <c r="L1263" s="16"/>
      <c r="M1263" s="16"/>
      <c r="N1263" s="16"/>
      <c r="O1263" s="16"/>
      <c r="P1263" s="16"/>
    </row>
    <row r="1264" spans="10:16" x14ac:dyDescent="0.2">
      <c r="J1264" s="16"/>
      <c r="K1264" s="16"/>
      <c r="L1264" s="16"/>
      <c r="M1264" s="16"/>
      <c r="N1264" s="16"/>
      <c r="O1264" s="16"/>
      <c r="P1264" s="16"/>
    </row>
    <row r="1265" spans="10:16" x14ac:dyDescent="0.2">
      <c r="J1265" s="16"/>
      <c r="K1265" s="16"/>
      <c r="L1265" s="16"/>
      <c r="M1265" s="16"/>
      <c r="N1265" s="16"/>
      <c r="O1265" s="16"/>
      <c r="P1265" s="16"/>
    </row>
    <row r="1266" spans="10:16" x14ac:dyDescent="0.2">
      <c r="J1266" s="16"/>
      <c r="K1266" s="16"/>
      <c r="L1266" s="16"/>
      <c r="M1266" s="16"/>
      <c r="N1266" s="16"/>
      <c r="O1266" s="16"/>
      <c r="P1266" s="16"/>
    </row>
    <row r="1267" spans="10:16" x14ac:dyDescent="0.2">
      <c r="J1267" s="16"/>
      <c r="K1267" s="16"/>
      <c r="L1267" s="16"/>
      <c r="M1267" s="16"/>
      <c r="N1267" s="16"/>
      <c r="O1267" s="16"/>
      <c r="P1267" s="16"/>
    </row>
    <row r="1268" spans="10:16" x14ac:dyDescent="0.2">
      <c r="J1268" s="16"/>
      <c r="K1268" s="16"/>
      <c r="L1268" s="16"/>
      <c r="M1268" s="16"/>
      <c r="N1268" s="16"/>
      <c r="O1268" s="16"/>
      <c r="P1268" s="16"/>
    </row>
    <row r="1269" spans="10:16" x14ac:dyDescent="0.2">
      <c r="J1269" s="16"/>
      <c r="K1269" s="16"/>
      <c r="L1269" s="16"/>
      <c r="M1269" s="16"/>
      <c r="N1269" s="16"/>
      <c r="O1269" s="16"/>
      <c r="P1269" s="16"/>
    </row>
    <row r="1270" spans="10:16" x14ac:dyDescent="0.2">
      <c r="J1270" s="16"/>
      <c r="K1270" s="16"/>
      <c r="L1270" s="16"/>
      <c r="M1270" s="16"/>
      <c r="N1270" s="16"/>
      <c r="O1270" s="16"/>
      <c r="P1270" s="16"/>
    </row>
    <row r="1271" spans="10:16" x14ac:dyDescent="0.2">
      <c r="J1271" s="16"/>
      <c r="K1271" s="16"/>
      <c r="L1271" s="16"/>
      <c r="M1271" s="16"/>
      <c r="N1271" s="16"/>
      <c r="O1271" s="16"/>
      <c r="P1271" s="16"/>
    </row>
    <row r="1272" spans="10:16" x14ac:dyDescent="0.2">
      <c r="J1272" s="16"/>
      <c r="K1272" s="16"/>
      <c r="L1272" s="16"/>
      <c r="M1272" s="16"/>
      <c r="N1272" s="16"/>
      <c r="O1272" s="16"/>
      <c r="P1272" s="16"/>
    </row>
    <row r="1273" spans="10:16" x14ac:dyDescent="0.2">
      <c r="J1273" s="16"/>
      <c r="K1273" s="16"/>
      <c r="L1273" s="16"/>
      <c r="M1273" s="16"/>
      <c r="N1273" s="16"/>
      <c r="O1273" s="16"/>
      <c r="P1273" s="16"/>
    </row>
    <row r="1274" spans="10:16" x14ac:dyDescent="0.2">
      <c r="J1274" s="16"/>
      <c r="K1274" s="16"/>
      <c r="L1274" s="16"/>
      <c r="M1274" s="16"/>
      <c r="N1274" s="16"/>
      <c r="O1274" s="16"/>
      <c r="P1274" s="16"/>
    </row>
    <row r="1275" spans="10:16" x14ac:dyDescent="0.2">
      <c r="J1275" s="16"/>
      <c r="K1275" s="16"/>
      <c r="L1275" s="16"/>
      <c r="M1275" s="16"/>
      <c r="N1275" s="16"/>
      <c r="O1275" s="16"/>
      <c r="P1275" s="16"/>
    </row>
    <row r="1276" spans="10:16" x14ac:dyDescent="0.2">
      <c r="J1276" s="16"/>
      <c r="K1276" s="16"/>
      <c r="L1276" s="16"/>
      <c r="M1276" s="16"/>
      <c r="N1276" s="16"/>
      <c r="O1276" s="16"/>
      <c r="P1276" s="16"/>
    </row>
    <row r="1277" spans="10:16" x14ac:dyDescent="0.2">
      <c r="J1277" s="16"/>
      <c r="K1277" s="16"/>
      <c r="L1277" s="16"/>
      <c r="M1277" s="16"/>
      <c r="N1277" s="16"/>
      <c r="O1277" s="16"/>
      <c r="P1277" s="16"/>
    </row>
    <row r="1278" spans="10:16" x14ac:dyDescent="0.2">
      <c r="J1278" s="16"/>
      <c r="K1278" s="16"/>
      <c r="L1278" s="16"/>
      <c r="M1278" s="16"/>
      <c r="N1278" s="16"/>
      <c r="O1278" s="16"/>
      <c r="P1278" s="16"/>
    </row>
    <row r="1279" spans="10:16" x14ac:dyDescent="0.2">
      <c r="J1279" s="16"/>
      <c r="K1279" s="16"/>
      <c r="L1279" s="16"/>
      <c r="M1279" s="16"/>
      <c r="N1279" s="16"/>
      <c r="O1279" s="16"/>
      <c r="P1279" s="16"/>
    </row>
    <row r="1280" spans="10:16" x14ac:dyDescent="0.2">
      <c r="J1280" s="16"/>
      <c r="K1280" s="16"/>
      <c r="L1280" s="16"/>
      <c r="M1280" s="16"/>
      <c r="N1280" s="16"/>
      <c r="O1280" s="16"/>
      <c r="P1280" s="16"/>
    </row>
    <row r="1281" spans="10:16" x14ac:dyDescent="0.2">
      <c r="J1281" s="16"/>
      <c r="K1281" s="16"/>
      <c r="L1281" s="16"/>
      <c r="M1281" s="16"/>
      <c r="N1281" s="16"/>
      <c r="O1281" s="16"/>
      <c r="P1281" s="16"/>
    </row>
    <row r="1282" spans="10:16" x14ac:dyDescent="0.2">
      <c r="J1282" s="16"/>
      <c r="K1282" s="16"/>
      <c r="L1282" s="16"/>
      <c r="M1282" s="16"/>
      <c r="N1282" s="16"/>
      <c r="O1282" s="16"/>
      <c r="P1282" s="16"/>
    </row>
    <row r="1283" spans="10:16" x14ac:dyDescent="0.2">
      <c r="J1283" s="16"/>
      <c r="K1283" s="16"/>
      <c r="L1283" s="16"/>
      <c r="M1283" s="16"/>
      <c r="N1283" s="16"/>
      <c r="O1283" s="16"/>
      <c r="P1283" s="16"/>
    </row>
    <row r="1284" spans="10:16" x14ac:dyDescent="0.2">
      <c r="J1284" s="16"/>
      <c r="K1284" s="16"/>
      <c r="L1284" s="16"/>
      <c r="M1284" s="16"/>
      <c r="N1284" s="16"/>
      <c r="O1284" s="16"/>
      <c r="P1284" s="16"/>
    </row>
    <row r="1285" spans="10:16" x14ac:dyDescent="0.2">
      <c r="J1285" s="16"/>
      <c r="K1285" s="16"/>
      <c r="L1285" s="16"/>
      <c r="M1285" s="16"/>
      <c r="N1285" s="16"/>
      <c r="O1285" s="16"/>
      <c r="P1285" s="16"/>
    </row>
    <row r="1286" spans="10:16" x14ac:dyDescent="0.2">
      <c r="J1286" s="16"/>
      <c r="K1286" s="16"/>
      <c r="L1286" s="16"/>
      <c r="M1286" s="16"/>
      <c r="N1286" s="16"/>
      <c r="O1286" s="16"/>
      <c r="P1286" s="16"/>
    </row>
    <row r="1287" spans="10:16" x14ac:dyDescent="0.2">
      <c r="J1287" s="16"/>
      <c r="K1287" s="16"/>
      <c r="L1287" s="16"/>
      <c r="M1287" s="16"/>
      <c r="N1287" s="16"/>
      <c r="O1287" s="16"/>
      <c r="P1287" s="16"/>
    </row>
    <row r="1288" spans="10:16" x14ac:dyDescent="0.2">
      <c r="J1288" s="16"/>
      <c r="K1288" s="16"/>
      <c r="L1288" s="16"/>
      <c r="M1288" s="16"/>
      <c r="N1288" s="16"/>
      <c r="O1288" s="16"/>
      <c r="P1288" s="16"/>
    </row>
    <row r="1289" spans="10:16" x14ac:dyDescent="0.2">
      <c r="J1289" s="16"/>
      <c r="K1289" s="16"/>
      <c r="L1289" s="16"/>
      <c r="M1289" s="16"/>
      <c r="N1289" s="16"/>
      <c r="O1289" s="16"/>
      <c r="P1289" s="16"/>
    </row>
    <row r="1290" spans="10:16" x14ac:dyDescent="0.2">
      <c r="J1290" s="16"/>
      <c r="K1290" s="16"/>
      <c r="L1290" s="16"/>
      <c r="M1290" s="16"/>
      <c r="N1290" s="16"/>
      <c r="O1290" s="16"/>
      <c r="P1290" s="16"/>
    </row>
    <row r="1291" spans="10:16" x14ac:dyDescent="0.2">
      <c r="J1291" s="16"/>
      <c r="K1291" s="16"/>
      <c r="L1291" s="16"/>
      <c r="M1291" s="16"/>
      <c r="N1291" s="16"/>
      <c r="O1291" s="16"/>
      <c r="P1291" s="16"/>
    </row>
    <row r="1292" spans="10:16" x14ac:dyDescent="0.2">
      <c r="J1292" s="16"/>
      <c r="K1292" s="16"/>
      <c r="L1292" s="16"/>
      <c r="M1292" s="16"/>
      <c r="N1292" s="16"/>
      <c r="O1292" s="16"/>
      <c r="P1292" s="16"/>
    </row>
    <row r="1293" spans="10:16" x14ac:dyDescent="0.2">
      <c r="J1293" s="16"/>
      <c r="K1293" s="16"/>
      <c r="L1293" s="16"/>
      <c r="M1293" s="16"/>
      <c r="N1293" s="16"/>
      <c r="O1293" s="16"/>
      <c r="P1293" s="16"/>
    </row>
    <row r="1294" spans="10:16" x14ac:dyDescent="0.2">
      <c r="J1294" s="16"/>
      <c r="K1294" s="16"/>
      <c r="L1294" s="16"/>
      <c r="M1294" s="16"/>
      <c r="N1294" s="16"/>
      <c r="O1294" s="16"/>
      <c r="P1294" s="16"/>
    </row>
    <row r="1295" spans="10:16" x14ac:dyDescent="0.2">
      <c r="J1295" s="16"/>
      <c r="K1295" s="16"/>
      <c r="L1295" s="16"/>
      <c r="M1295" s="16"/>
      <c r="N1295" s="16"/>
      <c r="O1295" s="16"/>
      <c r="P1295" s="16"/>
    </row>
    <row r="1296" spans="10:16" x14ac:dyDescent="0.2">
      <c r="J1296" s="16"/>
      <c r="K1296" s="16"/>
      <c r="L1296" s="16"/>
      <c r="M1296" s="16"/>
      <c r="N1296" s="16"/>
      <c r="O1296" s="16"/>
      <c r="P1296" s="16"/>
    </row>
    <row r="1297" spans="10:16" x14ac:dyDescent="0.2">
      <c r="J1297" s="16"/>
      <c r="K1297" s="16"/>
      <c r="L1297" s="16"/>
      <c r="M1297" s="16"/>
      <c r="N1297" s="16"/>
      <c r="O1297" s="16"/>
      <c r="P1297" s="16"/>
    </row>
    <row r="1298" spans="10:16" x14ac:dyDescent="0.2">
      <c r="J1298" s="16"/>
      <c r="K1298" s="16"/>
      <c r="L1298" s="16"/>
      <c r="M1298" s="16"/>
      <c r="N1298" s="16"/>
      <c r="O1298" s="16"/>
      <c r="P1298" s="16"/>
    </row>
    <row r="1299" spans="10:16" x14ac:dyDescent="0.2">
      <c r="J1299" s="16"/>
      <c r="K1299" s="16"/>
      <c r="L1299" s="16"/>
      <c r="M1299" s="16"/>
      <c r="N1299" s="16"/>
      <c r="O1299" s="16"/>
      <c r="P1299" s="16"/>
    </row>
    <row r="1300" spans="10:16" x14ac:dyDescent="0.2">
      <c r="J1300" s="16"/>
      <c r="K1300" s="16"/>
      <c r="L1300" s="16"/>
      <c r="M1300" s="16"/>
      <c r="N1300" s="16"/>
      <c r="O1300" s="16"/>
      <c r="P1300" s="16"/>
    </row>
    <row r="1301" spans="10:16" x14ac:dyDescent="0.2">
      <c r="J1301" s="16"/>
      <c r="K1301" s="16"/>
      <c r="L1301" s="16"/>
      <c r="M1301" s="16"/>
      <c r="N1301" s="16"/>
      <c r="O1301" s="16"/>
      <c r="P1301" s="16"/>
    </row>
    <row r="1302" spans="10:16" x14ac:dyDescent="0.2">
      <c r="J1302" s="16"/>
      <c r="K1302" s="16"/>
      <c r="L1302" s="16"/>
      <c r="M1302" s="16"/>
      <c r="N1302" s="16"/>
      <c r="O1302" s="16"/>
      <c r="P1302" s="16"/>
    </row>
    <row r="1303" spans="10:16" x14ac:dyDescent="0.2">
      <c r="J1303" s="16"/>
      <c r="K1303" s="16"/>
      <c r="L1303" s="16"/>
      <c r="M1303" s="16"/>
      <c r="N1303" s="16"/>
      <c r="O1303" s="16"/>
      <c r="P1303" s="16"/>
    </row>
    <row r="1304" spans="10:16" x14ac:dyDescent="0.2">
      <c r="J1304" s="16"/>
      <c r="K1304" s="16"/>
      <c r="L1304" s="16"/>
      <c r="M1304" s="16"/>
      <c r="N1304" s="16"/>
      <c r="O1304" s="16"/>
      <c r="P1304" s="16"/>
    </row>
    <row r="1305" spans="10:16" x14ac:dyDescent="0.2">
      <c r="J1305" s="16"/>
      <c r="K1305" s="16"/>
      <c r="L1305" s="16"/>
      <c r="M1305" s="16"/>
      <c r="N1305" s="16"/>
      <c r="O1305" s="16"/>
      <c r="P1305" s="16"/>
    </row>
    <row r="1306" spans="10:16" x14ac:dyDescent="0.2">
      <c r="J1306" s="16"/>
      <c r="K1306" s="16"/>
      <c r="L1306" s="16"/>
      <c r="M1306" s="16"/>
      <c r="N1306" s="16"/>
      <c r="O1306" s="16"/>
      <c r="P1306" s="16"/>
    </row>
    <row r="1307" spans="10:16" x14ac:dyDescent="0.2">
      <c r="J1307" s="16"/>
      <c r="K1307" s="16"/>
      <c r="L1307" s="16"/>
      <c r="M1307" s="16"/>
      <c r="N1307" s="16"/>
      <c r="O1307" s="16"/>
      <c r="P1307" s="16"/>
    </row>
    <row r="1308" spans="10:16" x14ac:dyDescent="0.2">
      <c r="J1308" s="16"/>
      <c r="K1308" s="16"/>
      <c r="L1308" s="16"/>
      <c r="M1308" s="16"/>
      <c r="N1308" s="16"/>
      <c r="O1308" s="16"/>
      <c r="P1308" s="16"/>
    </row>
    <row r="1309" spans="10:16" x14ac:dyDescent="0.2">
      <c r="J1309" s="16"/>
      <c r="K1309" s="16"/>
      <c r="L1309" s="16"/>
      <c r="M1309" s="16"/>
      <c r="N1309" s="16"/>
      <c r="O1309" s="16"/>
      <c r="P1309" s="16"/>
    </row>
    <row r="1310" spans="10:16" x14ac:dyDescent="0.2">
      <c r="J1310" s="16"/>
      <c r="K1310" s="16"/>
      <c r="L1310" s="16"/>
      <c r="M1310" s="16"/>
      <c r="N1310" s="16"/>
      <c r="O1310" s="16"/>
      <c r="P1310" s="16"/>
    </row>
    <row r="1311" spans="10:16" x14ac:dyDescent="0.2">
      <c r="J1311" s="16"/>
      <c r="K1311" s="16"/>
      <c r="L1311" s="16"/>
      <c r="M1311" s="16"/>
      <c r="N1311" s="16"/>
      <c r="O1311" s="16"/>
      <c r="P1311" s="16"/>
    </row>
    <row r="1312" spans="10:16" x14ac:dyDescent="0.2">
      <c r="J1312" s="16"/>
      <c r="K1312" s="16"/>
      <c r="L1312" s="16"/>
      <c r="M1312" s="16"/>
      <c r="N1312" s="16"/>
      <c r="O1312" s="16"/>
      <c r="P1312" s="16"/>
    </row>
    <row r="1313" spans="10:16" x14ac:dyDescent="0.2">
      <c r="J1313" s="16"/>
      <c r="K1313" s="16"/>
      <c r="L1313" s="16"/>
      <c r="M1313" s="16"/>
      <c r="N1313" s="16"/>
      <c r="O1313" s="16"/>
      <c r="P1313" s="16"/>
    </row>
    <row r="1314" spans="10:16" x14ac:dyDescent="0.2">
      <c r="J1314" s="16"/>
      <c r="K1314" s="16"/>
      <c r="L1314" s="16"/>
      <c r="M1314" s="16"/>
      <c r="N1314" s="16"/>
      <c r="O1314" s="16"/>
      <c r="P1314" s="16"/>
    </row>
    <row r="1315" spans="10:16" x14ac:dyDescent="0.2">
      <c r="J1315" s="16"/>
      <c r="K1315" s="16"/>
      <c r="L1315" s="16"/>
      <c r="M1315" s="16"/>
      <c r="N1315" s="16"/>
      <c r="O1315" s="16"/>
      <c r="P1315" s="16"/>
    </row>
    <row r="1316" spans="10:16" x14ac:dyDescent="0.2">
      <c r="J1316" s="16"/>
      <c r="K1316" s="16"/>
      <c r="L1316" s="16"/>
      <c r="M1316" s="16"/>
      <c r="N1316" s="16"/>
      <c r="O1316" s="16"/>
      <c r="P1316" s="16"/>
    </row>
    <row r="1317" spans="10:16" x14ac:dyDescent="0.2">
      <c r="J1317" s="16"/>
      <c r="K1317" s="16"/>
      <c r="L1317" s="16"/>
      <c r="M1317" s="16"/>
      <c r="N1317" s="16"/>
      <c r="O1317" s="16"/>
      <c r="P1317" s="16"/>
    </row>
    <row r="1318" spans="10:16" x14ac:dyDescent="0.2">
      <c r="J1318" s="16"/>
      <c r="K1318" s="16"/>
      <c r="L1318" s="16"/>
      <c r="M1318" s="16"/>
      <c r="N1318" s="16"/>
      <c r="O1318" s="16"/>
      <c r="P1318" s="16"/>
    </row>
    <row r="1319" spans="10:16" x14ac:dyDescent="0.2">
      <c r="J1319" s="16"/>
      <c r="K1319" s="16"/>
      <c r="L1319" s="16"/>
      <c r="M1319" s="16"/>
      <c r="N1319" s="16"/>
      <c r="O1319" s="16"/>
      <c r="P1319" s="16"/>
    </row>
    <row r="1320" spans="10:16" x14ac:dyDescent="0.2">
      <c r="J1320" s="16"/>
      <c r="K1320" s="16"/>
      <c r="L1320" s="16"/>
      <c r="M1320" s="16"/>
      <c r="N1320" s="16"/>
      <c r="O1320" s="16"/>
      <c r="P1320" s="16"/>
    </row>
    <row r="1321" spans="10:16" x14ac:dyDescent="0.2">
      <c r="J1321" s="16"/>
      <c r="K1321" s="16"/>
      <c r="L1321" s="16"/>
      <c r="M1321" s="16"/>
      <c r="N1321" s="16"/>
      <c r="O1321" s="16"/>
      <c r="P1321" s="16"/>
    </row>
    <row r="1322" spans="10:16" x14ac:dyDescent="0.2">
      <c r="J1322" s="16"/>
      <c r="K1322" s="16"/>
      <c r="L1322" s="16"/>
      <c r="M1322" s="16"/>
      <c r="N1322" s="16"/>
      <c r="O1322" s="16"/>
      <c r="P1322" s="16"/>
    </row>
    <row r="1323" spans="10:16" x14ac:dyDescent="0.2">
      <c r="J1323" s="16"/>
      <c r="K1323" s="16"/>
      <c r="L1323" s="16"/>
      <c r="M1323" s="16"/>
      <c r="N1323" s="16"/>
      <c r="O1323" s="16"/>
      <c r="P1323" s="16"/>
    </row>
    <row r="1324" spans="10:16" x14ac:dyDescent="0.2">
      <c r="J1324" s="16"/>
      <c r="K1324" s="16"/>
      <c r="L1324" s="16"/>
      <c r="M1324" s="16"/>
      <c r="N1324" s="16"/>
      <c r="O1324" s="16"/>
      <c r="P1324" s="16"/>
    </row>
    <row r="1325" spans="10:16" x14ac:dyDescent="0.2">
      <c r="J1325" s="16"/>
      <c r="K1325" s="16"/>
      <c r="L1325" s="16"/>
      <c r="M1325" s="16"/>
      <c r="N1325" s="16"/>
      <c r="O1325" s="16"/>
      <c r="P1325" s="16"/>
    </row>
    <row r="1326" spans="10:16" x14ac:dyDescent="0.2">
      <c r="J1326" s="16"/>
      <c r="K1326" s="16"/>
      <c r="L1326" s="16"/>
      <c r="M1326" s="16"/>
      <c r="N1326" s="16"/>
      <c r="O1326" s="16"/>
      <c r="P1326" s="16"/>
    </row>
    <row r="1327" spans="10:16" x14ac:dyDescent="0.2">
      <c r="J1327" s="16"/>
      <c r="K1327" s="16"/>
      <c r="L1327" s="16"/>
      <c r="M1327" s="16"/>
      <c r="N1327" s="16"/>
      <c r="O1327" s="16"/>
      <c r="P1327" s="16"/>
    </row>
    <row r="1328" spans="10:16" x14ac:dyDescent="0.2">
      <c r="J1328" s="16"/>
      <c r="K1328" s="16"/>
      <c r="L1328" s="16"/>
      <c r="M1328" s="16"/>
      <c r="N1328" s="16"/>
      <c r="O1328" s="16"/>
      <c r="P1328" s="16"/>
    </row>
    <row r="1329" spans="10:16" x14ac:dyDescent="0.2">
      <c r="J1329" s="16"/>
      <c r="K1329" s="16"/>
      <c r="L1329" s="16"/>
      <c r="M1329" s="16"/>
      <c r="N1329" s="16"/>
      <c r="O1329" s="16"/>
      <c r="P1329" s="16"/>
    </row>
    <row r="1330" spans="10:16" x14ac:dyDescent="0.2">
      <c r="J1330" s="16"/>
      <c r="K1330" s="16"/>
      <c r="L1330" s="16"/>
      <c r="M1330" s="16"/>
      <c r="N1330" s="16"/>
      <c r="O1330" s="16"/>
      <c r="P1330" s="16"/>
    </row>
    <row r="1331" spans="10:16" x14ac:dyDescent="0.2">
      <c r="J1331" s="16"/>
      <c r="K1331" s="16"/>
      <c r="L1331" s="16"/>
      <c r="M1331" s="16"/>
      <c r="N1331" s="16"/>
      <c r="O1331" s="16"/>
      <c r="P1331" s="16"/>
    </row>
    <row r="1332" spans="10:16" x14ac:dyDescent="0.2">
      <c r="J1332" s="16"/>
      <c r="K1332" s="16"/>
      <c r="L1332" s="16"/>
      <c r="M1332" s="16"/>
      <c r="N1332" s="16"/>
      <c r="O1332" s="16"/>
      <c r="P1332" s="16"/>
    </row>
    <row r="1333" spans="10:16" x14ac:dyDescent="0.2">
      <c r="J1333" s="16"/>
      <c r="K1333" s="16"/>
      <c r="L1333" s="16"/>
      <c r="M1333" s="16"/>
      <c r="N1333" s="16"/>
      <c r="O1333" s="16"/>
      <c r="P1333" s="16"/>
    </row>
    <row r="1334" spans="10:16" x14ac:dyDescent="0.2">
      <c r="J1334" s="16"/>
      <c r="K1334" s="16"/>
      <c r="L1334" s="16"/>
      <c r="M1334" s="16"/>
      <c r="N1334" s="16"/>
      <c r="O1334" s="16"/>
      <c r="P1334" s="16"/>
    </row>
    <row r="1335" spans="10:16" x14ac:dyDescent="0.2">
      <c r="J1335" s="16"/>
      <c r="K1335" s="16"/>
      <c r="L1335" s="16"/>
      <c r="M1335" s="16"/>
      <c r="N1335" s="16"/>
      <c r="O1335" s="16"/>
      <c r="P1335" s="16"/>
    </row>
    <row r="1336" spans="10:16" x14ac:dyDescent="0.2">
      <c r="J1336" s="16"/>
      <c r="K1336" s="16"/>
      <c r="L1336" s="16"/>
      <c r="M1336" s="16"/>
      <c r="N1336" s="16"/>
      <c r="O1336" s="16"/>
      <c r="P1336" s="16"/>
    </row>
    <row r="1337" spans="10:16" x14ac:dyDescent="0.2">
      <c r="J1337" s="16"/>
      <c r="K1337" s="16"/>
      <c r="L1337" s="16"/>
      <c r="M1337" s="16"/>
      <c r="N1337" s="16"/>
      <c r="O1337" s="16"/>
      <c r="P1337" s="16"/>
    </row>
    <row r="1338" spans="10:16" x14ac:dyDescent="0.2">
      <c r="J1338" s="16"/>
      <c r="K1338" s="16"/>
      <c r="L1338" s="16"/>
      <c r="M1338" s="16"/>
      <c r="N1338" s="16"/>
      <c r="O1338" s="16"/>
      <c r="P1338" s="16"/>
    </row>
    <row r="1339" spans="10:16" x14ac:dyDescent="0.2">
      <c r="J1339" s="16"/>
      <c r="K1339" s="16"/>
      <c r="L1339" s="16"/>
      <c r="M1339" s="16"/>
      <c r="N1339" s="16"/>
      <c r="O1339" s="16"/>
      <c r="P1339" s="16"/>
    </row>
    <row r="1340" spans="10:16" x14ac:dyDescent="0.2">
      <c r="J1340" s="16"/>
      <c r="K1340" s="16"/>
      <c r="L1340" s="16"/>
      <c r="M1340" s="16"/>
      <c r="N1340" s="16"/>
      <c r="O1340" s="16"/>
      <c r="P1340" s="16"/>
    </row>
    <row r="1341" spans="10:16" x14ac:dyDescent="0.2">
      <c r="J1341" s="16"/>
      <c r="K1341" s="16"/>
      <c r="L1341" s="16"/>
      <c r="M1341" s="16"/>
      <c r="N1341" s="16"/>
      <c r="O1341" s="16"/>
      <c r="P1341" s="16"/>
    </row>
    <row r="1342" spans="10:16" x14ac:dyDescent="0.2">
      <c r="J1342" s="16"/>
      <c r="K1342" s="16"/>
      <c r="L1342" s="16"/>
      <c r="M1342" s="16"/>
      <c r="N1342" s="16"/>
      <c r="O1342" s="16"/>
      <c r="P1342" s="16"/>
    </row>
    <row r="1343" spans="10:16" x14ac:dyDescent="0.2">
      <c r="J1343" s="16"/>
      <c r="K1343" s="16"/>
      <c r="L1343" s="16"/>
      <c r="M1343" s="16"/>
      <c r="N1343" s="16"/>
      <c r="O1343" s="16"/>
      <c r="P1343" s="16"/>
    </row>
    <row r="1344" spans="10:16" x14ac:dyDescent="0.2">
      <c r="J1344" s="16"/>
      <c r="K1344" s="16"/>
      <c r="L1344" s="16"/>
      <c r="M1344" s="16"/>
      <c r="N1344" s="16"/>
      <c r="O1344" s="16"/>
      <c r="P1344" s="16"/>
    </row>
    <row r="1345" spans="10:16" x14ac:dyDescent="0.2">
      <c r="J1345" s="16"/>
      <c r="K1345" s="16"/>
      <c r="L1345" s="16"/>
      <c r="M1345" s="16"/>
      <c r="N1345" s="16"/>
      <c r="O1345" s="16"/>
      <c r="P1345" s="16"/>
    </row>
    <row r="1346" spans="10:16" x14ac:dyDescent="0.2">
      <c r="J1346" s="16"/>
      <c r="K1346" s="16"/>
      <c r="L1346" s="16"/>
      <c r="M1346" s="16"/>
      <c r="N1346" s="16"/>
      <c r="O1346" s="16"/>
      <c r="P1346" s="16"/>
    </row>
    <row r="1347" spans="10:16" x14ac:dyDescent="0.2">
      <c r="J1347" s="16"/>
      <c r="K1347" s="16"/>
      <c r="L1347" s="16"/>
      <c r="M1347" s="16"/>
      <c r="N1347" s="16"/>
      <c r="O1347" s="16"/>
      <c r="P1347" s="16"/>
    </row>
    <row r="1348" spans="10:16" x14ac:dyDescent="0.2">
      <c r="J1348" s="16"/>
      <c r="K1348" s="16"/>
      <c r="L1348" s="16"/>
      <c r="M1348" s="16"/>
      <c r="N1348" s="16"/>
      <c r="O1348" s="16"/>
      <c r="P1348" s="16"/>
    </row>
    <row r="1349" spans="10:16" x14ac:dyDescent="0.2">
      <c r="J1349" s="16"/>
      <c r="K1349" s="16"/>
      <c r="L1349" s="16"/>
      <c r="M1349" s="16"/>
      <c r="N1349" s="16"/>
      <c r="O1349" s="16"/>
      <c r="P1349" s="16"/>
    </row>
    <row r="1350" spans="10:16" x14ac:dyDescent="0.2">
      <c r="J1350" s="16"/>
      <c r="K1350" s="16"/>
      <c r="L1350" s="16"/>
      <c r="M1350" s="16"/>
      <c r="N1350" s="16"/>
      <c r="O1350" s="16"/>
      <c r="P1350" s="16"/>
    </row>
    <row r="1351" spans="10:16" x14ac:dyDescent="0.2">
      <c r="J1351" s="16"/>
      <c r="K1351" s="16"/>
      <c r="L1351" s="16"/>
      <c r="M1351" s="16"/>
      <c r="N1351" s="16"/>
      <c r="O1351" s="16"/>
      <c r="P1351" s="16"/>
    </row>
    <row r="1352" spans="10:16" x14ac:dyDescent="0.2">
      <c r="J1352" s="16"/>
      <c r="K1352" s="16"/>
      <c r="L1352" s="16"/>
      <c r="M1352" s="16"/>
      <c r="N1352" s="16"/>
      <c r="O1352" s="16"/>
      <c r="P1352" s="16"/>
    </row>
    <row r="1353" spans="10:16" x14ac:dyDescent="0.2">
      <c r="J1353" s="16"/>
      <c r="K1353" s="16"/>
      <c r="L1353" s="16"/>
      <c r="M1353" s="16"/>
      <c r="N1353" s="16"/>
      <c r="O1353" s="16"/>
      <c r="P1353" s="16"/>
    </row>
    <row r="1354" spans="10:16" x14ac:dyDescent="0.2">
      <c r="J1354" s="16"/>
      <c r="K1354" s="16"/>
      <c r="L1354" s="16"/>
      <c r="M1354" s="16"/>
      <c r="N1354" s="16"/>
      <c r="O1354" s="16"/>
      <c r="P1354" s="16"/>
    </row>
    <row r="1355" spans="10:16" x14ac:dyDescent="0.2">
      <c r="J1355" s="16"/>
      <c r="K1355" s="16"/>
      <c r="L1355" s="16"/>
      <c r="M1355" s="16"/>
      <c r="N1355" s="16"/>
      <c r="O1355" s="16"/>
      <c r="P1355" s="16"/>
    </row>
    <row r="1356" spans="10:16" x14ac:dyDescent="0.2">
      <c r="J1356" s="16"/>
      <c r="K1356" s="16"/>
      <c r="L1356" s="16"/>
      <c r="M1356" s="16"/>
      <c r="N1356" s="16"/>
      <c r="O1356" s="16"/>
      <c r="P1356" s="16"/>
    </row>
    <row r="1357" spans="10:16" x14ac:dyDescent="0.2">
      <c r="J1357" s="16"/>
      <c r="K1357" s="16"/>
      <c r="L1357" s="16"/>
      <c r="M1357" s="16"/>
      <c r="N1357" s="16"/>
      <c r="O1357" s="16"/>
      <c r="P1357" s="16"/>
    </row>
    <row r="1358" spans="10:16" x14ac:dyDescent="0.2">
      <c r="J1358" s="16"/>
      <c r="K1358" s="16"/>
      <c r="L1358" s="16"/>
      <c r="M1358" s="16"/>
      <c r="N1358" s="16"/>
      <c r="O1358" s="16"/>
      <c r="P1358" s="16"/>
    </row>
    <row r="1359" spans="10:16" x14ac:dyDescent="0.2">
      <c r="J1359" s="16"/>
      <c r="K1359" s="16"/>
      <c r="L1359" s="16"/>
      <c r="M1359" s="16"/>
      <c r="N1359" s="16"/>
      <c r="O1359" s="16"/>
      <c r="P1359" s="16"/>
    </row>
    <row r="1360" spans="10:16" x14ac:dyDescent="0.2">
      <c r="J1360" s="16"/>
      <c r="K1360" s="16"/>
      <c r="L1360" s="16"/>
      <c r="M1360" s="16"/>
      <c r="N1360" s="16"/>
      <c r="O1360" s="16"/>
      <c r="P1360" s="16"/>
    </row>
    <row r="1361" spans="10:16" x14ac:dyDescent="0.2">
      <c r="J1361" s="16"/>
      <c r="K1361" s="16"/>
      <c r="L1361" s="16"/>
      <c r="M1361" s="16"/>
      <c r="N1361" s="16"/>
      <c r="O1361" s="16"/>
      <c r="P1361" s="16"/>
    </row>
    <row r="1362" spans="10:16" x14ac:dyDescent="0.2">
      <c r="J1362" s="16"/>
      <c r="K1362" s="16"/>
      <c r="L1362" s="16"/>
      <c r="M1362" s="16"/>
      <c r="N1362" s="16"/>
      <c r="O1362" s="16"/>
      <c r="P1362" s="16"/>
    </row>
    <row r="1363" spans="10:16" x14ac:dyDescent="0.2">
      <c r="J1363" s="16"/>
      <c r="K1363" s="16"/>
      <c r="L1363" s="16"/>
      <c r="M1363" s="16"/>
      <c r="N1363" s="16"/>
      <c r="O1363" s="16"/>
      <c r="P1363" s="16"/>
    </row>
    <row r="1364" spans="10:16" x14ac:dyDescent="0.2">
      <c r="J1364" s="16"/>
      <c r="K1364" s="16"/>
      <c r="L1364" s="16"/>
      <c r="M1364" s="16"/>
      <c r="N1364" s="16"/>
      <c r="O1364" s="16"/>
      <c r="P1364" s="16"/>
    </row>
    <row r="1365" spans="10:16" x14ac:dyDescent="0.2">
      <c r="J1365" s="16"/>
      <c r="K1365" s="16"/>
      <c r="L1365" s="16"/>
      <c r="M1365" s="16"/>
      <c r="N1365" s="16"/>
      <c r="O1365" s="16"/>
      <c r="P1365" s="16"/>
    </row>
    <row r="1366" spans="10:16" x14ac:dyDescent="0.2">
      <c r="J1366" s="16"/>
      <c r="K1366" s="16"/>
      <c r="L1366" s="16"/>
      <c r="M1366" s="16"/>
      <c r="N1366" s="16"/>
      <c r="O1366" s="16"/>
      <c r="P1366" s="16"/>
    </row>
    <row r="1367" spans="10:16" x14ac:dyDescent="0.2">
      <c r="J1367" s="16"/>
      <c r="K1367" s="16"/>
      <c r="L1367" s="16"/>
      <c r="M1367" s="16"/>
      <c r="N1367" s="16"/>
      <c r="O1367" s="16"/>
      <c r="P1367" s="16"/>
    </row>
    <row r="1368" spans="10:16" x14ac:dyDescent="0.2">
      <c r="J1368" s="16"/>
      <c r="K1368" s="16"/>
      <c r="L1368" s="16"/>
      <c r="M1368" s="16"/>
      <c r="N1368" s="16"/>
      <c r="O1368" s="16"/>
      <c r="P1368" s="16"/>
    </row>
    <row r="1369" spans="10:16" x14ac:dyDescent="0.2">
      <c r="J1369" s="16"/>
      <c r="K1369" s="16"/>
      <c r="L1369" s="16"/>
      <c r="M1369" s="16"/>
      <c r="N1369" s="16"/>
      <c r="O1369" s="16"/>
      <c r="P1369" s="16"/>
    </row>
    <row r="1370" spans="10:16" x14ac:dyDescent="0.2">
      <c r="J1370" s="16"/>
      <c r="K1370" s="16"/>
      <c r="L1370" s="16"/>
      <c r="M1370" s="16"/>
      <c r="N1370" s="16"/>
      <c r="O1370" s="16"/>
      <c r="P1370" s="16"/>
    </row>
    <row r="1371" spans="10:16" x14ac:dyDescent="0.2">
      <c r="J1371" s="16"/>
      <c r="K1371" s="16"/>
      <c r="L1371" s="16"/>
      <c r="M1371" s="16"/>
      <c r="N1371" s="16"/>
      <c r="O1371" s="16"/>
      <c r="P1371" s="16"/>
    </row>
    <row r="1372" spans="10:16" x14ac:dyDescent="0.2">
      <c r="J1372" s="16"/>
      <c r="K1372" s="16"/>
      <c r="L1372" s="16"/>
      <c r="M1372" s="16"/>
      <c r="N1372" s="16"/>
      <c r="O1372" s="16"/>
      <c r="P1372" s="16"/>
    </row>
    <row r="1373" spans="10:16" x14ac:dyDescent="0.2">
      <c r="J1373" s="16"/>
      <c r="K1373" s="16"/>
      <c r="L1373" s="16"/>
      <c r="M1373" s="16"/>
      <c r="N1373" s="16"/>
      <c r="O1373" s="16"/>
      <c r="P1373" s="16"/>
    </row>
    <row r="1374" spans="10:16" x14ac:dyDescent="0.2">
      <c r="J1374" s="16"/>
      <c r="K1374" s="16"/>
      <c r="L1374" s="16"/>
      <c r="M1374" s="16"/>
      <c r="N1374" s="16"/>
      <c r="O1374" s="16"/>
      <c r="P1374" s="16"/>
    </row>
    <row r="1375" spans="10:16" x14ac:dyDescent="0.2">
      <c r="J1375" s="16"/>
      <c r="K1375" s="16"/>
      <c r="L1375" s="16"/>
      <c r="M1375" s="16"/>
      <c r="N1375" s="16"/>
      <c r="O1375" s="16"/>
      <c r="P1375" s="16"/>
    </row>
    <row r="1376" spans="10:16" x14ac:dyDescent="0.2">
      <c r="J1376" s="16"/>
      <c r="K1376" s="16"/>
      <c r="L1376" s="16"/>
      <c r="M1376" s="16"/>
      <c r="N1376" s="16"/>
      <c r="O1376" s="16"/>
      <c r="P1376" s="16"/>
    </row>
    <row r="1377" spans="10:16" x14ac:dyDescent="0.2">
      <c r="J1377" s="16"/>
      <c r="K1377" s="16"/>
      <c r="L1377" s="16"/>
      <c r="M1377" s="16"/>
      <c r="N1377" s="16"/>
      <c r="O1377" s="16"/>
      <c r="P1377" s="16"/>
    </row>
    <row r="1378" spans="10:16" x14ac:dyDescent="0.2">
      <c r="J1378" s="16"/>
      <c r="K1378" s="16"/>
      <c r="L1378" s="16"/>
      <c r="M1378" s="16"/>
      <c r="N1378" s="16"/>
      <c r="O1378" s="16"/>
      <c r="P1378" s="16"/>
    </row>
    <row r="1379" spans="10:16" x14ac:dyDescent="0.2">
      <c r="J1379" s="16"/>
      <c r="K1379" s="16"/>
      <c r="L1379" s="16"/>
      <c r="M1379" s="16"/>
      <c r="N1379" s="16"/>
      <c r="O1379" s="16"/>
      <c r="P1379" s="16"/>
    </row>
    <row r="1380" spans="10:16" x14ac:dyDescent="0.2">
      <c r="J1380" s="16"/>
      <c r="K1380" s="16"/>
      <c r="L1380" s="16"/>
      <c r="M1380" s="16"/>
      <c r="N1380" s="16"/>
      <c r="O1380" s="16"/>
      <c r="P1380" s="16"/>
    </row>
    <row r="1381" spans="10:16" x14ac:dyDescent="0.2">
      <c r="J1381" s="16"/>
      <c r="K1381" s="16"/>
      <c r="L1381" s="16"/>
      <c r="M1381" s="16"/>
      <c r="N1381" s="16"/>
      <c r="O1381" s="16"/>
      <c r="P1381" s="16"/>
    </row>
    <row r="1382" spans="10:16" x14ac:dyDescent="0.2">
      <c r="J1382" s="16"/>
      <c r="K1382" s="16"/>
      <c r="L1382" s="16"/>
      <c r="M1382" s="16"/>
      <c r="N1382" s="16"/>
      <c r="O1382" s="16"/>
      <c r="P1382" s="16"/>
    </row>
    <row r="1383" spans="10:16" x14ac:dyDescent="0.2">
      <c r="J1383" s="16"/>
      <c r="K1383" s="16"/>
      <c r="L1383" s="16"/>
      <c r="M1383" s="16"/>
      <c r="N1383" s="16"/>
      <c r="O1383" s="16"/>
      <c r="P1383" s="16"/>
    </row>
    <row r="1384" spans="10:16" x14ac:dyDescent="0.2">
      <c r="J1384" s="16"/>
      <c r="K1384" s="16"/>
      <c r="L1384" s="16"/>
      <c r="M1384" s="16"/>
      <c r="N1384" s="16"/>
      <c r="O1384" s="16"/>
      <c r="P1384" s="16"/>
    </row>
    <row r="1385" spans="10:16" x14ac:dyDescent="0.2">
      <c r="J1385" s="16"/>
      <c r="K1385" s="16"/>
      <c r="L1385" s="16"/>
      <c r="M1385" s="16"/>
      <c r="N1385" s="16"/>
      <c r="O1385" s="16"/>
      <c r="P1385" s="16"/>
    </row>
    <row r="1386" spans="10:16" x14ac:dyDescent="0.2">
      <c r="J1386" s="16"/>
      <c r="K1386" s="16"/>
      <c r="L1386" s="16"/>
      <c r="M1386" s="16"/>
      <c r="N1386" s="16"/>
      <c r="O1386" s="16"/>
      <c r="P1386" s="16"/>
    </row>
    <row r="1387" spans="10:16" x14ac:dyDescent="0.2">
      <c r="J1387" s="16"/>
      <c r="K1387" s="16"/>
      <c r="L1387" s="16"/>
      <c r="M1387" s="16"/>
      <c r="N1387" s="16"/>
      <c r="O1387" s="16"/>
      <c r="P1387" s="16"/>
    </row>
    <row r="1388" spans="10:16" x14ac:dyDescent="0.2">
      <c r="J1388" s="16"/>
      <c r="K1388" s="16"/>
      <c r="L1388" s="16"/>
      <c r="M1388" s="16"/>
      <c r="N1388" s="16"/>
      <c r="O1388" s="16"/>
      <c r="P1388" s="16"/>
    </row>
    <row r="1389" spans="10:16" x14ac:dyDescent="0.2">
      <c r="J1389" s="16"/>
      <c r="K1389" s="16"/>
      <c r="L1389" s="16"/>
      <c r="M1389" s="16"/>
      <c r="N1389" s="16"/>
      <c r="O1389" s="16"/>
      <c r="P1389" s="16"/>
    </row>
    <row r="1390" spans="10:16" x14ac:dyDescent="0.2">
      <c r="J1390" s="16"/>
      <c r="K1390" s="16"/>
      <c r="L1390" s="16"/>
      <c r="M1390" s="16"/>
      <c r="N1390" s="16"/>
      <c r="O1390" s="16"/>
      <c r="P1390" s="16"/>
    </row>
    <row r="1391" spans="10:16" x14ac:dyDescent="0.2">
      <c r="J1391" s="16"/>
      <c r="K1391" s="16"/>
      <c r="L1391" s="16"/>
      <c r="M1391" s="16"/>
      <c r="N1391" s="16"/>
      <c r="O1391" s="16"/>
      <c r="P1391" s="16"/>
    </row>
    <row r="1392" spans="10:16" x14ac:dyDescent="0.2">
      <c r="J1392" s="16"/>
      <c r="K1392" s="16"/>
      <c r="L1392" s="16"/>
      <c r="M1392" s="16"/>
      <c r="N1392" s="16"/>
      <c r="O1392" s="16"/>
      <c r="P1392" s="16"/>
    </row>
    <row r="1393" spans="10:16" x14ac:dyDescent="0.2">
      <c r="J1393" s="16"/>
      <c r="K1393" s="16"/>
      <c r="L1393" s="16"/>
      <c r="M1393" s="16"/>
      <c r="N1393" s="16"/>
      <c r="O1393" s="16"/>
      <c r="P1393" s="16"/>
    </row>
    <row r="1394" spans="10:16" x14ac:dyDescent="0.2">
      <c r="J1394" s="16"/>
      <c r="K1394" s="16"/>
      <c r="L1394" s="16"/>
      <c r="M1394" s="16"/>
      <c r="N1394" s="16"/>
      <c r="O1394" s="16"/>
      <c r="P1394" s="16"/>
    </row>
    <row r="1395" spans="10:16" x14ac:dyDescent="0.2">
      <c r="J1395" s="16"/>
      <c r="K1395" s="16"/>
      <c r="L1395" s="16"/>
      <c r="M1395" s="16"/>
      <c r="N1395" s="16"/>
      <c r="O1395" s="16"/>
      <c r="P1395" s="16"/>
    </row>
    <row r="1396" spans="10:16" x14ac:dyDescent="0.2">
      <c r="J1396" s="16"/>
      <c r="K1396" s="16"/>
      <c r="L1396" s="16"/>
      <c r="M1396" s="16"/>
      <c r="N1396" s="16"/>
      <c r="O1396" s="16"/>
      <c r="P1396" s="16"/>
    </row>
    <row r="1397" spans="10:16" x14ac:dyDescent="0.2">
      <c r="J1397" s="16"/>
      <c r="K1397" s="16"/>
      <c r="L1397" s="16"/>
      <c r="M1397" s="16"/>
      <c r="N1397" s="16"/>
      <c r="O1397" s="16"/>
      <c r="P1397" s="16"/>
    </row>
    <row r="1398" spans="10:16" x14ac:dyDescent="0.2">
      <c r="J1398" s="16"/>
      <c r="K1398" s="16"/>
      <c r="L1398" s="16"/>
      <c r="M1398" s="16"/>
      <c r="N1398" s="16"/>
      <c r="O1398" s="16"/>
      <c r="P1398" s="16"/>
    </row>
    <row r="1399" spans="10:16" x14ac:dyDescent="0.2">
      <c r="J1399" s="16"/>
      <c r="K1399" s="16"/>
      <c r="L1399" s="16"/>
      <c r="M1399" s="16"/>
      <c r="N1399" s="16"/>
      <c r="O1399" s="16"/>
      <c r="P1399" s="16"/>
    </row>
    <row r="1400" spans="10:16" x14ac:dyDescent="0.2">
      <c r="J1400" s="16"/>
      <c r="K1400" s="16"/>
      <c r="L1400" s="16"/>
      <c r="M1400" s="16"/>
      <c r="N1400" s="16"/>
      <c r="O1400" s="16"/>
      <c r="P1400" s="16"/>
    </row>
    <row r="1401" spans="10:16" x14ac:dyDescent="0.2">
      <c r="J1401" s="16"/>
      <c r="K1401" s="16"/>
      <c r="L1401" s="16"/>
      <c r="M1401" s="16"/>
      <c r="N1401" s="16"/>
      <c r="O1401" s="16"/>
      <c r="P1401" s="16"/>
    </row>
    <row r="1402" spans="10:16" x14ac:dyDescent="0.2">
      <c r="J1402" s="16"/>
      <c r="K1402" s="16"/>
      <c r="L1402" s="16"/>
      <c r="M1402" s="16"/>
      <c r="N1402" s="16"/>
      <c r="O1402" s="16"/>
      <c r="P1402" s="16"/>
    </row>
    <row r="1403" spans="10:16" x14ac:dyDescent="0.2">
      <c r="J1403" s="16"/>
      <c r="K1403" s="16"/>
      <c r="L1403" s="16"/>
      <c r="M1403" s="16"/>
      <c r="N1403" s="16"/>
      <c r="O1403" s="16"/>
      <c r="P1403" s="16"/>
    </row>
    <row r="1404" spans="10:16" x14ac:dyDescent="0.2">
      <c r="J1404" s="16"/>
      <c r="K1404" s="16"/>
      <c r="L1404" s="16"/>
      <c r="M1404" s="16"/>
      <c r="N1404" s="16"/>
      <c r="O1404" s="16"/>
      <c r="P1404" s="16"/>
    </row>
    <row r="1405" spans="10:16" x14ac:dyDescent="0.2">
      <c r="J1405" s="16"/>
      <c r="K1405" s="16"/>
      <c r="L1405" s="16"/>
      <c r="M1405" s="16"/>
      <c r="N1405" s="16"/>
      <c r="O1405" s="16"/>
      <c r="P1405" s="16"/>
    </row>
    <row r="1406" spans="10:16" x14ac:dyDescent="0.2">
      <c r="J1406" s="16"/>
      <c r="K1406" s="16"/>
      <c r="L1406" s="16"/>
      <c r="M1406" s="16"/>
      <c r="N1406" s="16"/>
      <c r="O1406" s="16"/>
      <c r="P1406" s="16"/>
    </row>
    <row r="1407" spans="10:16" x14ac:dyDescent="0.2">
      <c r="J1407" s="16"/>
      <c r="K1407" s="16"/>
      <c r="L1407" s="16"/>
      <c r="M1407" s="16"/>
      <c r="N1407" s="16"/>
      <c r="O1407" s="16"/>
      <c r="P1407" s="16"/>
    </row>
    <row r="1408" spans="10:16" x14ac:dyDescent="0.2">
      <c r="J1408" s="16"/>
      <c r="K1408" s="16"/>
      <c r="L1408" s="16"/>
      <c r="M1408" s="16"/>
      <c r="N1408" s="16"/>
      <c r="O1408" s="16"/>
      <c r="P1408" s="16"/>
    </row>
    <row r="1409" spans="10:16" x14ac:dyDescent="0.2">
      <c r="J1409" s="16"/>
      <c r="K1409" s="16"/>
      <c r="L1409" s="16"/>
      <c r="M1409" s="16"/>
      <c r="N1409" s="16"/>
      <c r="O1409" s="16"/>
      <c r="P1409" s="16"/>
    </row>
    <row r="1410" spans="10:16" x14ac:dyDescent="0.2">
      <c r="J1410" s="16"/>
      <c r="K1410" s="16"/>
      <c r="L1410" s="16"/>
      <c r="M1410" s="16"/>
      <c r="N1410" s="16"/>
      <c r="O1410" s="16"/>
      <c r="P1410" s="16"/>
    </row>
    <row r="1411" spans="10:16" x14ac:dyDescent="0.2">
      <c r="J1411" s="16"/>
      <c r="K1411" s="16"/>
      <c r="L1411" s="16"/>
      <c r="M1411" s="16"/>
      <c r="N1411" s="16"/>
      <c r="O1411" s="16"/>
      <c r="P1411" s="16"/>
    </row>
    <row r="1412" spans="10:16" x14ac:dyDescent="0.2">
      <c r="J1412" s="16"/>
      <c r="K1412" s="16"/>
      <c r="L1412" s="16"/>
      <c r="M1412" s="16"/>
      <c r="N1412" s="16"/>
      <c r="O1412" s="16"/>
      <c r="P1412" s="16"/>
    </row>
    <row r="1413" spans="10:16" x14ac:dyDescent="0.2">
      <c r="J1413" s="16"/>
      <c r="K1413" s="16"/>
      <c r="L1413" s="16"/>
      <c r="M1413" s="16"/>
      <c r="N1413" s="16"/>
      <c r="O1413" s="16"/>
      <c r="P1413" s="16"/>
    </row>
    <row r="1414" spans="10:16" x14ac:dyDescent="0.2">
      <c r="J1414" s="16"/>
      <c r="K1414" s="16"/>
      <c r="L1414" s="16"/>
      <c r="M1414" s="16"/>
      <c r="N1414" s="16"/>
      <c r="O1414" s="16"/>
      <c r="P1414" s="16"/>
    </row>
    <row r="1415" spans="10:16" x14ac:dyDescent="0.2">
      <c r="J1415" s="16"/>
      <c r="K1415" s="16"/>
      <c r="L1415" s="16"/>
      <c r="M1415" s="16"/>
      <c r="N1415" s="16"/>
      <c r="O1415" s="16"/>
      <c r="P1415" s="16"/>
    </row>
    <row r="1416" spans="10:16" x14ac:dyDescent="0.2">
      <c r="J1416" s="16"/>
      <c r="K1416" s="16"/>
      <c r="L1416" s="16"/>
      <c r="M1416" s="16"/>
      <c r="N1416" s="16"/>
      <c r="O1416" s="16"/>
      <c r="P1416" s="16"/>
    </row>
    <row r="1417" spans="10:16" x14ac:dyDescent="0.2">
      <c r="J1417" s="16"/>
      <c r="K1417" s="16"/>
      <c r="L1417" s="16"/>
      <c r="M1417" s="16"/>
      <c r="N1417" s="16"/>
      <c r="O1417" s="16"/>
      <c r="P1417" s="16"/>
    </row>
    <row r="1418" spans="10:16" x14ac:dyDescent="0.2">
      <c r="J1418" s="16"/>
      <c r="K1418" s="16"/>
      <c r="L1418" s="16"/>
      <c r="M1418" s="16"/>
      <c r="N1418" s="16"/>
      <c r="O1418" s="16"/>
      <c r="P1418" s="16"/>
    </row>
    <row r="1419" spans="10:16" x14ac:dyDescent="0.2">
      <c r="J1419" s="16"/>
      <c r="K1419" s="16"/>
      <c r="L1419" s="16"/>
      <c r="M1419" s="16"/>
      <c r="N1419" s="16"/>
      <c r="O1419" s="16"/>
      <c r="P1419" s="16"/>
    </row>
    <row r="1420" spans="10:16" x14ac:dyDescent="0.2">
      <c r="J1420" s="16"/>
      <c r="K1420" s="16"/>
      <c r="L1420" s="16"/>
      <c r="M1420" s="16"/>
      <c r="N1420" s="16"/>
      <c r="O1420" s="16"/>
      <c r="P1420" s="16"/>
    </row>
    <row r="1421" spans="10:16" x14ac:dyDescent="0.2">
      <c r="J1421" s="16"/>
      <c r="K1421" s="16"/>
      <c r="L1421" s="16"/>
      <c r="M1421" s="16"/>
      <c r="N1421" s="16"/>
      <c r="O1421" s="16"/>
      <c r="P1421" s="16"/>
    </row>
    <row r="1422" spans="10:16" x14ac:dyDescent="0.2">
      <c r="J1422" s="16"/>
      <c r="K1422" s="16"/>
      <c r="L1422" s="16"/>
      <c r="M1422" s="16"/>
      <c r="N1422" s="16"/>
      <c r="O1422" s="16"/>
      <c r="P1422" s="16"/>
    </row>
    <row r="1423" spans="10:16" x14ac:dyDescent="0.2">
      <c r="J1423" s="16"/>
      <c r="K1423" s="16"/>
      <c r="L1423" s="16"/>
      <c r="M1423" s="16"/>
      <c r="N1423" s="16"/>
      <c r="O1423" s="16"/>
      <c r="P1423" s="16"/>
    </row>
    <row r="1424" spans="10:16" x14ac:dyDescent="0.2">
      <c r="J1424" s="16"/>
      <c r="K1424" s="16"/>
      <c r="L1424" s="16"/>
      <c r="M1424" s="16"/>
      <c r="N1424" s="16"/>
      <c r="O1424" s="16"/>
      <c r="P1424" s="16"/>
    </row>
    <row r="1425" spans="10:16" x14ac:dyDescent="0.2">
      <c r="J1425" s="16"/>
      <c r="K1425" s="16"/>
      <c r="L1425" s="16"/>
      <c r="M1425" s="16"/>
      <c r="N1425" s="16"/>
      <c r="O1425" s="16"/>
      <c r="P1425" s="16"/>
    </row>
    <row r="1426" spans="10:16" x14ac:dyDescent="0.2">
      <c r="J1426" s="16"/>
      <c r="K1426" s="16"/>
      <c r="L1426" s="16"/>
      <c r="M1426" s="16"/>
      <c r="N1426" s="16"/>
      <c r="O1426" s="16"/>
      <c r="P1426" s="16"/>
    </row>
    <row r="1427" spans="10:16" x14ac:dyDescent="0.2">
      <c r="J1427" s="16"/>
      <c r="K1427" s="16"/>
      <c r="L1427" s="16"/>
      <c r="M1427" s="16"/>
      <c r="N1427" s="16"/>
      <c r="O1427" s="16"/>
      <c r="P1427" s="16"/>
    </row>
    <row r="1428" spans="10:16" x14ac:dyDescent="0.2">
      <c r="J1428" s="16"/>
      <c r="K1428" s="16"/>
      <c r="L1428" s="16"/>
      <c r="M1428" s="16"/>
      <c r="N1428" s="16"/>
      <c r="O1428" s="16"/>
      <c r="P1428" s="16"/>
    </row>
    <row r="1429" spans="10:16" x14ac:dyDescent="0.2">
      <c r="J1429" s="16"/>
      <c r="K1429" s="16"/>
      <c r="L1429" s="16"/>
      <c r="M1429" s="16"/>
      <c r="N1429" s="16"/>
      <c r="O1429" s="16"/>
      <c r="P1429" s="16"/>
    </row>
    <row r="1430" spans="10:16" x14ac:dyDescent="0.2">
      <c r="J1430" s="16"/>
      <c r="K1430" s="16"/>
      <c r="L1430" s="16"/>
      <c r="M1430" s="16"/>
      <c r="N1430" s="16"/>
      <c r="O1430" s="16"/>
      <c r="P1430" s="16"/>
    </row>
    <row r="1431" spans="10:16" x14ac:dyDescent="0.2">
      <c r="J1431" s="16"/>
      <c r="K1431" s="16"/>
      <c r="L1431" s="16"/>
      <c r="M1431" s="16"/>
      <c r="N1431" s="16"/>
      <c r="O1431" s="16"/>
      <c r="P1431" s="16"/>
    </row>
    <row r="1432" spans="10:16" x14ac:dyDescent="0.2">
      <c r="J1432" s="16"/>
      <c r="K1432" s="16"/>
      <c r="L1432" s="16"/>
      <c r="M1432" s="16"/>
      <c r="N1432" s="16"/>
      <c r="O1432" s="16"/>
      <c r="P1432" s="16"/>
    </row>
    <row r="1433" spans="10:16" x14ac:dyDescent="0.2">
      <c r="J1433" s="16"/>
      <c r="K1433" s="16"/>
      <c r="L1433" s="16"/>
      <c r="M1433" s="16"/>
      <c r="N1433" s="16"/>
      <c r="O1433" s="16"/>
      <c r="P1433" s="16"/>
    </row>
    <row r="1434" spans="10:16" x14ac:dyDescent="0.2">
      <c r="J1434" s="16"/>
      <c r="K1434" s="16"/>
      <c r="L1434" s="16"/>
      <c r="M1434" s="16"/>
      <c r="N1434" s="16"/>
      <c r="O1434" s="16"/>
      <c r="P1434" s="16"/>
    </row>
    <row r="1435" spans="10:16" x14ac:dyDescent="0.2">
      <c r="J1435" s="16"/>
      <c r="K1435" s="16"/>
      <c r="L1435" s="16"/>
      <c r="M1435" s="16"/>
      <c r="N1435" s="16"/>
      <c r="O1435" s="16"/>
      <c r="P1435" s="16"/>
    </row>
    <row r="1436" spans="10:16" x14ac:dyDescent="0.2">
      <c r="J1436" s="16"/>
      <c r="K1436" s="16"/>
      <c r="L1436" s="16"/>
      <c r="M1436" s="16"/>
      <c r="N1436" s="16"/>
      <c r="O1436" s="16"/>
      <c r="P1436" s="16"/>
    </row>
    <row r="1437" spans="10:16" x14ac:dyDescent="0.2">
      <c r="J1437" s="16"/>
      <c r="K1437" s="16"/>
      <c r="L1437" s="16"/>
      <c r="M1437" s="16"/>
      <c r="N1437" s="16"/>
      <c r="O1437" s="16"/>
      <c r="P1437" s="16"/>
    </row>
    <row r="1438" spans="10:16" x14ac:dyDescent="0.2">
      <c r="J1438" s="16"/>
      <c r="K1438" s="16"/>
      <c r="L1438" s="16"/>
      <c r="M1438" s="16"/>
      <c r="N1438" s="16"/>
      <c r="O1438" s="16"/>
      <c r="P1438" s="16"/>
    </row>
    <row r="1439" spans="10:16" x14ac:dyDescent="0.2">
      <c r="J1439" s="16"/>
      <c r="K1439" s="16"/>
      <c r="L1439" s="16"/>
      <c r="M1439" s="16"/>
      <c r="N1439" s="16"/>
      <c r="O1439" s="16"/>
      <c r="P1439" s="16"/>
    </row>
    <row r="1440" spans="10:16" x14ac:dyDescent="0.2">
      <c r="J1440" s="16"/>
      <c r="K1440" s="16"/>
      <c r="L1440" s="16"/>
      <c r="M1440" s="16"/>
      <c r="N1440" s="16"/>
      <c r="O1440" s="16"/>
      <c r="P1440" s="16"/>
    </row>
    <row r="1441" spans="10:16" x14ac:dyDescent="0.2">
      <c r="J1441" s="16"/>
      <c r="K1441" s="16"/>
      <c r="L1441" s="16"/>
      <c r="M1441" s="16"/>
      <c r="N1441" s="16"/>
      <c r="O1441" s="16"/>
      <c r="P1441" s="16"/>
    </row>
    <row r="1442" spans="10:16" x14ac:dyDescent="0.2">
      <c r="J1442" s="16"/>
      <c r="K1442" s="16"/>
      <c r="L1442" s="16"/>
      <c r="M1442" s="16"/>
      <c r="N1442" s="16"/>
      <c r="O1442" s="16"/>
      <c r="P1442" s="16"/>
    </row>
    <row r="1443" spans="10:16" x14ac:dyDescent="0.2">
      <c r="J1443" s="16"/>
      <c r="K1443" s="16"/>
      <c r="L1443" s="16"/>
      <c r="M1443" s="16"/>
      <c r="N1443" s="16"/>
      <c r="O1443" s="16"/>
      <c r="P1443" s="16"/>
    </row>
    <row r="1444" spans="10:16" x14ac:dyDescent="0.2">
      <c r="J1444" s="16"/>
      <c r="K1444" s="16"/>
      <c r="L1444" s="16"/>
      <c r="M1444" s="16"/>
      <c r="N1444" s="16"/>
      <c r="O1444" s="16"/>
      <c r="P1444" s="16"/>
    </row>
    <row r="1445" spans="10:16" x14ac:dyDescent="0.2">
      <c r="J1445" s="16"/>
      <c r="K1445" s="16"/>
      <c r="L1445" s="16"/>
      <c r="M1445" s="16"/>
      <c r="N1445" s="16"/>
      <c r="O1445" s="16"/>
      <c r="P1445" s="16"/>
    </row>
    <row r="1446" spans="10:16" x14ac:dyDescent="0.2">
      <c r="J1446" s="16"/>
      <c r="K1446" s="16"/>
      <c r="L1446" s="16"/>
      <c r="M1446" s="16"/>
      <c r="N1446" s="16"/>
      <c r="O1446" s="16"/>
      <c r="P1446" s="16"/>
    </row>
    <row r="1447" spans="10:16" x14ac:dyDescent="0.2">
      <c r="J1447" s="16"/>
      <c r="K1447" s="16"/>
      <c r="L1447" s="16"/>
      <c r="M1447" s="16"/>
      <c r="N1447" s="16"/>
      <c r="O1447" s="16"/>
      <c r="P1447" s="16"/>
    </row>
    <row r="1448" spans="10:16" x14ac:dyDescent="0.2">
      <c r="J1448" s="16"/>
      <c r="K1448" s="16"/>
      <c r="L1448" s="16"/>
      <c r="M1448" s="16"/>
      <c r="N1448" s="16"/>
      <c r="O1448" s="16"/>
      <c r="P1448" s="16"/>
    </row>
    <row r="1449" spans="10:16" x14ac:dyDescent="0.2">
      <c r="J1449" s="16"/>
      <c r="K1449" s="16"/>
      <c r="L1449" s="16"/>
      <c r="M1449" s="16"/>
      <c r="N1449" s="16"/>
      <c r="O1449" s="16"/>
      <c r="P1449" s="16"/>
    </row>
    <row r="1450" spans="10:16" x14ac:dyDescent="0.2">
      <c r="J1450" s="16"/>
      <c r="K1450" s="16"/>
      <c r="L1450" s="16"/>
      <c r="M1450" s="16"/>
      <c r="N1450" s="16"/>
      <c r="O1450" s="16"/>
      <c r="P1450" s="16"/>
    </row>
    <row r="1451" spans="10:16" x14ac:dyDescent="0.2">
      <c r="J1451" s="16"/>
      <c r="K1451" s="16"/>
      <c r="L1451" s="16"/>
      <c r="M1451" s="16"/>
      <c r="N1451" s="16"/>
      <c r="O1451" s="16"/>
      <c r="P1451" s="16"/>
    </row>
    <row r="1452" spans="10:16" x14ac:dyDescent="0.2">
      <c r="J1452" s="16"/>
      <c r="K1452" s="16"/>
      <c r="L1452" s="16"/>
      <c r="M1452" s="16"/>
      <c r="N1452" s="16"/>
      <c r="O1452" s="16"/>
      <c r="P1452" s="16"/>
    </row>
    <row r="1453" spans="10:16" x14ac:dyDescent="0.2">
      <c r="J1453" s="16"/>
      <c r="K1453" s="16"/>
      <c r="L1453" s="16"/>
      <c r="M1453" s="16"/>
      <c r="N1453" s="16"/>
      <c r="O1453" s="16"/>
      <c r="P1453" s="16"/>
    </row>
    <row r="1454" spans="10:16" x14ac:dyDescent="0.2">
      <c r="J1454" s="16"/>
      <c r="K1454" s="16"/>
      <c r="L1454" s="16"/>
      <c r="M1454" s="16"/>
      <c r="N1454" s="16"/>
      <c r="O1454" s="16"/>
      <c r="P1454" s="16"/>
    </row>
    <row r="1455" spans="10:16" x14ac:dyDescent="0.2">
      <c r="J1455" s="16"/>
      <c r="K1455" s="16"/>
      <c r="L1455" s="16"/>
      <c r="M1455" s="16"/>
      <c r="N1455" s="16"/>
      <c r="O1455" s="16"/>
      <c r="P1455" s="16"/>
    </row>
    <row r="1456" spans="10:16" x14ac:dyDescent="0.2">
      <c r="J1456" s="16"/>
      <c r="K1456" s="16"/>
      <c r="L1456" s="16"/>
      <c r="M1456" s="16"/>
      <c r="N1456" s="16"/>
      <c r="O1456" s="16"/>
      <c r="P1456" s="16"/>
    </row>
    <row r="1457" spans="10:16" x14ac:dyDescent="0.2">
      <c r="J1457" s="16"/>
      <c r="K1457" s="16"/>
      <c r="L1457" s="16"/>
      <c r="M1457" s="16"/>
      <c r="N1457" s="16"/>
      <c r="O1457" s="16"/>
      <c r="P1457" s="16"/>
    </row>
    <row r="1458" spans="10:16" x14ac:dyDescent="0.2">
      <c r="J1458" s="16"/>
      <c r="K1458" s="16"/>
      <c r="L1458" s="16"/>
      <c r="M1458" s="16"/>
      <c r="N1458" s="16"/>
      <c r="O1458" s="16"/>
      <c r="P1458" s="16"/>
    </row>
    <row r="1459" spans="10:16" x14ac:dyDescent="0.2">
      <c r="J1459" s="16"/>
      <c r="K1459" s="16"/>
      <c r="L1459" s="16"/>
      <c r="M1459" s="16"/>
      <c r="N1459" s="16"/>
      <c r="O1459" s="16"/>
      <c r="P1459" s="16"/>
    </row>
    <row r="1460" spans="10:16" x14ac:dyDescent="0.2">
      <c r="J1460" s="16"/>
      <c r="K1460" s="16"/>
      <c r="L1460" s="16"/>
      <c r="M1460" s="16"/>
      <c r="N1460" s="16"/>
      <c r="O1460" s="16"/>
      <c r="P1460" s="16"/>
    </row>
    <row r="1461" spans="10:16" x14ac:dyDescent="0.2">
      <c r="J1461" s="16"/>
      <c r="K1461" s="16"/>
      <c r="L1461" s="16"/>
      <c r="M1461" s="16"/>
      <c r="N1461" s="16"/>
      <c r="O1461" s="16"/>
      <c r="P1461" s="16"/>
    </row>
    <row r="1462" spans="10:16" x14ac:dyDescent="0.2">
      <c r="J1462" s="16"/>
      <c r="K1462" s="16"/>
      <c r="L1462" s="16"/>
      <c r="M1462" s="16"/>
      <c r="N1462" s="16"/>
      <c r="O1462" s="16"/>
      <c r="P1462" s="16"/>
    </row>
    <row r="1463" spans="10:16" x14ac:dyDescent="0.2">
      <c r="J1463" s="16"/>
      <c r="K1463" s="16"/>
      <c r="L1463" s="16"/>
      <c r="M1463" s="16"/>
      <c r="N1463" s="16"/>
      <c r="O1463" s="16"/>
      <c r="P1463" s="16"/>
    </row>
    <row r="1464" spans="10:16" x14ac:dyDescent="0.2">
      <c r="J1464" s="16"/>
      <c r="K1464" s="16"/>
      <c r="L1464" s="16"/>
      <c r="M1464" s="16"/>
      <c r="N1464" s="16"/>
      <c r="O1464" s="16"/>
      <c r="P1464" s="16"/>
    </row>
    <row r="1465" spans="10:16" x14ac:dyDescent="0.2">
      <c r="J1465" s="16"/>
      <c r="K1465" s="16"/>
      <c r="L1465" s="16"/>
      <c r="M1465" s="16"/>
      <c r="N1465" s="16"/>
      <c r="O1465" s="16"/>
      <c r="P1465" s="16"/>
    </row>
    <row r="1466" spans="10:16" x14ac:dyDescent="0.2">
      <c r="J1466" s="16"/>
      <c r="K1466" s="16"/>
      <c r="L1466" s="16"/>
      <c r="M1466" s="16"/>
      <c r="N1466" s="16"/>
      <c r="O1466" s="16"/>
      <c r="P1466" s="16"/>
    </row>
    <row r="1467" spans="10:16" x14ac:dyDescent="0.2">
      <c r="J1467" s="16"/>
      <c r="K1467" s="16"/>
      <c r="L1467" s="16"/>
      <c r="M1467" s="16"/>
      <c r="N1467" s="16"/>
      <c r="O1467" s="16"/>
      <c r="P1467" s="16"/>
    </row>
    <row r="1468" spans="10:16" x14ac:dyDescent="0.2">
      <c r="J1468" s="16"/>
      <c r="K1468" s="16"/>
      <c r="L1468" s="16"/>
      <c r="M1468" s="16"/>
      <c r="N1468" s="16"/>
      <c r="O1468" s="16"/>
      <c r="P1468" s="16"/>
    </row>
    <row r="1469" spans="10:16" x14ac:dyDescent="0.2">
      <c r="J1469" s="16"/>
      <c r="K1469" s="16"/>
      <c r="L1469" s="16"/>
      <c r="M1469" s="16"/>
      <c r="N1469" s="16"/>
      <c r="O1469" s="16"/>
      <c r="P1469" s="16"/>
    </row>
    <row r="1470" spans="10:16" x14ac:dyDescent="0.2">
      <c r="J1470" s="16"/>
      <c r="K1470" s="16"/>
      <c r="L1470" s="16"/>
      <c r="M1470" s="16"/>
      <c r="N1470" s="16"/>
      <c r="O1470" s="16"/>
      <c r="P1470" s="16"/>
    </row>
    <row r="1471" spans="10:16" x14ac:dyDescent="0.2">
      <c r="J1471" s="16"/>
      <c r="K1471" s="16"/>
      <c r="L1471" s="16"/>
      <c r="M1471" s="16"/>
      <c r="N1471" s="16"/>
      <c r="O1471" s="16"/>
      <c r="P1471" s="16"/>
    </row>
    <row r="1472" spans="10:16" x14ac:dyDescent="0.2">
      <c r="J1472" s="16"/>
      <c r="K1472" s="16"/>
      <c r="L1472" s="16"/>
      <c r="M1472" s="16"/>
      <c r="N1472" s="16"/>
      <c r="O1472" s="16"/>
      <c r="P1472" s="16"/>
    </row>
    <row r="1473" spans="10:16" x14ac:dyDescent="0.2">
      <c r="J1473" s="16"/>
      <c r="K1473" s="16"/>
      <c r="L1473" s="16"/>
      <c r="M1473" s="16"/>
      <c r="N1473" s="16"/>
      <c r="O1473" s="16"/>
      <c r="P1473" s="16"/>
    </row>
    <row r="1474" spans="10:16" x14ac:dyDescent="0.2">
      <c r="J1474" s="16"/>
      <c r="K1474" s="16"/>
      <c r="L1474" s="16"/>
      <c r="M1474" s="16"/>
      <c r="N1474" s="16"/>
      <c r="O1474" s="16"/>
      <c r="P1474" s="16"/>
    </row>
    <row r="1475" spans="10:16" x14ac:dyDescent="0.2">
      <c r="J1475" s="16"/>
      <c r="K1475" s="16"/>
      <c r="L1475" s="16"/>
      <c r="M1475" s="16"/>
      <c r="N1475" s="16"/>
      <c r="O1475" s="16"/>
      <c r="P1475" s="16"/>
    </row>
    <row r="1476" spans="10:16" x14ac:dyDescent="0.2">
      <c r="J1476" s="16"/>
      <c r="K1476" s="16"/>
      <c r="L1476" s="16"/>
      <c r="M1476" s="16"/>
      <c r="N1476" s="16"/>
      <c r="O1476" s="16"/>
      <c r="P1476" s="16"/>
    </row>
    <row r="1477" spans="10:16" x14ac:dyDescent="0.2">
      <c r="J1477" s="16"/>
      <c r="K1477" s="16"/>
      <c r="L1477" s="16"/>
      <c r="M1477" s="16"/>
      <c r="N1477" s="16"/>
      <c r="O1477" s="16"/>
      <c r="P1477" s="16"/>
    </row>
    <row r="1478" spans="10:16" x14ac:dyDescent="0.2">
      <c r="J1478" s="16"/>
      <c r="K1478" s="16"/>
      <c r="L1478" s="16"/>
      <c r="M1478" s="16"/>
      <c r="N1478" s="16"/>
      <c r="O1478" s="16"/>
      <c r="P1478" s="16"/>
    </row>
    <row r="1479" spans="10:16" x14ac:dyDescent="0.2">
      <c r="J1479" s="16"/>
      <c r="K1479" s="16"/>
      <c r="L1479" s="16"/>
      <c r="M1479" s="16"/>
      <c r="N1479" s="16"/>
      <c r="O1479" s="16"/>
      <c r="P1479" s="16"/>
    </row>
    <row r="1480" spans="10:16" x14ac:dyDescent="0.2">
      <c r="J1480" s="16"/>
      <c r="K1480" s="16"/>
      <c r="L1480" s="16"/>
      <c r="M1480" s="16"/>
      <c r="N1480" s="16"/>
      <c r="O1480" s="16"/>
      <c r="P1480" s="16"/>
    </row>
    <row r="1481" spans="10:16" x14ac:dyDescent="0.2">
      <c r="J1481" s="16"/>
      <c r="K1481" s="16"/>
      <c r="L1481" s="16"/>
      <c r="M1481" s="16"/>
      <c r="N1481" s="16"/>
      <c r="O1481" s="16"/>
      <c r="P1481" s="16"/>
    </row>
    <row r="1482" spans="10:16" x14ac:dyDescent="0.2">
      <c r="J1482" s="16"/>
      <c r="K1482" s="16"/>
      <c r="L1482" s="16"/>
      <c r="M1482" s="16"/>
      <c r="N1482" s="16"/>
      <c r="O1482" s="16"/>
      <c r="P1482" s="16"/>
    </row>
    <row r="1483" spans="10:16" x14ac:dyDescent="0.2">
      <c r="J1483" s="16"/>
      <c r="K1483" s="16"/>
      <c r="L1483" s="16"/>
      <c r="M1483" s="16"/>
      <c r="N1483" s="16"/>
      <c r="O1483" s="16"/>
      <c r="P1483" s="16"/>
    </row>
    <row r="1484" spans="10:16" x14ac:dyDescent="0.2">
      <c r="J1484" s="16"/>
      <c r="K1484" s="16"/>
      <c r="L1484" s="16"/>
      <c r="M1484" s="16"/>
      <c r="N1484" s="16"/>
      <c r="O1484" s="16"/>
      <c r="P1484" s="16"/>
    </row>
    <row r="1485" spans="10:16" x14ac:dyDescent="0.2">
      <c r="J1485" s="16"/>
      <c r="K1485" s="16"/>
      <c r="L1485" s="16"/>
      <c r="M1485" s="16"/>
      <c r="N1485" s="16"/>
      <c r="O1485" s="16"/>
      <c r="P1485" s="16"/>
    </row>
    <row r="1486" spans="10:16" x14ac:dyDescent="0.2">
      <c r="J1486" s="16"/>
      <c r="K1486" s="16"/>
      <c r="L1486" s="16"/>
      <c r="M1486" s="16"/>
      <c r="N1486" s="16"/>
      <c r="O1486" s="16"/>
      <c r="P1486" s="16"/>
    </row>
    <row r="1487" spans="10:16" x14ac:dyDescent="0.2">
      <c r="J1487" s="16"/>
      <c r="K1487" s="16"/>
      <c r="L1487" s="16"/>
      <c r="M1487" s="16"/>
      <c r="N1487" s="16"/>
      <c r="O1487" s="16"/>
      <c r="P1487" s="16"/>
    </row>
    <row r="1488" spans="10:16" x14ac:dyDescent="0.2">
      <c r="J1488" s="16"/>
      <c r="K1488" s="16"/>
      <c r="L1488" s="16"/>
      <c r="M1488" s="16"/>
      <c r="N1488" s="16"/>
      <c r="O1488" s="16"/>
      <c r="P1488" s="16"/>
    </row>
    <row r="1489" spans="10:16" x14ac:dyDescent="0.2">
      <c r="J1489" s="16"/>
      <c r="K1489" s="16"/>
      <c r="L1489" s="16"/>
      <c r="M1489" s="16"/>
      <c r="N1489" s="16"/>
      <c r="O1489" s="16"/>
      <c r="P1489" s="16"/>
    </row>
    <row r="1490" spans="10:16" x14ac:dyDescent="0.2">
      <c r="J1490" s="16"/>
      <c r="K1490" s="16"/>
      <c r="L1490" s="16"/>
      <c r="M1490" s="16"/>
      <c r="N1490" s="16"/>
      <c r="O1490" s="16"/>
      <c r="P1490" s="16"/>
    </row>
    <row r="1491" spans="10:16" x14ac:dyDescent="0.2">
      <c r="J1491" s="16"/>
      <c r="K1491" s="16"/>
      <c r="L1491" s="16"/>
      <c r="M1491" s="16"/>
      <c r="N1491" s="16"/>
      <c r="O1491" s="16"/>
      <c r="P1491" s="16"/>
    </row>
    <row r="1492" spans="10:16" x14ac:dyDescent="0.2">
      <c r="J1492" s="16"/>
      <c r="K1492" s="16"/>
      <c r="L1492" s="16"/>
      <c r="M1492" s="16"/>
      <c r="N1492" s="16"/>
      <c r="O1492" s="16"/>
      <c r="P1492" s="16"/>
    </row>
    <row r="1493" spans="10:16" x14ac:dyDescent="0.2">
      <c r="J1493" s="16"/>
      <c r="K1493" s="16"/>
      <c r="L1493" s="16"/>
      <c r="M1493" s="16"/>
      <c r="N1493" s="16"/>
      <c r="O1493" s="16"/>
      <c r="P1493" s="16"/>
    </row>
    <row r="1494" spans="10:16" x14ac:dyDescent="0.2">
      <c r="J1494" s="16"/>
      <c r="K1494" s="16"/>
      <c r="L1494" s="16"/>
      <c r="M1494" s="16"/>
      <c r="N1494" s="16"/>
      <c r="O1494" s="16"/>
      <c r="P1494" s="16"/>
    </row>
    <row r="1495" spans="10:16" x14ac:dyDescent="0.2">
      <c r="J1495" s="16"/>
      <c r="K1495" s="16"/>
      <c r="L1495" s="16"/>
      <c r="M1495" s="16"/>
      <c r="N1495" s="16"/>
      <c r="O1495" s="16"/>
      <c r="P1495" s="16"/>
    </row>
    <row r="1496" spans="10:16" x14ac:dyDescent="0.2">
      <c r="J1496" s="16"/>
      <c r="K1496" s="16"/>
      <c r="L1496" s="16"/>
      <c r="M1496" s="16"/>
      <c r="N1496" s="16"/>
      <c r="O1496" s="16"/>
      <c r="P1496" s="16"/>
    </row>
    <row r="1497" spans="10:16" x14ac:dyDescent="0.2">
      <c r="J1497" s="16"/>
      <c r="K1497" s="16"/>
      <c r="L1497" s="16"/>
      <c r="M1497" s="16"/>
      <c r="N1497" s="16"/>
      <c r="O1497" s="16"/>
      <c r="P1497" s="16"/>
    </row>
    <row r="1498" spans="10:16" x14ac:dyDescent="0.2">
      <c r="J1498" s="16"/>
      <c r="K1498" s="16"/>
      <c r="L1498" s="16"/>
      <c r="M1498" s="16"/>
      <c r="N1498" s="16"/>
      <c r="O1498" s="16"/>
      <c r="P1498" s="16"/>
    </row>
    <row r="1499" spans="10:16" x14ac:dyDescent="0.2">
      <c r="J1499" s="16"/>
      <c r="K1499" s="16"/>
      <c r="L1499" s="16"/>
      <c r="M1499" s="16"/>
      <c r="N1499" s="16"/>
      <c r="O1499" s="16"/>
      <c r="P1499" s="16"/>
    </row>
    <row r="1500" spans="10:16" x14ac:dyDescent="0.2">
      <c r="J1500" s="16"/>
      <c r="K1500" s="16"/>
      <c r="L1500" s="16"/>
      <c r="M1500" s="16"/>
      <c r="N1500" s="16"/>
      <c r="O1500" s="16"/>
      <c r="P1500" s="16"/>
    </row>
    <row r="1501" spans="10:16" x14ac:dyDescent="0.2">
      <c r="J1501" s="16"/>
      <c r="K1501" s="16"/>
      <c r="L1501" s="16"/>
      <c r="M1501" s="16"/>
      <c r="N1501" s="16"/>
      <c r="O1501" s="16"/>
      <c r="P1501" s="16"/>
    </row>
    <row r="1502" spans="10:16" x14ac:dyDescent="0.2">
      <c r="J1502" s="16"/>
      <c r="K1502" s="16"/>
      <c r="L1502" s="16"/>
      <c r="M1502" s="16"/>
      <c r="N1502" s="16"/>
      <c r="O1502" s="16"/>
      <c r="P1502" s="16"/>
    </row>
    <row r="1503" spans="10:16" x14ac:dyDescent="0.2">
      <c r="J1503" s="16"/>
      <c r="K1503" s="16"/>
      <c r="L1503" s="16"/>
      <c r="M1503" s="16"/>
      <c r="N1503" s="16"/>
      <c r="O1503" s="16"/>
      <c r="P1503" s="16"/>
    </row>
    <row r="1504" spans="10:16" x14ac:dyDescent="0.2">
      <c r="J1504" s="16"/>
      <c r="K1504" s="16"/>
      <c r="L1504" s="16"/>
      <c r="M1504" s="16"/>
      <c r="N1504" s="16"/>
      <c r="O1504" s="16"/>
      <c r="P1504" s="16"/>
    </row>
    <row r="1505" spans="10:16" x14ac:dyDescent="0.2">
      <c r="J1505" s="16"/>
      <c r="K1505" s="16"/>
      <c r="L1505" s="16"/>
      <c r="M1505" s="16"/>
      <c r="N1505" s="16"/>
      <c r="O1505" s="16"/>
      <c r="P1505" s="16"/>
    </row>
    <row r="1506" spans="10:16" x14ac:dyDescent="0.2">
      <c r="J1506" s="16"/>
      <c r="K1506" s="16"/>
      <c r="L1506" s="16"/>
      <c r="M1506" s="16"/>
      <c r="N1506" s="16"/>
      <c r="O1506" s="16"/>
      <c r="P1506" s="16"/>
    </row>
    <row r="1507" spans="10:16" x14ac:dyDescent="0.2">
      <c r="J1507" s="16"/>
      <c r="K1507" s="16"/>
      <c r="L1507" s="16"/>
      <c r="M1507" s="16"/>
      <c r="N1507" s="16"/>
      <c r="O1507" s="16"/>
      <c r="P1507" s="16"/>
    </row>
    <row r="1508" spans="10:16" x14ac:dyDescent="0.2">
      <c r="J1508" s="16"/>
      <c r="K1508" s="16"/>
      <c r="L1508" s="16"/>
      <c r="M1508" s="16"/>
      <c r="N1508" s="16"/>
      <c r="O1508" s="16"/>
      <c r="P1508" s="16"/>
    </row>
    <row r="1509" spans="10:16" x14ac:dyDescent="0.2">
      <c r="J1509" s="16"/>
      <c r="K1509" s="16"/>
      <c r="L1509" s="16"/>
      <c r="M1509" s="16"/>
      <c r="N1509" s="16"/>
      <c r="O1509" s="16"/>
      <c r="P1509" s="16"/>
    </row>
    <row r="1510" spans="10:16" x14ac:dyDescent="0.2">
      <c r="J1510" s="16"/>
      <c r="K1510" s="16"/>
      <c r="L1510" s="16"/>
      <c r="M1510" s="16"/>
      <c r="N1510" s="16"/>
      <c r="O1510" s="16"/>
      <c r="P1510" s="16"/>
    </row>
    <row r="1511" spans="10:16" x14ac:dyDescent="0.2">
      <c r="J1511" s="16"/>
      <c r="K1511" s="16"/>
      <c r="L1511" s="16"/>
      <c r="M1511" s="16"/>
      <c r="N1511" s="16"/>
      <c r="O1511" s="16"/>
      <c r="P1511" s="16"/>
    </row>
    <row r="1512" spans="10:16" x14ac:dyDescent="0.2">
      <c r="J1512" s="16"/>
      <c r="K1512" s="16"/>
      <c r="L1512" s="16"/>
      <c r="M1512" s="16"/>
      <c r="N1512" s="16"/>
      <c r="O1512" s="16"/>
      <c r="P1512" s="16"/>
    </row>
    <row r="1513" spans="10:16" x14ac:dyDescent="0.2">
      <c r="J1513" s="16"/>
      <c r="K1513" s="16"/>
      <c r="L1513" s="16"/>
      <c r="M1513" s="16"/>
      <c r="N1513" s="16"/>
      <c r="O1513" s="16"/>
      <c r="P1513" s="16"/>
    </row>
    <row r="1514" spans="10:16" x14ac:dyDescent="0.2">
      <c r="J1514" s="16"/>
      <c r="K1514" s="16"/>
      <c r="L1514" s="16"/>
      <c r="M1514" s="16"/>
      <c r="N1514" s="16"/>
      <c r="O1514" s="16"/>
      <c r="P1514" s="16"/>
    </row>
    <row r="1515" spans="10:16" x14ac:dyDescent="0.2">
      <c r="J1515" s="16"/>
      <c r="K1515" s="16"/>
      <c r="L1515" s="16"/>
      <c r="M1515" s="16"/>
      <c r="N1515" s="16"/>
      <c r="O1515" s="16"/>
      <c r="P1515" s="16"/>
    </row>
    <row r="1516" spans="10:16" x14ac:dyDescent="0.2">
      <c r="J1516" s="16"/>
      <c r="K1516" s="16"/>
      <c r="L1516" s="16"/>
      <c r="M1516" s="16"/>
      <c r="N1516" s="16"/>
      <c r="O1516" s="16"/>
      <c r="P1516" s="16"/>
    </row>
    <row r="1517" spans="10:16" x14ac:dyDescent="0.2">
      <c r="J1517" s="16"/>
      <c r="K1517" s="16"/>
      <c r="L1517" s="16"/>
      <c r="M1517" s="16"/>
      <c r="N1517" s="16"/>
      <c r="O1517" s="16"/>
      <c r="P1517" s="16"/>
    </row>
    <row r="1518" spans="10:16" x14ac:dyDescent="0.2">
      <c r="J1518" s="16"/>
      <c r="K1518" s="16"/>
      <c r="L1518" s="16"/>
      <c r="M1518" s="16"/>
      <c r="N1518" s="16"/>
      <c r="O1518" s="16"/>
      <c r="P1518" s="16"/>
    </row>
    <row r="1519" spans="10:16" x14ac:dyDescent="0.2">
      <c r="J1519" s="16"/>
      <c r="K1519" s="16"/>
      <c r="L1519" s="16"/>
      <c r="M1519" s="16"/>
      <c r="N1519" s="16"/>
      <c r="O1519" s="16"/>
      <c r="P1519" s="16"/>
    </row>
    <row r="1520" spans="10:16" x14ac:dyDescent="0.2">
      <c r="J1520" s="16"/>
      <c r="K1520" s="16"/>
      <c r="L1520" s="16"/>
      <c r="M1520" s="16"/>
      <c r="N1520" s="16"/>
      <c r="O1520" s="16"/>
      <c r="P1520" s="16"/>
    </row>
    <row r="1521" spans="10:16" x14ac:dyDescent="0.2">
      <c r="J1521" s="16"/>
      <c r="K1521" s="16"/>
      <c r="L1521" s="16"/>
      <c r="M1521" s="16"/>
      <c r="N1521" s="16"/>
      <c r="O1521" s="16"/>
      <c r="P1521" s="16"/>
    </row>
    <row r="1522" spans="10:16" x14ac:dyDescent="0.2">
      <c r="J1522" s="16"/>
      <c r="K1522" s="16"/>
      <c r="L1522" s="16"/>
      <c r="M1522" s="16"/>
      <c r="N1522" s="16"/>
      <c r="O1522" s="16"/>
      <c r="P1522" s="16"/>
    </row>
    <row r="1523" spans="10:16" x14ac:dyDescent="0.2">
      <c r="J1523" s="16"/>
      <c r="K1523" s="16"/>
      <c r="L1523" s="16"/>
      <c r="M1523" s="16"/>
      <c r="N1523" s="16"/>
      <c r="O1523" s="16"/>
      <c r="P1523" s="16"/>
    </row>
    <row r="1524" spans="10:16" x14ac:dyDescent="0.2">
      <c r="J1524" s="16"/>
      <c r="K1524" s="16"/>
      <c r="L1524" s="16"/>
      <c r="M1524" s="16"/>
      <c r="N1524" s="16"/>
      <c r="O1524" s="16"/>
      <c r="P1524" s="16"/>
    </row>
    <row r="1525" spans="10:16" x14ac:dyDescent="0.2">
      <c r="J1525" s="16"/>
      <c r="K1525" s="16"/>
      <c r="L1525" s="16"/>
      <c r="M1525" s="16"/>
      <c r="N1525" s="16"/>
      <c r="O1525" s="16"/>
      <c r="P1525" s="16"/>
    </row>
    <row r="1526" spans="10:16" x14ac:dyDescent="0.2">
      <c r="J1526" s="16"/>
      <c r="K1526" s="16"/>
      <c r="L1526" s="16"/>
      <c r="M1526" s="16"/>
      <c r="N1526" s="16"/>
      <c r="O1526" s="16"/>
      <c r="P1526" s="16"/>
    </row>
    <row r="1527" spans="10:16" x14ac:dyDescent="0.2">
      <c r="J1527" s="16"/>
      <c r="K1527" s="16"/>
      <c r="L1527" s="16"/>
      <c r="M1527" s="16"/>
      <c r="N1527" s="16"/>
      <c r="O1527" s="16"/>
      <c r="P1527" s="16"/>
    </row>
    <row r="1528" spans="10:16" x14ac:dyDescent="0.2">
      <c r="J1528" s="16"/>
      <c r="K1528" s="16"/>
      <c r="L1528" s="16"/>
      <c r="M1528" s="16"/>
      <c r="N1528" s="16"/>
      <c r="O1528" s="16"/>
      <c r="P1528" s="16"/>
    </row>
    <row r="1529" spans="10:16" x14ac:dyDescent="0.2">
      <c r="J1529" s="16"/>
      <c r="K1529" s="16"/>
      <c r="L1529" s="16"/>
      <c r="M1529" s="16"/>
      <c r="N1529" s="16"/>
      <c r="O1529" s="16"/>
      <c r="P1529" s="16"/>
    </row>
    <row r="1530" spans="10:16" x14ac:dyDescent="0.2">
      <c r="J1530" s="16"/>
      <c r="K1530" s="16"/>
      <c r="L1530" s="16"/>
      <c r="M1530" s="16"/>
      <c r="N1530" s="16"/>
      <c r="O1530" s="16"/>
      <c r="P1530" s="16"/>
    </row>
    <row r="1531" spans="10:16" x14ac:dyDescent="0.2">
      <c r="J1531" s="16"/>
      <c r="K1531" s="16"/>
      <c r="L1531" s="16"/>
      <c r="M1531" s="16"/>
      <c r="N1531" s="16"/>
      <c r="O1531" s="16"/>
      <c r="P1531" s="16"/>
    </row>
    <row r="1532" spans="10:16" x14ac:dyDescent="0.2">
      <c r="J1532" s="16"/>
      <c r="K1532" s="16"/>
      <c r="L1532" s="16"/>
      <c r="M1532" s="16"/>
      <c r="N1532" s="16"/>
      <c r="O1532" s="16"/>
      <c r="P1532" s="16"/>
    </row>
    <row r="1533" spans="10:16" x14ac:dyDescent="0.2">
      <c r="J1533" s="16"/>
      <c r="K1533" s="16"/>
      <c r="L1533" s="16"/>
      <c r="M1533" s="16"/>
      <c r="N1533" s="16"/>
      <c r="O1533" s="16"/>
      <c r="P1533" s="16"/>
    </row>
    <row r="1534" spans="10:16" x14ac:dyDescent="0.2">
      <c r="J1534" s="16"/>
      <c r="K1534" s="16"/>
      <c r="L1534" s="16"/>
      <c r="M1534" s="16"/>
      <c r="N1534" s="16"/>
      <c r="O1534" s="16"/>
      <c r="P1534" s="16"/>
    </row>
    <row r="1535" spans="10:16" x14ac:dyDescent="0.2">
      <c r="J1535" s="16"/>
      <c r="K1535" s="16"/>
      <c r="L1535" s="16"/>
      <c r="M1535" s="16"/>
      <c r="N1535" s="16"/>
      <c r="O1535" s="16"/>
      <c r="P1535" s="16"/>
    </row>
    <row r="1536" spans="10:16" x14ac:dyDescent="0.2">
      <c r="J1536" s="16"/>
      <c r="K1536" s="16"/>
      <c r="L1536" s="16"/>
      <c r="M1536" s="16"/>
      <c r="N1536" s="16"/>
      <c r="O1536" s="16"/>
      <c r="P1536" s="16"/>
    </row>
    <row r="1537" spans="10:16" x14ac:dyDescent="0.2">
      <c r="J1537" s="16"/>
      <c r="K1537" s="16"/>
      <c r="L1537" s="16"/>
      <c r="M1537" s="16"/>
      <c r="N1537" s="16"/>
      <c r="O1537" s="16"/>
      <c r="P1537" s="16"/>
    </row>
    <row r="1538" spans="10:16" x14ac:dyDescent="0.2">
      <c r="J1538" s="16"/>
      <c r="K1538" s="16"/>
      <c r="L1538" s="16"/>
      <c r="M1538" s="16"/>
      <c r="N1538" s="16"/>
      <c r="O1538" s="16"/>
      <c r="P1538" s="16"/>
    </row>
    <row r="1539" spans="10:16" x14ac:dyDescent="0.2">
      <c r="J1539" s="16"/>
      <c r="K1539" s="16"/>
      <c r="L1539" s="16"/>
      <c r="M1539" s="16"/>
      <c r="N1539" s="16"/>
      <c r="O1539" s="16"/>
      <c r="P1539" s="16"/>
    </row>
    <row r="1540" spans="10:16" x14ac:dyDescent="0.2">
      <c r="J1540" s="16"/>
      <c r="K1540" s="16"/>
      <c r="L1540" s="16"/>
      <c r="M1540" s="16"/>
      <c r="N1540" s="16"/>
      <c r="O1540" s="16"/>
      <c r="P1540" s="16"/>
    </row>
    <row r="1541" spans="10:16" x14ac:dyDescent="0.2">
      <c r="J1541" s="16"/>
      <c r="K1541" s="16"/>
      <c r="L1541" s="16"/>
      <c r="M1541" s="16"/>
      <c r="N1541" s="16"/>
      <c r="O1541" s="16"/>
      <c r="P1541" s="16"/>
    </row>
    <row r="1542" spans="10:16" x14ac:dyDescent="0.2">
      <c r="J1542" s="16"/>
      <c r="K1542" s="16"/>
      <c r="L1542" s="16"/>
      <c r="M1542" s="16"/>
      <c r="N1542" s="16"/>
      <c r="O1542" s="16"/>
      <c r="P1542" s="16"/>
    </row>
    <row r="1543" spans="10:16" x14ac:dyDescent="0.2">
      <c r="J1543" s="16"/>
      <c r="K1543" s="16"/>
      <c r="L1543" s="16"/>
      <c r="M1543" s="16"/>
      <c r="N1543" s="16"/>
      <c r="O1543" s="16"/>
      <c r="P1543" s="16"/>
    </row>
    <row r="1544" spans="10:16" x14ac:dyDescent="0.2">
      <c r="J1544" s="16"/>
      <c r="K1544" s="16"/>
      <c r="L1544" s="16"/>
      <c r="M1544" s="16"/>
      <c r="N1544" s="16"/>
      <c r="O1544" s="16"/>
      <c r="P1544" s="16"/>
    </row>
    <row r="1545" spans="10:16" x14ac:dyDescent="0.2">
      <c r="J1545" s="16"/>
      <c r="K1545" s="16"/>
      <c r="L1545" s="16"/>
      <c r="M1545" s="16"/>
      <c r="N1545" s="16"/>
      <c r="O1545" s="16"/>
      <c r="P1545" s="16"/>
    </row>
    <row r="1546" spans="10:16" x14ac:dyDescent="0.2">
      <c r="J1546" s="16"/>
      <c r="K1546" s="16"/>
      <c r="L1546" s="16"/>
      <c r="M1546" s="16"/>
      <c r="N1546" s="16"/>
      <c r="O1546" s="16"/>
      <c r="P1546" s="16"/>
    </row>
    <row r="1547" spans="10:16" x14ac:dyDescent="0.2">
      <c r="J1547" s="16"/>
      <c r="K1547" s="16"/>
      <c r="L1547" s="16"/>
      <c r="M1547" s="16"/>
      <c r="N1547" s="16"/>
      <c r="O1547" s="16"/>
      <c r="P1547" s="16"/>
    </row>
    <row r="1548" spans="10:16" x14ac:dyDescent="0.2">
      <c r="J1548" s="16"/>
      <c r="K1548" s="16"/>
      <c r="L1548" s="16"/>
      <c r="M1548" s="16"/>
      <c r="N1548" s="16"/>
      <c r="O1548" s="16"/>
      <c r="P1548" s="16"/>
    </row>
    <row r="1549" spans="10:16" x14ac:dyDescent="0.2">
      <c r="J1549" s="16"/>
      <c r="K1549" s="16"/>
      <c r="L1549" s="16"/>
      <c r="M1549" s="16"/>
      <c r="N1549" s="16"/>
      <c r="O1549" s="16"/>
      <c r="P1549" s="16"/>
    </row>
    <row r="1550" spans="10:16" x14ac:dyDescent="0.2">
      <c r="J1550" s="16"/>
      <c r="K1550" s="16"/>
      <c r="L1550" s="16"/>
      <c r="M1550" s="16"/>
      <c r="N1550" s="16"/>
      <c r="O1550" s="16"/>
      <c r="P1550" s="16"/>
    </row>
    <row r="1551" spans="10:16" x14ac:dyDescent="0.2">
      <c r="J1551" s="16"/>
      <c r="K1551" s="16"/>
      <c r="L1551" s="16"/>
      <c r="M1551" s="16"/>
      <c r="N1551" s="16"/>
      <c r="O1551" s="16"/>
      <c r="P1551" s="16"/>
    </row>
    <row r="1552" spans="10:16" x14ac:dyDescent="0.2">
      <c r="J1552" s="16"/>
      <c r="K1552" s="16"/>
      <c r="L1552" s="16"/>
      <c r="M1552" s="16"/>
      <c r="N1552" s="16"/>
      <c r="O1552" s="16"/>
      <c r="P1552" s="16"/>
    </row>
    <row r="1553" spans="10:16" x14ac:dyDescent="0.2">
      <c r="J1553" s="16"/>
      <c r="K1553" s="16"/>
      <c r="L1553" s="16"/>
      <c r="M1553" s="16"/>
      <c r="N1553" s="16"/>
      <c r="O1553" s="16"/>
      <c r="P1553" s="16"/>
    </row>
    <row r="1554" spans="10:16" x14ac:dyDescent="0.2">
      <c r="J1554" s="16"/>
      <c r="K1554" s="16"/>
      <c r="L1554" s="16"/>
      <c r="M1554" s="16"/>
      <c r="N1554" s="16"/>
      <c r="O1554" s="16"/>
      <c r="P1554" s="16"/>
    </row>
    <row r="1555" spans="10:16" x14ac:dyDescent="0.2">
      <c r="J1555" s="16"/>
      <c r="K1555" s="16"/>
      <c r="L1555" s="16"/>
      <c r="M1555" s="16"/>
      <c r="N1555" s="16"/>
      <c r="O1555" s="16"/>
      <c r="P1555" s="16"/>
    </row>
    <row r="1556" spans="10:16" x14ac:dyDescent="0.2">
      <c r="J1556" s="16"/>
      <c r="K1556" s="16"/>
      <c r="L1556" s="16"/>
      <c r="M1556" s="16"/>
      <c r="N1556" s="16"/>
      <c r="O1556" s="16"/>
      <c r="P1556" s="16"/>
    </row>
    <row r="1557" spans="10:16" x14ac:dyDescent="0.2">
      <c r="J1557" s="16"/>
      <c r="K1557" s="16"/>
      <c r="L1557" s="16"/>
      <c r="M1557" s="16"/>
      <c r="N1557" s="16"/>
      <c r="O1557" s="16"/>
      <c r="P1557" s="16"/>
    </row>
    <row r="1558" spans="10:16" x14ac:dyDescent="0.2">
      <c r="J1558" s="16"/>
      <c r="K1558" s="16"/>
      <c r="L1558" s="16"/>
      <c r="M1558" s="16"/>
      <c r="N1558" s="16"/>
      <c r="O1558" s="16"/>
      <c r="P1558" s="16"/>
    </row>
    <row r="1559" spans="10:16" x14ac:dyDescent="0.2">
      <c r="J1559" s="16"/>
      <c r="K1559" s="16"/>
      <c r="L1559" s="16"/>
      <c r="M1559" s="16"/>
      <c r="N1559" s="16"/>
      <c r="O1559" s="16"/>
      <c r="P1559" s="16"/>
    </row>
    <row r="1560" spans="10:16" x14ac:dyDescent="0.2">
      <c r="J1560" s="16"/>
      <c r="K1560" s="16"/>
      <c r="L1560" s="16"/>
      <c r="M1560" s="16"/>
      <c r="N1560" s="16"/>
      <c r="O1560" s="16"/>
      <c r="P1560" s="16"/>
    </row>
    <row r="1561" spans="10:16" x14ac:dyDescent="0.2">
      <c r="J1561" s="16"/>
      <c r="K1561" s="16"/>
      <c r="L1561" s="16"/>
      <c r="M1561" s="16"/>
      <c r="N1561" s="16"/>
      <c r="O1561" s="16"/>
      <c r="P1561" s="16"/>
    </row>
    <row r="1562" spans="10:16" x14ac:dyDescent="0.2">
      <c r="J1562" s="16"/>
      <c r="K1562" s="16"/>
      <c r="L1562" s="16"/>
      <c r="M1562" s="16"/>
      <c r="N1562" s="16"/>
      <c r="O1562" s="16"/>
      <c r="P1562" s="16"/>
    </row>
    <row r="1563" spans="10:16" x14ac:dyDescent="0.2">
      <c r="J1563" s="16"/>
      <c r="K1563" s="16"/>
      <c r="L1563" s="16"/>
      <c r="M1563" s="16"/>
      <c r="N1563" s="16"/>
      <c r="O1563" s="16"/>
      <c r="P1563" s="16"/>
    </row>
    <row r="1564" spans="10:16" x14ac:dyDescent="0.2">
      <c r="J1564" s="16"/>
      <c r="K1564" s="16"/>
      <c r="L1564" s="16"/>
      <c r="M1564" s="16"/>
      <c r="N1564" s="16"/>
      <c r="O1564" s="16"/>
      <c r="P1564" s="16"/>
    </row>
    <row r="1565" spans="10:16" x14ac:dyDescent="0.2">
      <c r="J1565" s="16"/>
      <c r="K1565" s="16"/>
      <c r="L1565" s="16"/>
      <c r="M1565" s="16"/>
      <c r="N1565" s="16"/>
      <c r="O1565" s="16"/>
      <c r="P1565" s="16"/>
    </row>
    <row r="1566" spans="10:16" x14ac:dyDescent="0.2">
      <c r="J1566" s="16"/>
      <c r="K1566" s="16"/>
      <c r="L1566" s="16"/>
      <c r="M1566" s="16"/>
      <c r="N1566" s="16"/>
      <c r="O1566" s="16"/>
      <c r="P1566" s="16"/>
    </row>
    <row r="1567" spans="10:16" x14ac:dyDescent="0.2">
      <c r="J1567" s="16"/>
      <c r="K1567" s="16"/>
      <c r="L1567" s="16"/>
      <c r="M1567" s="16"/>
      <c r="N1567" s="16"/>
      <c r="O1567" s="16"/>
      <c r="P1567" s="16"/>
    </row>
    <row r="1568" spans="10:16" x14ac:dyDescent="0.2">
      <c r="J1568" s="16"/>
      <c r="K1568" s="16"/>
      <c r="L1568" s="16"/>
      <c r="M1568" s="16"/>
      <c r="N1568" s="16"/>
      <c r="O1568" s="16"/>
      <c r="P1568" s="16"/>
    </row>
    <row r="1569" spans="10:16" x14ac:dyDescent="0.2">
      <c r="J1569" s="16"/>
      <c r="K1569" s="16"/>
      <c r="L1569" s="16"/>
      <c r="M1569" s="16"/>
      <c r="N1569" s="16"/>
      <c r="O1569" s="16"/>
      <c r="P1569" s="16"/>
    </row>
    <row r="1570" spans="10:16" x14ac:dyDescent="0.2">
      <c r="J1570" s="16"/>
      <c r="K1570" s="16"/>
      <c r="L1570" s="16"/>
      <c r="M1570" s="16"/>
      <c r="N1570" s="16"/>
      <c r="O1570" s="16"/>
      <c r="P1570" s="16"/>
    </row>
    <row r="1571" spans="10:16" x14ac:dyDescent="0.2">
      <c r="J1571" s="16"/>
      <c r="K1571" s="16"/>
      <c r="L1571" s="16"/>
      <c r="M1571" s="16"/>
      <c r="N1571" s="16"/>
      <c r="O1571" s="16"/>
      <c r="P1571" s="16"/>
    </row>
    <row r="1572" spans="10:16" x14ac:dyDescent="0.2">
      <c r="J1572" s="16"/>
      <c r="K1572" s="16"/>
      <c r="L1572" s="16"/>
      <c r="M1572" s="16"/>
      <c r="N1572" s="16"/>
      <c r="O1572" s="16"/>
      <c r="P1572" s="16"/>
    </row>
    <row r="1573" spans="10:16" x14ac:dyDescent="0.2">
      <c r="J1573" s="16"/>
      <c r="K1573" s="16"/>
      <c r="L1573" s="16"/>
      <c r="M1573" s="16"/>
      <c r="N1573" s="16"/>
      <c r="O1573" s="16"/>
      <c r="P1573" s="16"/>
    </row>
    <row r="1574" spans="10:16" x14ac:dyDescent="0.2">
      <c r="J1574" s="16"/>
      <c r="K1574" s="16"/>
      <c r="L1574" s="16"/>
      <c r="M1574" s="16"/>
      <c r="N1574" s="16"/>
      <c r="O1574" s="16"/>
      <c r="P1574" s="16"/>
    </row>
    <row r="1575" spans="10:16" x14ac:dyDescent="0.2">
      <c r="J1575" s="16"/>
      <c r="K1575" s="16"/>
      <c r="L1575" s="16"/>
      <c r="M1575" s="16"/>
      <c r="N1575" s="16"/>
      <c r="O1575" s="16"/>
      <c r="P1575" s="16"/>
    </row>
    <row r="1576" spans="10:16" x14ac:dyDescent="0.2">
      <c r="J1576" s="16"/>
      <c r="K1576" s="16"/>
      <c r="L1576" s="16"/>
      <c r="M1576" s="16"/>
      <c r="N1576" s="16"/>
      <c r="O1576" s="16"/>
      <c r="P1576" s="16"/>
    </row>
    <row r="1577" spans="10:16" x14ac:dyDescent="0.2">
      <c r="J1577" s="16"/>
      <c r="K1577" s="16"/>
      <c r="L1577" s="16"/>
      <c r="M1577" s="16"/>
      <c r="N1577" s="16"/>
      <c r="O1577" s="16"/>
      <c r="P1577" s="16"/>
    </row>
    <row r="1578" spans="10:16" x14ac:dyDescent="0.2">
      <c r="J1578" s="16"/>
      <c r="K1578" s="16"/>
      <c r="L1578" s="16"/>
      <c r="M1578" s="16"/>
      <c r="N1578" s="16"/>
      <c r="O1578" s="16"/>
      <c r="P1578" s="16"/>
    </row>
    <row r="1579" spans="10:16" x14ac:dyDescent="0.2">
      <c r="J1579" s="16"/>
      <c r="K1579" s="16"/>
      <c r="L1579" s="16"/>
      <c r="M1579" s="16"/>
      <c r="N1579" s="16"/>
      <c r="O1579" s="16"/>
      <c r="P1579" s="16"/>
    </row>
    <row r="1580" spans="10:16" x14ac:dyDescent="0.2">
      <c r="J1580" s="16"/>
      <c r="K1580" s="16"/>
      <c r="L1580" s="16"/>
      <c r="M1580" s="16"/>
      <c r="N1580" s="16"/>
      <c r="O1580" s="16"/>
      <c r="P1580" s="16"/>
    </row>
    <row r="1581" spans="10:16" x14ac:dyDescent="0.2">
      <c r="J1581" s="16"/>
      <c r="K1581" s="16"/>
      <c r="L1581" s="16"/>
      <c r="M1581" s="16"/>
      <c r="N1581" s="16"/>
      <c r="O1581" s="16"/>
      <c r="P1581" s="16"/>
    </row>
    <row r="1582" spans="10:16" x14ac:dyDescent="0.2">
      <c r="J1582" s="16"/>
      <c r="K1582" s="16"/>
      <c r="L1582" s="16"/>
      <c r="M1582" s="16"/>
      <c r="N1582" s="16"/>
      <c r="O1582" s="16"/>
      <c r="P1582" s="16"/>
    </row>
    <row r="1583" spans="10:16" x14ac:dyDescent="0.2">
      <c r="J1583" s="16"/>
      <c r="K1583" s="16"/>
      <c r="L1583" s="16"/>
      <c r="M1583" s="16"/>
      <c r="N1583" s="16"/>
      <c r="O1583" s="16"/>
      <c r="P1583" s="16"/>
    </row>
    <row r="1584" spans="10:16" x14ac:dyDescent="0.2">
      <c r="J1584" s="16"/>
      <c r="K1584" s="16"/>
      <c r="L1584" s="16"/>
      <c r="M1584" s="16"/>
      <c r="N1584" s="16"/>
      <c r="O1584" s="16"/>
      <c r="P1584" s="16"/>
    </row>
    <row r="1585" spans="10:16" x14ac:dyDescent="0.2">
      <c r="J1585" s="16"/>
      <c r="K1585" s="16"/>
      <c r="L1585" s="16"/>
      <c r="M1585" s="16"/>
      <c r="N1585" s="16"/>
      <c r="O1585" s="16"/>
      <c r="P1585" s="16"/>
    </row>
    <row r="1586" spans="10:16" x14ac:dyDescent="0.2">
      <c r="J1586" s="16"/>
      <c r="K1586" s="16"/>
      <c r="L1586" s="16"/>
      <c r="M1586" s="16"/>
      <c r="N1586" s="16"/>
      <c r="O1586" s="16"/>
      <c r="P1586" s="16"/>
    </row>
    <row r="1587" spans="10:16" x14ac:dyDescent="0.2">
      <c r="J1587" s="16"/>
      <c r="K1587" s="16"/>
      <c r="L1587" s="16"/>
      <c r="M1587" s="16"/>
      <c r="N1587" s="16"/>
      <c r="O1587" s="16"/>
      <c r="P1587" s="16"/>
    </row>
    <row r="1588" spans="10:16" x14ac:dyDescent="0.2">
      <c r="J1588" s="16"/>
      <c r="K1588" s="16"/>
      <c r="L1588" s="16"/>
      <c r="M1588" s="16"/>
      <c r="N1588" s="16"/>
      <c r="O1588" s="16"/>
      <c r="P1588" s="16"/>
    </row>
    <row r="1589" spans="10:16" x14ac:dyDescent="0.2">
      <c r="J1589" s="16"/>
      <c r="K1589" s="16"/>
      <c r="L1589" s="16"/>
      <c r="M1589" s="16"/>
      <c r="N1589" s="16"/>
      <c r="O1589" s="16"/>
      <c r="P1589" s="16"/>
    </row>
    <row r="1590" spans="10:16" x14ac:dyDescent="0.2">
      <c r="J1590" s="16"/>
      <c r="K1590" s="16"/>
      <c r="L1590" s="16"/>
      <c r="M1590" s="16"/>
      <c r="N1590" s="16"/>
      <c r="O1590" s="16"/>
      <c r="P1590" s="16"/>
    </row>
    <row r="1591" spans="10:16" x14ac:dyDescent="0.2">
      <c r="J1591" s="16"/>
      <c r="K1591" s="16"/>
      <c r="L1591" s="16"/>
      <c r="M1591" s="16"/>
      <c r="N1591" s="16"/>
      <c r="O1591" s="16"/>
      <c r="P1591" s="16"/>
    </row>
    <row r="1592" spans="10:16" x14ac:dyDescent="0.2">
      <c r="J1592" s="16"/>
      <c r="K1592" s="16"/>
      <c r="L1592" s="16"/>
      <c r="M1592" s="16"/>
      <c r="N1592" s="16"/>
      <c r="O1592" s="16"/>
      <c r="P1592" s="16"/>
    </row>
    <row r="1593" spans="10:16" x14ac:dyDescent="0.2">
      <c r="J1593" s="16"/>
      <c r="K1593" s="16"/>
      <c r="L1593" s="16"/>
      <c r="M1593" s="16"/>
      <c r="N1593" s="16"/>
      <c r="O1593" s="16"/>
      <c r="P1593" s="16"/>
    </row>
    <row r="1594" spans="10:16" x14ac:dyDescent="0.2">
      <c r="J1594" s="16"/>
      <c r="K1594" s="16"/>
      <c r="L1594" s="16"/>
      <c r="M1594" s="16"/>
      <c r="N1594" s="16"/>
      <c r="O1594" s="16"/>
      <c r="P1594" s="16"/>
    </row>
    <row r="1595" spans="10:16" x14ac:dyDescent="0.2">
      <c r="J1595" s="16"/>
      <c r="K1595" s="16"/>
      <c r="L1595" s="16"/>
      <c r="M1595" s="16"/>
      <c r="N1595" s="16"/>
      <c r="O1595" s="16"/>
      <c r="P1595" s="16"/>
    </row>
    <row r="1596" spans="10:16" x14ac:dyDescent="0.2">
      <c r="J1596" s="16"/>
      <c r="K1596" s="16"/>
      <c r="L1596" s="16"/>
      <c r="M1596" s="16"/>
      <c r="N1596" s="16"/>
      <c r="O1596" s="16"/>
      <c r="P1596" s="16"/>
    </row>
    <row r="1597" spans="10:16" x14ac:dyDescent="0.2">
      <c r="J1597" s="16"/>
      <c r="K1597" s="16"/>
      <c r="L1597" s="16"/>
      <c r="M1597" s="16"/>
      <c r="N1597" s="16"/>
      <c r="O1597" s="16"/>
      <c r="P1597" s="16"/>
    </row>
    <row r="1598" spans="10:16" x14ac:dyDescent="0.2">
      <c r="J1598" s="16"/>
      <c r="K1598" s="16"/>
      <c r="L1598" s="16"/>
      <c r="M1598" s="16"/>
      <c r="N1598" s="16"/>
      <c r="O1598" s="16"/>
      <c r="P1598" s="16"/>
    </row>
    <row r="1599" spans="10:16" x14ac:dyDescent="0.2">
      <c r="J1599" s="16"/>
      <c r="K1599" s="16"/>
      <c r="L1599" s="16"/>
      <c r="M1599" s="16"/>
      <c r="N1599" s="16"/>
      <c r="O1599" s="16"/>
      <c r="P1599" s="16"/>
    </row>
    <row r="1600" spans="10:16" x14ac:dyDescent="0.2">
      <c r="J1600" s="16"/>
      <c r="K1600" s="16"/>
      <c r="L1600" s="16"/>
      <c r="M1600" s="16"/>
      <c r="N1600" s="16"/>
      <c r="O1600" s="16"/>
      <c r="P1600" s="16"/>
    </row>
    <row r="1601" spans="10:16" x14ac:dyDescent="0.2">
      <c r="J1601" s="16"/>
      <c r="K1601" s="16"/>
      <c r="L1601" s="16"/>
      <c r="M1601" s="16"/>
      <c r="N1601" s="16"/>
      <c r="O1601" s="16"/>
      <c r="P1601" s="16"/>
    </row>
    <row r="1602" spans="10:16" x14ac:dyDescent="0.2">
      <c r="J1602" s="16"/>
      <c r="K1602" s="16"/>
      <c r="L1602" s="16"/>
      <c r="M1602" s="16"/>
      <c r="N1602" s="16"/>
      <c r="O1602" s="16"/>
      <c r="P1602" s="16"/>
    </row>
    <row r="1603" spans="10:16" x14ac:dyDescent="0.2">
      <c r="J1603" s="16"/>
      <c r="K1603" s="16"/>
      <c r="L1603" s="16"/>
      <c r="M1603" s="16"/>
      <c r="N1603" s="16"/>
      <c r="O1603" s="16"/>
      <c r="P1603" s="16"/>
    </row>
    <row r="1604" spans="10:16" x14ac:dyDescent="0.2">
      <c r="J1604" s="16"/>
      <c r="K1604" s="16"/>
      <c r="L1604" s="16"/>
      <c r="M1604" s="16"/>
      <c r="N1604" s="16"/>
      <c r="O1604" s="16"/>
      <c r="P1604" s="16"/>
    </row>
    <row r="1605" spans="10:16" x14ac:dyDescent="0.2">
      <c r="J1605" s="16"/>
      <c r="K1605" s="16"/>
      <c r="L1605" s="16"/>
      <c r="M1605" s="16"/>
      <c r="N1605" s="16"/>
      <c r="O1605" s="16"/>
      <c r="P1605" s="16"/>
    </row>
    <row r="1606" spans="10:16" x14ac:dyDescent="0.2">
      <c r="J1606" s="16"/>
      <c r="K1606" s="16"/>
      <c r="L1606" s="16"/>
      <c r="M1606" s="16"/>
      <c r="N1606" s="16"/>
      <c r="O1606" s="16"/>
      <c r="P1606" s="16"/>
    </row>
    <row r="1607" spans="10:16" x14ac:dyDescent="0.2">
      <c r="J1607" s="16"/>
      <c r="K1607" s="16"/>
      <c r="L1607" s="16"/>
      <c r="M1607" s="16"/>
      <c r="N1607" s="16"/>
      <c r="O1607" s="16"/>
      <c r="P1607" s="16"/>
    </row>
    <row r="1608" spans="10:16" x14ac:dyDescent="0.2">
      <c r="J1608" s="16"/>
      <c r="K1608" s="16"/>
      <c r="L1608" s="16"/>
      <c r="M1608" s="16"/>
      <c r="N1608" s="16"/>
      <c r="O1608" s="16"/>
      <c r="P1608" s="16"/>
    </row>
    <row r="1609" spans="10:16" x14ac:dyDescent="0.2">
      <c r="J1609" s="16"/>
      <c r="K1609" s="16"/>
      <c r="L1609" s="16"/>
      <c r="M1609" s="16"/>
      <c r="N1609" s="16"/>
      <c r="O1609" s="16"/>
      <c r="P1609" s="16"/>
    </row>
    <row r="1610" spans="10:16" x14ac:dyDescent="0.2">
      <c r="J1610" s="16"/>
      <c r="K1610" s="16"/>
      <c r="L1610" s="16"/>
      <c r="M1610" s="16"/>
      <c r="N1610" s="16"/>
      <c r="O1610" s="16"/>
      <c r="P1610" s="16"/>
    </row>
    <row r="1611" spans="10:16" x14ac:dyDescent="0.2">
      <c r="J1611" s="16"/>
      <c r="K1611" s="16"/>
      <c r="L1611" s="16"/>
      <c r="M1611" s="16"/>
      <c r="N1611" s="16"/>
      <c r="O1611" s="16"/>
      <c r="P1611" s="16"/>
    </row>
    <row r="1612" spans="10:16" x14ac:dyDescent="0.2">
      <c r="J1612" s="16"/>
      <c r="K1612" s="16"/>
      <c r="L1612" s="16"/>
      <c r="M1612" s="16"/>
      <c r="N1612" s="16"/>
      <c r="O1612" s="16"/>
      <c r="P1612" s="16"/>
    </row>
    <row r="1613" spans="10:16" x14ac:dyDescent="0.2">
      <c r="J1613" s="16"/>
      <c r="K1613" s="16"/>
      <c r="L1613" s="16"/>
      <c r="M1613" s="16"/>
      <c r="N1613" s="16"/>
      <c r="O1613" s="16"/>
      <c r="P1613" s="16"/>
    </row>
    <row r="1614" spans="10:16" x14ac:dyDescent="0.2">
      <c r="J1614" s="16"/>
      <c r="K1614" s="16"/>
      <c r="L1614" s="16"/>
      <c r="M1614" s="16"/>
      <c r="N1614" s="16"/>
      <c r="O1614" s="16"/>
      <c r="P1614" s="16"/>
    </row>
    <row r="1615" spans="10:16" x14ac:dyDescent="0.2">
      <c r="J1615" s="16"/>
      <c r="K1615" s="16"/>
      <c r="L1615" s="16"/>
      <c r="M1615" s="16"/>
      <c r="N1615" s="16"/>
      <c r="O1615" s="16"/>
      <c r="P1615" s="16"/>
    </row>
    <row r="1616" spans="10:16" x14ac:dyDescent="0.2">
      <c r="J1616" s="16"/>
      <c r="K1616" s="16"/>
      <c r="L1616" s="16"/>
      <c r="M1616" s="16"/>
      <c r="N1616" s="16"/>
      <c r="O1616" s="16"/>
      <c r="P1616" s="16"/>
    </row>
    <row r="1617" spans="10:16" x14ac:dyDescent="0.2">
      <c r="J1617" s="16"/>
      <c r="K1617" s="16"/>
      <c r="L1617" s="16"/>
      <c r="M1617" s="16"/>
      <c r="N1617" s="16"/>
      <c r="O1617" s="16"/>
      <c r="P1617" s="16"/>
    </row>
    <row r="1618" spans="10:16" x14ac:dyDescent="0.2">
      <c r="J1618" s="16"/>
      <c r="K1618" s="16"/>
      <c r="L1618" s="16"/>
      <c r="M1618" s="16"/>
      <c r="N1618" s="16"/>
      <c r="O1618" s="16"/>
      <c r="P1618" s="16"/>
    </row>
    <row r="1619" spans="10:16" x14ac:dyDescent="0.2">
      <c r="J1619" s="16"/>
      <c r="K1619" s="16"/>
      <c r="L1619" s="16"/>
      <c r="M1619" s="16"/>
      <c r="N1619" s="16"/>
      <c r="O1619" s="16"/>
      <c r="P1619" s="16"/>
    </row>
    <row r="1620" spans="10:16" x14ac:dyDescent="0.2">
      <c r="J1620" s="16"/>
      <c r="K1620" s="16"/>
      <c r="L1620" s="16"/>
      <c r="M1620" s="16"/>
      <c r="N1620" s="16"/>
      <c r="O1620" s="16"/>
      <c r="P1620" s="16"/>
    </row>
    <row r="1621" spans="10:16" x14ac:dyDescent="0.2">
      <c r="J1621" s="16"/>
      <c r="K1621" s="16"/>
      <c r="L1621" s="16"/>
      <c r="M1621" s="16"/>
      <c r="N1621" s="16"/>
      <c r="O1621" s="16"/>
      <c r="P1621" s="16"/>
    </row>
    <row r="1622" spans="10:16" x14ac:dyDescent="0.2">
      <c r="J1622" s="16"/>
      <c r="K1622" s="16"/>
      <c r="L1622" s="16"/>
      <c r="M1622" s="16"/>
      <c r="N1622" s="16"/>
      <c r="O1622" s="16"/>
      <c r="P1622" s="16"/>
    </row>
    <row r="1623" spans="10:16" x14ac:dyDescent="0.2">
      <c r="J1623" s="16"/>
      <c r="K1623" s="16"/>
      <c r="L1623" s="16"/>
      <c r="M1623" s="16"/>
      <c r="N1623" s="16"/>
      <c r="O1623" s="16"/>
      <c r="P1623" s="16"/>
    </row>
    <row r="1624" spans="10:16" x14ac:dyDescent="0.2">
      <c r="J1624" s="16"/>
      <c r="K1624" s="16"/>
      <c r="L1624" s="16"/>
      <c r="M1624" s="16"/>
      <c r="N1624" s="16"/>
      <c r="O1624" s="16"/>
      <c r="P1624" s="16"/>
    </row>
    <row r="1625" spans="10:16" x14ac:dyDescent="0.2">
      <c r="J1625" s="16"/>
      <c r="K1625" s="16"/>
      <c r="L1625" s="16"/>
      <c r="M1625" s="16"/>
      <c r="N1625" s="16"/>
      <c r="O1625" s="16"/>
      <c r="P1625" s="16"/>
    </row>
    <row r="1626" spans="10:16" x14ac:dyDescent="0.2">
      <c r="J1626" s="16"/>
      <c r="K1626" s="16"/>
      <c r="L1626" s="16"/>
      <c r="M1626" s="16"/>
      <c r="N1626" s="16"/>
      <c r="O1626" s="16"/>
      <c r="P1626" s="16"/>
    </row>
    <row r="1627" spans="10:16" x14ac:dyDescent="0.2">
      <c r="J1627" s="16"/>
      <c r="K1627" s="16"/>
      <c r="L1627" s="16"/>
      <c r="M1627" s="16"/>
      <c r="N1627" s="16"/>
      <c r="O1627" s="16"/>
      <c r="P1627" s="16"/>
    </row>
    <row r="1628" spans="10:16" x14ac:dyDescent="0.2">
      <c r="J1628" s="16"/>
      <c r="K1628" s="16"/>
      <c r="L1628" s="16"/>
      <c r="M1628" s="16"/>
      <c r="N1628" s="16"/>
      <c r="O1628" s="16"/>
      <c r="P1628" s="16"/>
    </row>
    <row r="1629" spans="10:16" x14ac:dyDescent="0.2">
      <c r="J1629" s="16"/>
      <c r="K1629" s="16"/>
      <c r="L1629" s="16"/>
      <c r="M1629" s="16"/>
      <c r="N1629" s="16"/>
      <c r="O1629" s="16"/>
      <c r="P1629" s="16"/>
    </row>
    <row r="1630" spans="10:16" x14ac:dyDescent="0.2">
      <c r="J1630" s="16"/>
      <c r="K1630" s="16"/>
      <c r="L1630" s="16"/>
      <c r="M1630" s="16"/>
      <c r="N1630" s="16"/>
      <c r="O1630" s="16"/>
      <c r="P1630" s="16"/>
    </row>
    <row r="1631" spans="10:16" x14ac:dyDescent="0.2">
      <c r="J1631" s="16"/>
      <c r="K1631" s="16"/>
      <c r="L1631" s="16"/>
      <c r="M1631" s="16"/>
      <c r="N1631" s="16"/>
      <c r="O1631" s="16"/>
      <c r="P1631" s="16"/>
    </row>
    <row r="1632" spans="10:16" x14ac:dyDescent="0.2">
      <c r="J1632" s="16"/>
      <c r="K1632" s="16"/>
      <c r="L1632" s="16"/>
      <c r="M1632" s="16"/>
      <c r="N1632" s="16"/>
      <c r="O1632" s="16"/>
      <c r="P1632" s="16"/>
    </row>
    <row r="1633" spans="10:16" x14ac:dyDescent="0.2">
      <c r="J1633" s="16"/>
      <c r="K1633" s="16"/>
      <c r="L1633" s="16"/>
      <c r="M1633" s="16"/>
      <c r="N1633" s="16"/>
      <c r="O1633" s="16"/>
      <c r="P1633" s="16"/>
    </row>
    <row r="1634" spans="10:16" x14ac:dyDescent="0.2">
      <c r="J1634" s="16"/>
      <c r="K1634" s="16"/>
      <c r="L1634" s="16"/>
      <c r="M1634" s="16"/>
      <c r="N1634" s="16"/>
      <c r="O1634" s="16"/>
      <c r="P1634" s="16"/>
    </row>
    <row r="1635" spans="10:16" x14ac:dyDescent="0.2">
      <c r="J1635" s="16"/>
      <c r="K1635" s="16"/>
      <c r="L1635" s="16"/>
      <c r="M1635" s="16"/>
      <c r="N1635" s="16"/>
      <c r="O1635" s="16"/>
      <c r="P1635" s="16"/>
    </row>
    <row r="1636" spans="10:16" x14ac:dyDescent="0.2">
      <c r="J1636" s="16"/>
      <c r="K1636" s="16"/>
      <c r="L1636" s="16"/>
      <c r="M1636" s="16"/>
      <c r="N1636" s="16"/>
      <c r="O1636" s="16"/>
      <c r="P1636" s="16"/>
    </row>
    <row r="1637" spans="10:16" x14ac:dyDescent="0.2">
      <c r="J1637" s="16"/>
      <c r="K1637" s="16"/>
      <c r="L1637" s="16"/>
      <c r="M1637" s="16"/>
      <c r="N1637" s="16"/>
      <c r="O1637" s="16"/>
      <c r="P1637" s="16"/>
    </row>
    <row r="1638" spans="10:16" x14ac:dyDescent="0.2">
      <c r="J1638" s="16"/>
      <c r="K1638" s="16"/>
      <c r="L1638" s="16"/>
      <c r="M1638" s="16"/>
      <c r="N1638" s="16"/>
      <c r="O1638" s="16"/>
      <c r="P1638" s="16"/>
    </row>
    <row r="1639" spans="10:16" x14ac:dyDescent="0.2">
      <c r="J1639" s="16"/>
      <c r="K1639" s="16"/>
      <c r="L1639" s="16"/>
      <c r="M1639" s="16"/>
      <c r="N1639" s="16"/>
      <c r="O1639" s="16"/>
      <c r="P1639" s="16"/>
    </row>
    <row r="1640" spans="10:16" x14ac:dyDescent="0.2">
      <c r="J1640" s="16"/>
      <c r="K1640" s="16"/>
      <c r="L1640" s="16"/>
      <c r="M1640" s="16"/>
      <c r="N1640" s="16"/>
      <c r="O1640" s="16"/>
      <c r="P1640" s="16"/>
    </row>
    <row r="1641" spans="10:16" x14ac:dyDescent="0.2">
      <c r="J1641" s="16"/>
      <c r="K1641" s="16"/>
      <c r="L1641" s="16"/>
      <c r="M1641" s="16"/>
      <c r="N1641" s="16"/>
      <c r="O1641" s="16"/>
      <c r="P1641" s="16"/>
    </row>
    <row r="1642" spans="10:16" x14ac:dyDescent="0.2">
      <c r="J1642" s="16"/>
      <c r="K1642" s="16"/>
      <c r="L1642" s="16"/>
      <c r="M1642" s="16"/>
      <c r="N1642" s="16"/>
      <c r="O1642" s="16"/>
      <c r="P1642" s="16"/>
    </row>
    <row r="1643" spans="10:16" x14ac:dyDescent="0.2">
      <c r="J1643" s="16"/>
      <c r="K1643" s="16"/>
      <c r="L1643" s="16"/>
      <c r="M1643" s="16"/>
      <c r="N1643" s="16"/>
      <c r="O1643" s="16"/>
      <c r="P1643" s="16"/>
    </row>
    <row r="1644" spans="10:16" x14ac:dyDescent="0.2">
      <c r="J1644" s="16"/>
      <c r="K1644" s="16"/>
      <c r="L1644" s="16"/>
      <c r="M1644" s="16"/>
      <c r="N1644" s="16"/>
      <c r="O1644" s="16"/>
      <c r="P1644" s="16"/>
    </row>
    <row r="1645" spans="10:16" x14ac:dyDescent="0.2">
      <c r="J1645" s="16"/>
      <c r="K1645" s="16"/>
      <c r="L1645" s="16"/>
      <c r="M1645" s="16"/>
      <c r="N1645" s="16"/>
      <c r="O1645" s="16"/>
      <c r="P1645" s="16"/>
    </row>
    <row r="1646" spans="10:16" x14ac:dyDescent="0.2">
      <c r="J1646" s="16"/>
      <c r="K1646" s="16"/>
      <c r="L1646" s="16"/>
      <c r="M1646" s="16"/>
      <c r="N1646" s="16"/>
      <c r="O1646" s="16"/>
      <c r="P1646" s="16"/>
    </row>
    <row r="1647" spans="10:16" x14ac:dyDescent="0.2">
      <c r="J1647" s="16"/>
      <c r="K1647" s="16"/>
      <c r="L1647" s="16"/>
      <c r="M1647" s="16"/>
      <c r="N1647" s="16"/>
      <c r="O1647" s="16"/>
      <c r="P1647" s="16"/>
    </row>
    <row r="1648" spans="10:16" x14ac:dyDescent="0.2">
      <c r="J1648" s="16"/>
      <c r="K1648" s="16"/>
      <c r="L1648" s="16"/>
      <c r="M1648" s="16"/>
      <c r="N1648" s="16"/>
      <c r="O1648" s="16"/>
      <c r="P1648" s="16"/>
    </row>
    <row r="1649" spans="10:16" x14ac:dyDescent="0.2">
      <c r="J1649" s="16"/>
      <c r="K1649" s="16"/>
      <c r="L1649" s="16"/>
      <c r="M1649" s="16"/>
      <c r="N1649" s="16"/>
      <c r="O1649" s="16"/>
      <c r="P1649" s="16"/>
    </row>
    <row r="1650" spans="10:16" x14ac:dyDescent="0.2">
      <c r="J1650" s="16"/>
      <c r="K1650" s="16"/>
      <c r="L1650" s="16"/>
      <c r="M1650" s="16"/>
      <c r="N1650" s="16"/>
      <c r="O1650" s="16"/>
      <c r="P1650" s="16"/>
    </row>
    <row r="1651" spans="10:16" x14ac:dyDescent="0.2">
      <c r="J1651" s="16"/>
      <c r="K1651" s="16"/>
      <c r="L1651" s="16"/>
      <c r="M1651" s="16"/>
      <c r="N1651" s="16"/>
      <c r="O1651" s="16"/>
      <c r="P1651" s="16"/>
    </row>
    <row r="1652" spans="10:16" x14ac:dyDescent="0.2">
      <c r="J1652" s="16"/>
      <c r="K1652" s="16"/>
      <c r="L1652" s="16"/>
      <c r="M1652" s="16"/>
      <c r="N1652" s="16"/>
      <c r="O1652" s="16"/>
      <c r="P1652" s="16"/>
    </row>
    <row r="1653" spans="10:16" x14ac:dyDescent="0.2">
      <c r="J1653" s="16"/>
      <c r="K1653" s="16"/>
      <c r="L1653" s="16"/>
      <c r="M1653" s="16"/>
      <c r="N1653" s="16"/>
      <c r="O1653" s="16"/>
      <c r="P1653" s="16"/>
    </row>
    <row r="1654" spans="10:16" x14ac:dyDescent="0.2">
      <c r="J1654" s="16"/>
      <c r="K1654" s="16"/>
      <c r="L1654" s="16"/>
      <c r="M1654" s="16"/>
      <c r="N1654" s="16"/>
      <c r="O1654" s="16"/>
      <c r="P1654" s="16"/>
    </row>
    <row r="1655" spans="10:16" x14ac:dyDescent="0.2">
      <c r="J1655" s="16"/>
      <c r="K1655" s="16"/>
      <c r="L1655" s="16"/>
      <c r="M1655" s="16"/>
      <c r="N1655" s="16"/>
      <c r="O1655" s="16"/>
      <c r="P1655" s="16"/>
    </row>
    <row r="1656" spans="10:16" x14ac:dyDescent="0.2">
      <c r="J1656" s="16"/>
      <c r="K1656" s="16"/>
      <c r="L1656" s="16"/>
      <c r="M1656" s="16"/>
      <c r="N1656" s="16"/>
      <c r="O1656" s="16"/>
      <c r="P1656" s="16"/>
    </row>
    <row r="1657" spans="10:16" x14ac:dyDescent="0.2">
      <c r="J1657" s="16"/>
      <c r="K1657" s="16"/>
      <c r="L1657" s="16"/>
      <c r="M1657" s="16"/>
      <c r="N1657" s="16"/>
      <c r="O1657" s="16"/>
      <c r="P1657" s="16"/>
    </row>
    <row r="1658" spans="10:16" x14ac:dyDescent="0.2">
      <c r="J1658" s="16"/>
      <c r="K1658" s="16"/>
      <c r="L1658" s="16"/>
      <c r="M1658" s="16"/>
      <c r="N1658" s="16"/>
      <c r="O1658" s="16"/>
      <c r="P1658" s="16"/>
    </row>
    <row r="1659" spans="10:16" x14ac:dyDescent="0.2">
      <c r="J1659" s="16"/>
      <c r="K1659" s="16"/>
      <c r="L1659" s="16"/>
      <c r="M1659" s="16"/>
      <c r="N1659" s="16"/>
      <c r="O1659" s="16"/>
      <c r="P1659" s="16"/>
    </row>
    <row r="1660" spans="10:16" x14ac:dyDescent="0.2">
      <c r="P1660" s="16"/>
    </row>
    <row r="1661" spans="10:16" x14ac:dyDescent="0.2">
      <c r="P1661" s="16"/>
    </row>
    <row r="1662" spans="10:16" x14ac:dyDescent="0.2">
      <c r="P1662" s="16"/>
    </row>
    <row r="1663" spans="10:16" x14ac:dyDescent="0.2">
      <c r="P1663" s="16"/>
    </row>
    <row r="1664" spans="10:16" x14ac:dyDescent="0.2">
      <c r="P1664" s="16"/>
    </row>
    <row r="1665" spans="16:16" x14ac:dyDescent="0.2">
      <c r="P1665" s="16"/>
    </row>
    <row r="1666" spans="16:16" x14ac:dyDescent="0.2">
      <c r="P1666" s="16"/>
    </row>
    <row r="1667" spans="16:16" x14ac:dyDescent="0.2">
      <c r="P1667" s="16"/>
    </row>
    <row r="1668" spans="16:16" x14ac:dyDescent="0.2">
      <c r="P1668" s="16"/>
    </row>
    <row r="1669" spans="16:16" x14ac:dyDescent="0.2">
      <c r="P1669" s="16"/>
    </row>
    <row r="1670" spans="16:16" x14ac:dyDescent="0.2">
      <c r="P1670" s="16"/>
    </row>
    <row r="1671" spans="16:16" x14ac:dyDescent="0.2">
      <c r="P1671" s="16"/>
    </row>
    <row r="1672" spans="16:16" x14ac:dyDescent="0.2">
      <c r="P1672" s="16"/>
    </row>
    <row r="1673" spans="16:16" x14ac:dyDescent="0.2">
      <c r="P1673" s="16"/>
    </row>
    <row r="1674" spans="16:16" x14ac:dyDescent="0.2">
      <c r="P1674" s="16"/>
    </row>
    <row r="1675" spans="16:16" x14ac:dyDescent="0.2">
      <c r="P1675" s="16"/>
    </row>
    <row r="1676" spans="16:16" x14ac:dyDescent="0.2">
      <c r="P1676" s="16"/>
    </row>
    <row r="1677" spans="16:16" x14ac:dyDescent="0.2">
      <c r="P1677" s="16"/>
    </row>
    <row r="1678" spans="16:16" x14ac:dyDescent="0.2">
      <c r="P1678" s="16"/>
    </row>
    <row r="1679" spans="16:16" x14ac:dyDescent="0.2">
      <c r="P1679" s="16"/>
    </row>
    <row r="1680" spans="16:16" x14ac:dyDescent="0.2">
      <c r="P1680" s="16"/>
    </row>
    <row r="1681" spans="16:16" x14ac:dyDescent="0.2">
      <c r="P1681" s="16"/>
    </row>
    <row r="1682" spans="16:16" x14ac:dyDescent="0.2">
      <c r="P1682" s="16"/>
    </row>
    <row r="1683" spans="16:16" x14ac:dyDescent="0.2">
      <c r="P1683" s="16"/>
    </row>
    <row r="1684" spans="16:16" x14ac:dyDescent="0.2">
      <c r="P1684" s="16"/>
    </row>
    <row r="1685" spans="16:16" x14ac:dyDescent="0.2">
      <c r="P1685" s="16"/>
    </row>
    <row r="1686" spans="16:16" x14ac:dyDescent="0.2">
      <c r="P1686" s="16"/>
    </row>
    <row r="1687" spans="16:16" x14ac:dyDescent="0.2">
      <c r="P1687" s="16"/>
    </row>
    <row r="1688" spans="16:16" x14ac:dyDescent="0.2">
      <c r="P1688" s="16"/>
    </row>
    <row r="1689" spans="16:16" x14ac:dyDescent="0.2">
      <c r="P1689" s="16"/>
    </row>
    <row r="1690" spans="16:16" x14ac:dyDescent="0.2">
      <c r="P1690" s="16"/>
    </row>
    <row r="1691" spans="16:16" x14ac:dyDescent="0.2">
      <c r="P1691" s="16"/>
    </row>
    <row r="1692" spans="16:16" x14ac:dyDescent="0.2">
      <c r="P1692" s="16"/>
    </row>
    <row r="1693" spans="16:16" x14ac:dyDescent="0.2">
      <c r="P1693" s="16"/>
    </row>
    <row r="1694" spans="16:16" x14ac:dyDescent="0.2">
      <c r="P1694" s="16"/>
    </row>
    <row r="1695" spans="16:16" x14ac:dyDescent="0.2">
      <c r="P1695" s="16"/>
    </row>
    <row r="1696" spans="16:16" x14ac:dyDescent="0.2">
      <c r="P1696" s="16"/>
    </row>
    <row r="1697" spans="16:16" x14ac:dyDescent="0.2">
      <c r="P1697" s="16"/>
    </row>
    <row r="1698" spans="16:16" x14ac:dyDescent="0.2">
      <c r="P1698" s="16"/>
    </row>
    <row r="1699" spans="16:16" x14ac:dyDescent="0.2">
      <c r="P1699" s="16"/>
    </row>
    <row r="1700" spans="16:16" x14ac:dyDescent="0.2">
      <c r="P1700" s="16"/>
    </row>
    <row r="1701" spans="16:16" x14ac:dyDescent="0.2">
      <c r="P1701" s="16"/>
    </row>
    <row r="1702" spans="16:16" x14ac:dyDescent="0.2">
      <c r="P1702" s="16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rowBreaks count="3" manualBreakCount="3">
    <brk id="38" max="14" man="1"/>
    <brk id="74" max="14" man="1"/>
    <brk id="110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</sheetPr>
  <dimension ref="A1:AA504"/>
  <sheetViews>
    <sheetView zoomScaleNormal="100" workbookViewId="0">
      <selection activeCell="A18" sqref="A18"/>
    </sheetView>
  </sheetViews>
  <sheetFormatPr defaultColWidth="9.140625" defaultRowHeight="12.75" x14ac:dyDescent="0.2"/>
  <cols>
    <col min="1" max="1" width="10.5703125" style="1" customWidth="1"/>
    <col min="2" max="13" width="8.5703125" style="11" customWidth="1"/>
    <col min="14" max="14" width="7" style="11" customWidth="1"/>
    <col min="15" max="15" width="7.42578125" style="11" customWidth="1"/>
    <col min="16" max="16" width="9.140625" style="23"/>
    <col min="17" max="18" width="10" style="23" customWidth="1"/>
    <col min="19" max="19" width="9.140625" style="23"/>
    <col min="20" max="21" width="9.140625" style="22"/>
    <col min="22" max="22" width="10.140625" style="22" bestFit="1" customWidth="1"/>
    <col min="23" max="23" width="10.140625" style="22" customWidth="1"/>
    <col min="24" max="16384" width="9.140625" style="1"/>
  </cols>
  <sheetData>
    <row r="1" spans="1:27" ht="15.95" customHeight="1" thickBot="1" x14ac:dyDescent="0.25">
      <c r="A1" s="344" t="s">
        <v>163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7" ht="15.95" customHeight="1" thickTop="1" thickBot="1" x14ac:dyDescent="0.25">
      <c r="A2" s="5" t="s">
        <v>69</v>
      </c>
      <c r="B2" s="187" t="s">
        <v>11</v>
      </c>
      <c r="C2" s="187" t="s">
        <v>4</v>
      </c>
      <c r="D2" s="188" t="s">
        <v>5</v>
      </c>
      <c r="E2" s="258" t="s">
        <v>41</v>
      </c>
      <c r="F2" s="258" t="s">
        <v>53</v>
      </c>
      <c r="G2" s="258" t="s">
        <v>54</v>
      </c>
      <c r="H2" s="258" t="s">
        <v>76</v>
      </c>
      <c r="I2" s="258" t="s">
        <v>84</v>
      </c>
      <c r="J2" s="187" t="s">
        <v>87</v>
      </c>
      <c r="K2" s="480" t="s">
        <v>89</v>
      </c>
      <c r="L2" s="511" t="s">
        <v>108</v>
      </c>
      <c r="M2" s="511" t="s">
        <v>118</v>
      </c>
      <c r="N2" s="511" t="s">
        <v>121</v>
      </c>
      <c r="O2" s="511" t="s">
        <v>132</v>
      </c>
      <c r="P2" s="511" t="s">
        <v>134</v>
      </c>
      <c r="Q2" s="511" t="s">
        <v>137</v>
      </c>
      <c r="R2" s="511" t="s">
        <v>139</v>
      </c>
      <c r="S2" s="511" t="s">
        <v>142</v>
      </c>
      <c r="T2" s="511" t="s">
        <v>145</v>
      </c>
      <c r="U2" s="511" t="s">
        <v>148</v>
      </c>
      <c r="V2" s="511" t="s">
        <v>151</v>
      </c>
      <c r="W2" s="511" t="s">
        <v>153</v>
      </c>
      <c r="X2" s="481" t="s">
        <v>156</v>
      </c>
    </row>
    <row r="3" spans="1:27" ht="13.5" thickTop="1" x14ac:dyDescent="0.2">
      <c r="A3" s="192" t="s">
        <v>147</v>
      </c>
      <c r="B3" s="189">
        <v>6954</v>
      </c>
      <c r="C3" s="190">
        <v>1017</v>
      </c>
      <c r="D3" s="190">
        <v>1022</v>
      </c>
      <c r="E3" s="259">
        <v>185</v>
      </c>
      <c r="F3" s="259">
        <v>27</v>
      </c>
      <c r="G3" s="259">
        <v>36</v>
      </c>
      <c r="H3" s="259">
        <v>38</v>
      </c>
      <c r="I3" s="259">
        <v>34</v>
      </c>
      <c r="J3" s="259">
        <v>66</v>
      </c>
      <c r="K3" s="259">
        <v>42</v>
      </c>
      <c r="L3" s="259">
        <v>37</v>
      </c>
      <c r="M3" s="259">
        <v>68</v>
      </c>
      <c r="N3" s="259">
        <v>42</v>
      </c>
      <c r="O3" s="259">
        <f>+List1!AB6</f>
        <v>52</v>
      </c>
      <c r="P3" s="259">
        <v>45</v>
      </c>
      <c r="Q3" s="259">
        <v>53</v>
      </c>
      <c r="R3" s="259">
        <v>35</v>
      </c>
      <c r="S3" s="259">
        <f>'voš_věk x dfst '!K150*'voš_druh studia '!$H$73</f>
        <v>46</v>
      </c>
      <c r="T3" s="259">
        <v>54</v>
      </c>
      <c r="U3" s="259">
        <v>178</v>
      </c>
      <c r="V3" s="259">
        <v>21</v>
      </c>
      <c r="W3" s="259">
        <v>28</v>
      </c>
      <c r="X3" s="332">
        <v>27</v>
      </c>
    </row>
    <row r="4" spans="1:27" x14ac:dyDescent="0.2">
      <c r="A4" s="193">
        <v>19</v>
      </c>
      <c r="B4" s="191">
        <v>4219</v>
      </c>
      <c r="C4" s="167">
        <v>4058</v>
      </c>
      <c r="D4" s="167">
        <v>7584</v>
      </c>
      <c r="E4" s="255">
        <v>7287</v>
      </c>
      <c r="F4" s="255">
        <v>6606</v>
      </c>
      <c r="G4" s="255">
        <v>6189</v>
      </c>
      <c r="H4" s="255">
        <v>6043</v>
      </c>
      <c r="I4" s="255">
        <v>5545</v>
      </c>
      <c r="J4" s="255">
        <v>5408</v>
      </c>
      <c r="K4" s="255">
        <v>5125</v>
      </c>
      <c r="L4" s="255">
        <v>5304</v>
      </c>
      <c r="M4" s="255">
        <v>5313</v>
      </c>
      <c r="N4" s="255">
        <v>4623</v>
      </c>
      <c r="O4" s="255">
        <f>+List1!AB7</f>
        <v>4491</v>
      </c>
      <c r="P4" s="255">
        <v>4160</v>
      </c>
      <c r="Q4" s="255">
        <v>3777</v>
      </c>
      <c r="R4" s="255">
        <v>3424</v>
      </c>
      <c r="S4" s="255">
        <f>'voš_věk x dfst '!K151*'voš_druh studia '!$H$73</f>
        <v>2969</v>
      </c>
      <c r="T4" s="255">
        <v>2516</v>
      </c>
      <c r="U4" s="255">
        <v>2357</v>
      </c>
      <c r="V4" s="255">
        <v>2491</v>
      </c>
      <c r="W4" s="255">
        <v>2613</v>
      </c>
      <c r="X4" s="333">
        <v>3153</v>
      </c>
    </row>
    <row r="5" spans="1:27" x14ac:dyDescent="0.2">
      <c r="A5" s="193">
        <v>20</v>
      </c>
      <c r="B5" s="191">
        <v>1676</v>
      </c>
      <c r="C5" s="167">
        <v>2015</v>
      </c>
      <c r="D5" s="167">
        <v>2055</v>
      </c>
      <c r="E5" s="255">
        <v>3477</v>
      </c>
      <c r="F5" s="255">
        <v>3787</v>
      </c>
      <c r="G5" s="255">
        <v>3229</v>
      </c>
      <c r="H5" s="255">
        <v>3111</v>
      </c>
      <c r="I5" s="255">
        <v>2926</v>
      </c>
      <c r="J5" s="255">
        <v>2852</v>
      </c>
      <c r="K5" s="255">
        <v>2641</v>
      </c>
      <c r="L5" s="255">
        <v>2976</v>
      </c>
      <c r="M5" s="255">
        <v>3068</v>
      </c>
      <c r="N5" s="255">
        <v>3162</v>
      </c>
      <c r="O5" s="255">
        <f>+List1!AB8</f>
        <v>2997</v>
      </c>
      <c r="P5" s="255">
        <v>3137</v>
      </c>
      <c r="Q5" s="255">
        <v>2689</v>
      </c>
      <c r="R5" s="255">
        <v>2224</v>
      </c>
      <c r="S5" s="255">
        <f>'voš_věk x dfst '!K152*'voš_druh studia '!$H$73</f>
        <v>1928.9999999999998</v>
      </c>
      <c r="T5" s="255">
        <v>1704</v>
      </c>
      <c r="U5" s="255">
        <v>1513</v>
      </c>
      <c r="V5" s="255">
        <v>1582</v>
      </c>
      <c r="W5" s="255">
        <v>1622</v>
      </c>
      <c r="X5" s="333">
        <v>1914</v>
      </c>
    </row>
    <row r="6" spans="1:27" x14ac:dyDescent="0.2">
      <c r="A6" s="193">
        <v>21</v>
      </c>
      <c r="B6" s="191">
        <v>607</v>
      </c>
      <c r="C6" s="167">
        <v>1015</v>
      </c>
      <c r="D6" s="167">
        <v>720</v>
      </c>
      <c r="E6" s="255">
        <v>901</v>
      </c>
      <c r="F6" s="255">
        <v>1646</v>
      </c>
      <c r="G6" s="255">
        <v>1145</v>
      </c>
      <c r="H6" s="255">
        <v>1119</v>
      </c>
      <c r="I6" s="255">
        <v>1152</v>
      </c>
      <c r="J6" s="255">
        <v>1068</v>
      </c>
      <c r="K6" s="255">
        <v>959</v>
      </c>
      <c r="L6" s="255">
        <v>1089</v>
      </c>
      <c r="M6" s="255">
        <v>1196</v>
      </c>
      <c r="N6" s="255">
        <v>1197</v>
      </c>
      <c r="O6" s="255">
        <f>+List1!AB9</f>
        <v>1312</v>
      </c>
      <c r="P6" s="255">
        <v>1235</v>
      </c>
      <c r="Q6" s="255">
        <v>1219</v>
      </c>
      <c r="R6" s="255">
        <v>1068</v>
      </c>
      <c r="S6" s="255">
        <f>'voš_věk x dfst '!K153*'voš_druh studia '!$H$73</f>
        <v>878</v>
      </c>
      <c r="T6" s="255">
        <v>757</v>
      </c>
      <c r="U6" s="255">
        <v>662</v>
      </c>
      <c r="V6" s="255">
        <v>669</v>
      </c>
      <c r="W6" s="255">
        <v>659</v>
      </c>
      <c r="X6" s="333">
        <v>833</v>
      </c>
    </row>
    <row r="7" spans="1:27" x14ac:dyDescent="0.2">
      <c r="A7" s="193">
        <v>22</v>
      </c>
      <c r="B7" s="191">
        <v>276</v>
      </c>
      <c r="C7" s="167">
        <v>560</v>
      </c>
      <c r="D7" s="167">
        <v>371</v>
      </c>
      <c r="E7" s="255">
        <v>378</v>
      </c>
      <c r="F7" s="255">
        <v>582</v>
      </c>
      <c r="G7" s="255">
        <v>562</v>
      </c>
      <c r="H7" s="255">
        <v>514</v>
      </c>
      <c r="I7" s="255">
        <v>450</v>
      </c>
      <c r="J7" s="255">
        <v>475</v>
      </c>
      <c r="K7" s="255">
        <v>447</v>
      </c>
      <c r="L7" s="255">
        <v>463</v>
      </c>
      <c r="M7" s="255">
        <v>533</v>
      </c>
      <c r="N7" s="255">
        <v>588</v>
      </c>
      <c r="O7" s="255">
        <f>+List1!AB10</f>
        <v>641</v>
      </c>
      <c r="P7" s="255">
        <v>672</v>
      </c>
      <c r="Q7" s="255">
        <v>606</v>
      </c>
      <c r="R7" s="255">
        <v>599</v>
      </c>
      <c r="S7" s="255">
        <f>'voš_věk x dfst '!K154*'voš_druh studia '!$H$73</f>
        <v>559</v>
      </c>
      <c r="T7" s="255">
        <v>439</v>
      </c>
      <c r="U7" s="255">
        <v>382</v>
      </c>
      <c r="V7" s="255">
        <v>388</v>
      </c>
      <c r="W7" s="255">
        <v>365</v>
      </c>
      <c r="X7" s="333">
        <v>400</v>
      </c>
    </row>
    <row r="8" spans="1:27" x14ac:dyDescent="0.2">
      <c r="A8" s="193">
        <v>23</v>
      </c>
      <c r="B8" s="191">
        <v>113</v>
      </c>
      <c r="C8" s="167">
        <v>363</v>
      </c>
      <c r="D8" s="167">
        <v>181</v>
      </c>
      <c r="E8" s="255">
        <v>244</v>
      </c>
      <c r="F8" s="255">
        <v>287</v>
      </c>
      <c r="G8" s="255">
        <v>233</v>
      </c>
      <c r="H8" s="255">
        <v>236</v>
      </c>
      <c r="I8" s="255">
        <v>233</v>
      </c>
      <c r="J8" s="255">
        <v>263</v>
      </c>
      <c r="K8" s="255">
        <v>224</v>
      </c>
      <c r="L8" s="255">
        <v>267</v>
      </c>
      <c r="M8" s="255">
        <v>293</v>
      </c>
      <c r="N8" s="255">
        <v>312</v>
      </c>
      <c r="O8" s="255">
        <f>+List1!AB11</f>
        <v>358</v>
      </c>
      <c r="P8" s="255">
        <v>410</v>
      </c>
      <c r="Q8" s="255">
        <v>427</v>
      </c>
      <c r="R8" s="255">
        <v>416</v>
      </c>
      <c r="S8" s="255">
        <f>'voš_věk x dfst '!K155*'voš_druh studia '!$H$73</f>
        <v>397</v>
      </c>
      <c r="T8" s="255">
        <v>313</v>
      </c>
      <c r="U8" s="255">
        <v>295</v>
      </c>
      <c r="V8" s="255">
        <v>256</v>
      </c>
      <c r="W8" s="255">
        <v>260</v>
      </c>
      <c r="X8" s="333">
        <v>272</v>
      </c>
    </row>
    <row r="9" spans="1:27" x14ac:dyDescent="0.2">
      <c r="A9" s="193">
        <v>24</v>
      </c>
      <c r="B9" s="191">
        <v>64</v>
      </c>
      <c r="C9" s="167">
        <v>230</v>
      </c>
      <c r="D9" s="167">
        <v>95</v>
      </c>
      <c r="E9" s="255">
        <v>110</v>
      </c>
      <c r="F9" s="255">
        <v>168</v>
      </c>
      <c r="G9" s="255">
        <v>113</v>
      </c>
      <c r="H9" s="255">
        <v>103</v>
      </c>
      <c r="I9" s="255">
        <v>127</v>
      </c>
      <c r="J9" s="255">
        <v>127</v>
      </c>
      <c r="K9" s="255">
        <v>133</v>
      </c>
      <c r="L9" s="255">
        <v>156</v>
      </c>
      <c r="M9" s="255">
        <v>145</v>
      </c>
      <c r="N9" s="255">
        <v>165</v>
      </c>
      <c r="O9" s="255">
        <f>+List1!AB12</f>
        <v>204</v>
      </c>
      <c r="P9" s="255">
        <v>230</v>
      </c>
      <c r="Q9" s="255">
        <v>257</v>
      </c>
      <c r="R9" s="255">
        <v>237</v>
      </c>
      <c r="S9" s="255">
        <f>'voš_věk x dfst '!K156*'voš_druh studia '!$H$73</f>
        <v>229</v>
      </c>
      <c r="T9" s="255">
        <v>205</v>
      </c>
      <c r="U9" s="255">
        <v>186</v>
      </c>
      <c r="V9" s="255">
        <v>194</v>
      </c>
      <c r="W9" s="255">
        <v>209</v>
      </c>
      <c r="X9" s="333">
        <v>181</v>
      </c>
    </row>
    <row r="10" spans="1:27" x14ac:dyDescent="0.2">
      <c r="A10" s="193">
        <v>25</v>
      </c>
      <c r="B10" s="191">
        <v>33</v>
      </c>
      <c r="C10" s="167">
        <v>193</v>
      </c>
      <c r="D10" s="167">
        <v>55</v>
      </c>
      <c r="E10" s="255">
        <v>54</v>
      </c>
      <c r="F10" s="255">
        <v>70</v>
      </c>
      <c r="G10" s="255">
        <v>67</v>
      </c>
      <c r="H10" s="255">
        <v>61</v>
      </c>
      <c r="I10" s="255">
        <v>48</v>
      </c>
      <c r="J10" s="255">
        <v>56</v>
      </c>
      <c r="K10" s="255">
        <v>66</v>
      </c>
      <c r="L10" s="255">
        <v>59</v>
      </c>
      <c r="M10" s="255">
        <v>87</v>
      </c>
      <c r="N10" s="255">
        <v>78</v>
      </c>
      <c r="O10" s="255">
        <f>+List1!AB13</f>
        <v>111</v>
      </c>
      <c r="P10" s="255">
        <v>118</v>
      </c>
      <c r="Q10" s="255">
        <v>120</v>
      </c>
      <c r="R10" s="255">
        <v>151</v>
      </c>
      <c r="S10" s="255">
        <f>'voš_věk x dfst '!K157*'voš_druh studia '!$H$73</f>
        <v>136</v>
      </c>
      <c r="T10" s="255">
        <v>105</v>
      </c>
      <c r="U10" s="255">
        <v>127</v>
      </c>
      <c r="V10" s="255">
        <v>123</v>
      </c>
      <c r="W10" s="255">
        <v>78</v>
      </c>
      <c r="X10" s="333">
        <v>97</v>
      </c>
      <c r="Y10" s="336"/>
      <c r="AA10" s="349"/>
    </row>
    <row r="11" spans="1:27" x14ac:dyDescent="0.2">
      <c r="A11" s="193">
        <v>26</v>
      </c>
      <c r="B11" s="191">
        <v>18</v>
      </c>
      <c r="C11" s="167">
        <v>135</v>
      </c>
      <c r="D11" s="167">
        <v>31</v>
      </c>
      <c r="E11" s="255">
        <v>26</v>
      </c>
      <c r="F11" s="255">
        <v>31</v>
      </c>
      <c r="G11" s="255">
        <v>19</v>
      </c>
      <c r="H11" s="255">
        <v>32</v>
      </c>
      <c r="I11" s="255">
        <v>34</v>
      </c>
      <c r="J11" s="255">
        <v>38</v>
      </c>
      <c r="K11" s="255">
        <v>19</v>
      </c>
      <c r="L11" s="255">
        <v>31</v>
      </c>
      <c r="M11" s="255">
        <v>38</v>
      </c>
      <c r="N11" s="255">
        <v>40</v>
      </c>
      <c r="O11" s="255">
        <f>+List1!AB14</f>
        <v>28</v>
      </c>
      <c r="P11" s="255">
        <v>34</v>
      </c>
      <c r="Q11" s="255">
        <v>36</v>
      </c>
      <c r="R11" s="255">
        <v>28</v>
      </c>
      <c r="S11" s="255">
        <f>'voš_věk x dfst '!K158*'voš_druh studia '!$H$73</f>
        <v>24</v>
      </c>
      <c r="T11" s="255">
        <v>24</v>
      </c>
      <c r="U11" s="255">
        <v>21</v>
      </c>
      <c r="V11" s="255">
        <v>27</v>
      </c>
      <c r="W11" s="255">
        <v>26</v>
      </c>
      <c r="X11" s="333">
        <v>24</v>
      </c>
      <c r="Y11" s="405"/>
      <c r="Z11" s="83"/>
      <c r="AA11" s="268"/>
    </row>
    <row r="12" spans="1:27" x14ac:dyDescent="0.2">
      <c r="A12" s="193">
        <v>27</v>
      </c>
      <c r="B12" s="191">
        <v>10</v>
      </c>
      <c r="C12" s="167">
        <v>102</v>
      </c>
      <c r="D12" s="167">
        <v>18</v>
      </c>
      <c r="E12" s="255">
        <v>16</v>
      </c>
      <c r="F12" s="255">
        <v>21</v>
      </c>
      <c r="G12" s="255">
        <v>30</v>
      </c>
      <c r="H12" s="255">
        <v>23</v>
      </c>
      <c r="I12" s="255">
        <v>32</v>
      </c>
      <c r="J12" s="255">
        <v>22</v>
      </c>
      <c r="K12" s="255">
        <v>23</v>
      </c>
      <c r="L12" s="255">
        <v>24</v>
      </c>
      <c r="M12" s="255">
        <v>29</v>
      </c>
      <c r="N12" s="255">
        <v>17</v>
      </c>
      <c r="O12" s="255">
        <f>+List1!AB15</f>
        <v>10</v>
      </c>
      <c r="P12" s="255">
        <v>22</v>
      </c>
      <c r="Q12" s="255">
        <v>26</v>
      </c>
      <c r="R12" s="255">
        <v>17</v>
      </c>
      <c r="S12" s="255">
        <f>'voš_věk x dfst '!K159*'voš_druh studia '!$H$73</f>
        <v>22</v>
      </c>
      <c r="T12" s="255">
        <v>25</v>
      </c>
      <c r="U12" s="255">
        <v>26</v>
      </c>
      <c r="V12" s="255">
        <v>21</v>
      </c>
      <c r="W12" s="255">
        <v>13</v>
      </c>
      <c r="X12" s="333">
        <v>15</v>
      </c>
      <c r="Y12" s="323"/>
      <c r="Z12" s="83"/>
      <c r="AA12" s="268"/>
    </row>
    <row r="13" spans="1:27" x14ac:dyDescent="0.2">
      <c r="A13" s="193">
        <v>28</v>
      </c>
      <c r="B13" s="191">
        <v>10</v>
      </c>
      <c r="C13" s="167">
        <v>92</v>
      </c>
      <c r="D13" s="167">
        <v>13</v>
      </c>
      <c r="E13" s="255">
        <v>17</v>
      </c>
      <c r="F13" s="255">
        <v>12</v>
      </c>
      <c r="G13" s="255">
        <v>17</v>
      </c>
      <c r="H13" s="255">
        <v>10</v>
      </c>
      <c r="I13" s="255">
        <v>28</v>
      </c>
      <c r="J13" s="255">
        <v>17</v>
      </c>
      <c r="K13" s="255">
        <v>25</v>
      </c>
      <c r="L13" s="255">
        <v>31</v>
      </c>
      <c r="M13" s="255">
        <v>21</v>
      </c>
      <c r="N13" s="255">
        <v>18</v>
      </c>
      <c r="O13" s="255">
        <f>+List1!AB16</f>
        <v>10</v>
      </c>
      <c r="P13" s="255">
        <v>20</v>
      </c>
      <c r="Q13" s="255">
        <v>17</v>
      </c>
      <c r="R13" s="255">
        <v>15</v>
      </c>
      <c r="S13" s="255">
        <f>'voš_věk x dfst '!K160*'voš_druh studia '!$H$73</f>
        <v>26</v>
      </c>
      <c r="T13" s="255">
        <v>22</v>
      </c>
      <c r="U13" s="255">
        <v>18</v>
      </c>
      <c r="V13" s="255">
        <v>19</v>
      </c>
      <c r="W13" s="255">
        <v>17</v>
      </c>
      <c r="X13" s="333">
        <v>15</v>
      </c>
      <c r="Y13" s="323"/>
      <c r="Z13" s="83"/>
      <c r="AA13" s="268"/>
    </row>
    <row r="14" spans="1:27" x14ac:dyDescent="0.2">
      <c r="A14" s="193">
        <v>29</v>
      </c>
      <c r="B14" s="191">
        <v>3</v>
      </c>
      <c r="C14" s="167">
        <v>76</v>
      </c>
      <c r="D14" s="167">
        <v>8</v>
      </c>
      <c r="E14" s="255">
        <v>12</v>
      </c>
      <c r="F14" s="255">
        <v>14</v>
      </c>
      <c r="G14" s="255">
        <v>11</v>
      </c>
      <c r="H14" s="255">
        <v>21</v>
      </c>
      <c r="I14" s="255">
        <v>14</v>
      </c>
      <c r="J14" s="255">
        <v>15</v>
      </c>
      <c r="K14" s="255">
        <v>11</v>
      </c>
      <c r="L14" s="255">
        <v>20</v>
      </c>
      <c r="M14" s="255">
        <v>10</v>
      </c>
      <c r="N14" s="255">
        <v>17</v>
      </c>
      <c r="O14" s="255">
        <f>+List1!AB17</f>
        <v>21</v>
      </c>
      <c r="P14" s="255">
        <v>20</v>
      </c>
      <c r="Q14" s="255">
        <v>17</v>
      </c>
      <c r="R14" s="255">
        <v>13</v>
      </c>
      <c r="S14" s="255">
        <f>'voš_věk x dfst '!K161*'voš_druh studia '!$H$73</f>
        <v>16</v>
      </c>
      <c r="T14" s="255">
        <v>18</v>
      </c>
      <c r="U14" s="255">
        <v>14</v>
      </c>
      <c r="V14" s="255">
        <v>16</v>
      </c>
      <c r="W14" s="255">
        <v>22</v>
      </c>
      <c r="X14" s="333">
        <v>12</v>
      </c>
      <c r="Y14" s="323"/>
      <c r="Z14" s="83"/>
      <c r="AA14" s="268"/>
    </row>
    <row r="15" spans="1:27" ht="13.5" thickBot="1" x14ac:dyDescent="0.25">
      <c r="A15" s="271" t="s">
        <v>25</v>
      </c>
      <c r="B15" s="272">
        <v>25</v>
      </c>
      <c r="C15" s="273">
        <v>588</v>
      </c>
      <c r="D15" s="273">
        <v>46</v>
      </c>
      <c r="E15" s="274">
        <v>61</v>
      </c>
      <c r="F15" s="274">
        <v>61</v>
      </c>
      <c r="G15" s="274">
        <v>78</v>
      </c>
      <c r="H15" s="274">
        <v>91</v>
      </c>
      <c r="I15" s="274">
        <v>99</v>
      </c>
      <c r="J15" s="274">
        <v>133</v>
      </c>
      <c r="K15" s="274">
        <v>186</v>
      </c>
      <c r="L15" s="274">
        <v>202</v>
      </c>
      <c r="M15" s="274">
        <v>235</v>
      </c>
      <c r="N15" s="274">
        <v>173</v>
      </c>
      <c r="O15" s="274">
        <f>+List1!AB18</f>
        <v>147</v>
      </c>
      <c r="P15" s="274">
        <v>158</v>
      </c>
      <c r="Q15" s="274">
        <v>173</v>
      </c>
      <c r="R15" s="274">
        <v>171</v>
      </c>
      <c r="S15" s="274">
        <f>'voš_věk x dfst '!K162*'voš_druh studia '!$H$73</f>
        <v>167</v>
      </c>
      <c r="T15" s="274">
        <v>180</v>
      </c>
      <c r="U15" s="274">
        <v>150</v>
      </c>
      <c r="V15" s="274">
        <v>117</v>
      </c>
      <c r="W15" s="274">
        <v>175</v>
      </c>
      <c r="X15" s="334">
        <v>152</v>
      </c>
      <c r="Y15" s="323"/>
      <c r="Z15" s="83"/>
      <c r="AA15" s="268"/>
    </row>
    <row r="16" spans="1:27" s="13" customFormat="1" ht="13.5" thickTop="1" x14ac:dyDescent="0.2"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43"/>
      <c r="O16" s="320"/>
      <c r="P16" s="320"/>
      <c r="Q16" s="23"/>
      <c r="R16" s="23"/>
      <c r="S16" s="572"/>
      <c r="T16" s="572"/>
      <c r="U16" s="23"/>
      <c r="V16" s="23"/>
      <c r="W16" s="23"/>
      <c r="X16" s="323"/>
      <c r="Y16" s="83"/>
      <c r="Z16" s="335"/>
    </row>
    <row r="17" spans="1:26" x14ac:dyDescent="0.2">
      <c r="A17" s="363" t="s">
        <v>164</v>
      </c>
      <c r="B17" s="364"/>
      <c r="C17" s="343"/>
      <c r="D17" s="343"/>
      <c r="E17" s="343"/>
      <c r="F17" s="343"/>
      <c r="G17" s="361"/>
      <c r="H17" s="361"/>
      <c r="I17" s="361"/>
      <c r="J17" s="361"/>
      <c r="K17" s="343"/>
      <c r="L17" s="343"/>
      <c r="M17" s="361"/>
      <c r="N17" s="1"/>
      <c r="O17" s="24"/>
      <c r="P17" s="320"/>
      <c r="T17" s="23"/>
      <c r="U17" s="23"/>
      <c r="V17" s="23"/>
      <c r="W17" s="23"/>
      <c r="X17" s="323"/>
      <c r="Y17" s="83"/>
      <c r="Z17" s="268"/>
    </row>
    <row r="18" spans="1:26" x14ac:dyDescent="0.2">
      <c r="A18" s="301" t="s">
        <v>102</v>
      </c>
      <c r="F18" s="343"/>
      <c r="G18" s="343"/>
      <c r="H18" s="343"/>
      <c r="I18" s="343"/>
      <c r="J18" s="343"/>
      <c r="K18" s="343"/>
      <c r="L18" s="343"/>
      <c r="M18" s="343"/>
      <c r="N18" s="1"/>
      <c r="O18" s="1"/>
      <c r="P18" s="320"/>
      <c r="T18" s="23"/>
      <c r="U18" s="23"/>
      <c r="V18" s="23"/>
      <c r="W18" s="23"/>
      <c r="X18" s="323"/>
      <c r="Y18" s="83"/>
      <c r="Z18" s="268"/>
    </row>
    <row r="19" spans="1:26" x14ac:dyDescent="0.2">
      <c r="N19" s="1"/>
      <c r="O19" s="1"/>
      <c r="P19" s="320"/>
      <c r="T19" s="23"/>
      <c r="U19" s="23"/>
      <c r="V19" s="23"/>
      <c r="W19" s="23"/>
      <c r="X19" s="406"/>
      <c r="Y19" s="83"/>
      <c r="Z19" s="268"/>
    </row>
    <row r="20" spans="1:26" x14ac:dyDescent="0.2">
      <c r="N20" s="1"/>
      <c r="O20" s="1"/>
      <c r="P20" s="320"/>
      <c r="T20" s="23"/>
      <c r="U20" s="23"/>
      <c r="V20" s="23"/>
      <c r="W20" s="23"/>
      <c r="X20" s="268"/>
      <c r="Y20" s="83"/>
      <c r="Z20" s="268"/>
    </row>
    <row r="21" spans="1:26" x14ac:dyDescent="0.2">
      <c r="N21" s="1"/>
      <c r="O21" s="1"/>
      <c r="P21" s="320"/>
      <c r="T21" s="23"/>
      <c r="U21" s="23"/>
      <c r="V21" s="23"/>
      <c r="W21" s="23"/>
      <c r="X21" s="268"/>
      <c r="Y21" s="83"/>
      <c r="Z21" s="268"/>
    </row>
    <row r="22" spans="1:26" x14ac:dyDescent="0.2">
      <c r="N22" s="1"/>
      <c r="O22" s="1"/>
      <c r="P22" s="320"/>
      <c r="T22" s="23"/>
      <c r="U22" s="23"/>
      <c r="V22" s="23"/>
      <c r="W22" s="23"/>
      <c r="X22" s="268"/>
      <c r="Y22" s="83"/>
      <c r="Z22" s="268"/>
    </row>
    <row r="23" spans="1:26" x14ac:dyDescent="0.2">
      <c r="N23" s="1"/>
      <c r="O23" s="1"/>
      <c r="P23" s="320"/>
      <c r="T23" s="23"/>
      <c r="U23" s="23"/>
      <c r="V23" s="23"/>
      <c r="W23" s="23"/>
      <c r="X23" s="268"/>
      <c r="Y23" s="83"/>
      <c r="Z23" s="268"/>
    </row>
    <row r="24" spans="1:26" x14ac:dyDescent="0.2">
      <c r="N24" s="1"/>
      <c r="O24" s="1"/>
      <c r="P24" s="320"/>
      <c r="T24" s="23"/>
      <c r="U24" s="23"/>
      <c r="V24" s="23"/>
      <c r="W24" s="23"/>
      <c r="X24" s="268"/>
      <c r="Y24" s="323"/>
      <c r="Z24" s="268"/>
    </row>
    <row r="25" spans="1:26" x14ac:dyDescent="0.2">
      <c r="N25" s="1"/>
      <c r="O25" s="1"/>
      <c r="P25" s="320"/>
      <c r="T25" s="23"/>
      <c r="U25" s="23"/>
      <c r="V25" s="23"/>
      <c r="W25" s="23"/>
      <c r="X25" s="268"/>
      <c r="Y25" s="335"/>
      <c r="Z25" s="268"/>
    </row>
    <row r="26" spans="1:26" x14ac:dyDescent="0.2">
      <c r="N26" s="1"/>
      <c r="O26" s="1"/>
      <c r="P26" s="320"/>
      <c r="T26" s="23"/>
      <c r="U26" s="23"/>
      <c r="V26" s="23"/>
      <c r="W26" s="23"/>
    </row>
    <row r="27" spans="1:26" x14ac:dyDescent="0.2">
      <c r="N27" s="1"/>
      <c r="O27" s="1"/>
      <c r="P27" s="320"/>
      <c r="T27" s="23"/>
      <c r="U27" s="23"/>
      <c r="V27" s="23"/>
      <c r="W27" s="23"/>
    </row>
    <row r="28" spans="1:26" x14ac:dyDescent="0.2">
      <c r="N28" s="1"/>
      <c r="O28" s="1"/>
      <c r="P28" s="320"/>
      <c r="T28" s="23"/>
      <c r="U28" s="23"/>
      <c r="V28" s="23"/>
      <c r="W28" s="23"/>
    </row>
    <row r="29" spans="1:26" x14ac:dyDescent="0.2">
      <c r="N29" s="1"/>
      <c r="O29" s="1"/>
      <c r="T29" s="23"/>
      <c r="U29" s="23"/>
      <c r="V29" s="23"/>
      <c r="W29" s="23"/>
    </row>
    <row r="30" spans="1:26" x14ac:dyDescent="0.2">
      <c r="N30" s="1"/>
      <c r="O30" s="1"/>
      <c r="T30" s="23"/>
      <c r="U30" s="23"/>
      <c r="V30" s="23"/>
      <c r="W30" s="23"/>
    </row>
    <row r="31" spans="1:26" x14ac:dyDescent="0.2">
      <c r="N31" s="1"/>
      <c r="O31" s="1"/>
      <c r="T31" s="23"/>
      <c r="U31" s="23"/>
      <c r="V31" s="23"/>
      <c r="W31" s="23"/>
    </row>
    <row r="32" spans="1:26" x14ac:dyDescent="0.2">
      <c r="N32" s="1"/>
      <c r="O32" s="1"/>
      <c r="T32" s="23"/>
      <c r="U32" s="23"/>
      <c r="V32" s="23"/>
      <c r="W32" s="23"/>
    </row>
    <row r="33" spans="1:27" x14ac:dyDescent="0.2">
      <c r="N33" s="1"/>
      <c r="O33" s="1"/>
      <c r="T33" s="23"/>
      <c r="U33" s="23"/>
      <c r="V33" s="23"/>
      <c r="W33" s="23"/>
    </row>
    <row r="34" spans="1:27" x14ac:dyDescent="0.2">
      <c r="N34" s="1"/>
      <c r="O34" s="1"/>
      <c r="T34" s="23"/>
      <c r="U34" s="23"/>
      <c r="V34" s="23"/>
      <c r="W34" s="23"/>
    </row>
    <row r="35" spans="1:27" x14ac:dyDescent="0.2">
      <c r="N35" s="1"/>
      <c r="O35" s="1"/>
      <c r="T35" s="23"/>
      <c r="U35" s="23"/>
      <c r="V35" s="23"/>
      <c r="W35" s="23"/>
    </row>
    <row r="36" spans="1:27" x14ac:dyDescent="0.2">
      <c r="N36" s="1"/>
      <c r="O36" s="1"/>
      <c r="T36" s="23"/>
      <c r="U36" s="23"/>
      <c r="V36" s="23"/>
      <c r="W36" s="23"/>
    </row>
    <row r="37" spans="1:27" x14ac:dyDescent="0.2">
      <c r="N37" s="1"/>
      <c r="O37" s="1"/>
      <c r="T37" s="23"/>
      <c r="U37" s="23"/>
      <c r="V37" s="23"/>
      <c r="W37" s="23"/>
    </row>
    <row r="38" spans="1:27" x14ac:dyDescent="0.2">
      <c r="N38" s="1"/>
      <c r="O38" s="1"/>
      <c r="T38" s="23"/>
      <c r="U38" s="23"/>
      <c r="V38" s="23"/>
      <c r="W38" s="23"/>
    </row>
    <row r="39" spans="1:27" x14ac:dyDescent="0.2">
      <c r="N39" s="1"/>
      <c r="O39" s="1"/>
      <c r="T39" s="23"/>
      <c r="U39" s="595"/>
      <c r="V39" s="595"/>
      <c r="W39" s="595"/>
      <c r="X39" s="596"/>
      <c r="Y39" s="596"/>
      <c r="Z39" s="596"/>
    </row>
    <row r="40" spans="1:27" x14ac:dyDescent="0.2">
      <c r="N40" s="1"/>
      <c r="O40" s="1"/>
      <c r="R40" s="554"/>
      <c r="S40" s="554"/>
      <c r="T40" s="554"/>
      <c r="U40" s="554"/>
      <c r="V40" s="554"/>
      <c r="W40" s="554"/>
      <c r="X40" s="577"/>
      <c r="Y40" s="577"/>
      <c r="Z40" s="577"/>
      <c r="AA40" s="577"/>
    </row>
    <row r="41" spans="1:27" x14ac:dyDescent="0.2">
      <c r="N41" s="1"/>
      <c r="O41" s="1"/>
      <c r="R41" s="554"/>
      <c r="S41" s="554"/>
      <c r="T41" s="554"/>
      <c r="U41" s="554"/>
      <c r="V41" s="554"/>
      <c r="W41" s="554"/>
      <c r="X41" s="577"/>
      <c r="Y41" s="577"/>
      <c r="Z41" s="577"/>
      <c r="AA41" s="577"/>
    </row>
    <row r="42" spans="1:27" x14ac:dyDescent="0.2">
      <c r="N42" s="1"/>
      <c r="O42" s="1"/>
      <c r="R42" s="554"/>
      <c r="S42" s="554"/>
      <c r="T42" s="554"/>
      <c r="U42" s="554"/>
      <c r="V42" s="554"/>
      <c r="W42" s="554"/>
      <c r="X42" s="577"/>
      <c r="Y42" s="577"/>
      <c r="Z42" s="577"/>
      <c r="AA42" s="577"/>
    </row>
    <row r="43" spans="1:27" x14ac:dyDescent="0.2">
      <c r="N43" s="1"/>
      <c r="O43" s="1"/>
      <c r="R43" s="554"/>
      <c r="S43" s="554"/>
      <c r="T43" s="554"/>
      <c r="U43" s="554"/>
      <c r="V43" s="554"/>
      <c r="W43" s="554"/>
      <c r="X43" s="577"/>
      <c r="Y43" s="577"/>
      <c r="Z43" s="577"/>
      <c r="AA43" s="577"/>
    </row>
    <row r="44" spans="1:27" x14ac:dyDescent="0.2">
      <c r="N44" s="1"/>
      <c r="O44" s="1"/>
      <c r="R44" s="554"/>
      <c r="S44" s="554"/>
      <c r="T44" s="554"/>
      <c r="U44" s="554"/>
      <c r="V44" s="554"/>
      <c r="W44" s="554"/>
      <c r="X44" s="577"/>
      <c r="Y44" s="577"/>
      <c r="Z44" s="577"/>
      <c r="AA44" s="577"/>
    </row>
    <row r="45" spans="1:27" s="577" customFormat="1" x14ac:dyDescent="0.2">
      <c r="B45" s="606"/>
      <c r="C45" s="606"/>
      <c r="D45" s="606"/>
      <c r="E45" s="606"/>
      <c r="F45" s="606"/>
      <c r="G45" s="606"/>
      <c r="H45" s="606"/>
      <c r="I45" s="606"/>
      <c r="J45" s="606"/>
      <c r="K45" s="606"/>
      <c r="L45" s="606"/>
      <c r="M45" s="606"/>
      <c r="P45" s="554"/>
      <c r="Q45" s="554"/>
      <c r="R45" s="554"/>
      <c r="S45" s="554"/>
      <c r="T45" s="554"/>
      <c r="U45" s="554"/>
      <c r="V45" s="554"/>
      <c r="W45" s="554"/>
    </row>
    <row r="46" spans="1:27" s="577" customFormat="1" x14ac:dyDescent="0.2">
      <c r="A46" s="550"/>
      <c r="B46" s="551" t="s">
        <v>1</v>
      </c>
      <c r="C46" s="551" t="s">
        <v>2</v>
      </c>
      <c r="D46" s="551" t="s">
        <v>11</v>
      </c>
      <c r="E46" s="552" t="s">
        <v>4</v>
      </c>
      <c r="F46" s="552" t="s">
        <v>5</v>
      </c>
      <c r="G46" s="553" t="s">
        <v>41</v>
      </c>
      <c r="H46" s="553" t="s">
        <v>53</v>
      </c>
      <c r="I46" s="553" t="s">
        <v>54</v>
      </c>
      <c r="J46" s="553" t="s">
        <v>76</v>
      </c>
      <c r="K46" s="553" t="s">
        <v>84</v>
      </c>
      <c r="L46" s="553" t="s">
        <v>87</v>
      </c>
      <c r="M46" s="553" t="s">
        <v>89</v>
      </c>
      <c r="N46" s="553" t="s">
        <v>108</v>
      </c>
      <c r="O46" s="553" t="s">
        <v>118</v>
      </c>
      <c r="P46" s="554" t="s">
        <v>121</v>
      </c>
      <c r="Q46" s="554" t="s">
        <v>132</v>
      </c>
      <c r="R46" s="554" t="s">
        <v>134</v>
      </c>
      <c r="S46" s="554" t="s">
        <v>137</v>
      </c>
      <c r="T46" s="554" t="s">
        <v>139</v>
      </c>
      <c r="U46" s="554" t="s">
        <v>142</v>
      </c>
      <c r="V46" s="554" t="s">
        <v>145</v>
      </c>
      <c r="W46" s="554" t="s">
        <v>148</v>
      </c>
      <c r="X46" s="554" t="s">
        <v>151</v>
      </c>
      <c r="Y46" s="554" t="s">
        <v>153</v>
      </c>
      <c r="Z46" s="554" t="s">
        <v>156</v>
      </c>
    </row>
    <row r="47" spans="1:27" s="577" customFormat="1" x14ac:dyDescent="0.2">
      <c r="A47" s="554">
        <v>18</v>
      </c>
      <c r="B47" s="555">
        <v>0.53196951464099473</v>
      </c>
      <c r="C47" s="555">
        <v>0.49978503869303526</v>
      </c>
      <c r="D47" s="555">
        <v>0.49643061107938319</v>
      </c>
      <c r="E47" s="555">
        <v>9.7376484105706623E-2</v>
      </c>
      <c r="F47" s="556">
        <v>8.3777358799901627E-2</v>
      </c>
      <c r="G47" s="555">
        <v>1.4489348370927317E-2</v>
      </c>
      <c r="H47" s="555">
        <v>2.0282451923076925E-3</v>
      </c>
      <c r="I47" s="555">
        <v>3.0693153721544891E-3</v>
      </c>
      <c r="J47" s="555">
        <v>3.3327486405893701E-3</v>
      </c>
      <c r="K47" s="555">
        <v>3.1710501772057452E-3</v>
      </c>
      <c r="L47" s="555">
        <v>6.2618595825426945E-3</v>
      </c>
      <c r="M47" s="555">
        <v>4.241995758004242E-3</v>
      </c>
      <c r="N47" s="557">
        <v>3.4712449573130687E-3</v>
      </c>
      <c r="O47" s="557">
        <v>6.1616527727437476E-3</v>
      </c>
      <c r="P47" s="558">
        <v>4.0260736196319029E-3</v>
      </c>
      <c r="Q47" s="557">
        <f>+'voš_věk x dfst '!K114</f>
        <v>5.0086688499325766E-3</v>
      </c>
      <c r="R47" s="557">
        <f>'voš_věk x dfst '!C132</f>
        <v>4.3855374719812884E-3</v>
      </c>
      <c r="S47" s="557">
        <f>'voš_věk x dfst '!K132</f>
        <v>5.6281193586067754E-3</v>
      </c>
      <c r="T47" s="557">
        <f>'voš_věk x dfst '!C150</f>
        <v>4.1676589664205767E-3</v>
      </c>
      <c r="U47" s="557">
        <f>'voš_věk x dfst '!K150</f>
        <v>6.2178967288456337E-3</v>
      </c>
      <c r="V47" s="557">
        <f>'voš_věk x dfst '!C168</f>
        <v>8.4878968877711413E-3</v>
      </c>
      <c r="W47" s="557">
        <f>'voš_věk x dfst '!K168</f>
        <v>3.3E-3</v>
      </c>
      <c r="X47" s="557">
        <f>'voš_věk x dfst '!C186</f>
        <v>3.3E-3</v>
      </c>
      <c r="Y47" s="557">
        <f>'voš_věk x dfst '!K186</f>
        <v>4.5999999999999999E-3</v>
      </c>
      <c r="Z47" s="557">
        <f>'voš_věk x dfst '!C204</f>
        <v>3.8E-3</v>
      </c>
    </row>
    <row r="48" spans="1:27" s="577" customFormat="1" x14ac:dyDescent="0.2">
      <c r="A48" s="554">
        <v>19</v>
      </c>
      <c r="B48" s="555">
        <v>0.31135178499799437</v>
      </c>
      <c r="C48" s="555">
        <v>0.31513327601031815</v>
      </c>
      <c r="D48" s="555">
        <v>0.30118503712164479</v>
      </c>
      <c r="E48" s="555">
        <v>0.38854844887016471</v>
      </c>
      <c r="F48" s="555">
        <v>0.62169030248381019</v>
      </c>
      <c r="G48" s="555">
        <v>0.57072368421052633</v>
      </c>
      <c r="H48" s="555">
        <v>0.49624399038461536</v>
      </c>
      <c r="I48" s="555">
        <v>0.52766646772955916</v>
      </c>
      <c r="J48" s="555">
        <v>0.52999473776530437</v>
      </c>
      <c r="K48" s="555">
        <v>0.517160977429584</v>
      </c>
      <c r="L48" s="555">
        <v>0.5130929791271347</v>
      </c>
      <c r="M48" s="555">
        <v>0.51762448237551761</v>
      </c>
      <c r="N48" s="557">
        <v>0.49760765550239233</v>
      </c>
      <c r="O48" s="557">
        <v>0.48142442914099309</v>
      </c>
      <c r="P48" s="558">
        <v>0.44315567484662588</v>
      </c>
      <c r="Q48" s="557">
        <f>+'voš_věk x dfst '!K115</f>
        <v>0.43257561163552311</v>
      </c>
      <c r="R48" s="557">
        <f>'voš_věk x dfst '!C133</f>
        <v>0.40541857518760355</v>
      </c>
      <c r="S48" s="557">
        <f>'voš_věk x dfst '!K133</f>
        <v>0.40108314749920354</v>
      </c>
      <c r="T48" s="557">
        <f>'voš_věk x dfst '!C151</f>
        <v>0.40771612288640152</v>
      </c>
      <c r="U48" s="557">
        <f>'voš_věk x dfst '!K151</f>
        <v>0.40132468234658014</v>
      </c>
      <c r="V48" s="557">
        <f>'voš_věk x dfst '!C169</f>
        <v>0.39547312165985538</v>
      </c>
      <c r="W48" s="557">
        <f>'voš_věk x dfst '!K169</f>
        <v>0.40849999999999997</v>
      </c>
      <c r="X48" s="557">
        <f>'voš_věk x dfst '!C187</f>
        <v>0.40849999999999997</v>
      </c>
      <c r="Y48" s="557">
        <f>'voš_věk x dfst '!K187</f>
        <v>0.42930000000000001</v>
      </c>
      <c r="Z48" s="557">
        <f>'voš_věk x dfst '!C205</f>
        <v>0.44440000000000002</v>
      </c>
    </row>
    <row r="49" spans="1:27" s="577" customFormat="1" x14ac:dyDescent="0.2">
      <c r="A49" s="554">
        <v>20</v>
      </c>
      <c r="B49" s="555">
        <v>9.9558764540713995E-2</v>
      </c>
      <c r="C49" s="555">
        <v>0.11593579822298652</v>
      </c>
      <c r="D49" s="555">
        <v>0.11964591661907481</v>
      </c>
      <c r="E49" s="555">
        <v>0.19293374186135581</v>
      </c>
      <c r="F49" s="555">
        <v>0.16845643085498813</v>
      </c>
      <c r="G49" s="555">
        <v>0.27232142857142855</v>
      </c>
      <c r="H49" s="555">
        <v>0.28448016826923078</v>
      </c>
      <c r="I49" s="555">
        <v>0.27530053713019015</v>
      </c>
      <c r="J49" s="555">
        <v>0.27284686897035609</v>
      </c>
      <c r="K49" s="555">
        <v>0.27289684760305916</v>
      </c>
      <c r="L49" s="555">
        <v>0.27058823529411763</v>
      </c>
      <c r="M49" s="555">
        <v>0.26674073325926673</v>
      </c>
      <c r="N49" s="557">
        <v>0.2792006754855052</v>
      </c>
      <c r="O49" s="557">
        <v>0.27799927509967381</v>
      </c>
      <c r="P49" s="558">
        <v>0.30310582822085896</v>
      </c>
      <c r="Q49" s="557">
        <f>+'voš_věk x dfst '!K116</f>
        <v>0.28867270275476792</v>
      </c>
      <c r="R49" s="557">
        <f>'voš_věk x dfst '!C134</f>
        <v>0.30572068999122892</v>
      </c>
      <c r="S49" s="557">
        <f>'voš_věk x dfst '!K134</f>
        <v>0.28554741425082297</v>
      </c>
      <c r="T49" s="557">
        <f>'voš_věk x dfst '!C152</f>
        <v>0.26482495832341035</v>
      </c>
      <c r="U49" s="557">
        <f>'voš_věk x dfst '!K152</f>
        <v>0.26074614760746145</v>
      </c>
      <c r="V49" s="557">
        <f>'voš_věk x dfst '!C170</f>
        <v>0.26784030179188933</v>
      </c>
      <c r="W49" s="557">
        <f>'voš_věk x dfst '!K170</f>
        <v>0.26219999999999999</v>
      </c>
      <c r="X49" s="557">
        <f>'voš_věk x dfst '!C188</f>
        <v>0.26219999999999999</v>
      </c>
      <c r="Y49" s="557">
        <f>'voš_věk x dfst '!K188</f>
        <v>0.26650000000000001</v>
      </c>
      <c r="Z49" s="557">
        <f>'voš_věk x dfst '!C206</f>
        <v>0.26979999999999998</v>
      </c>
    </row>
    <row r="50" spans="1:27" s="577" customFormat="1" x14ac:dyDescent="0.2">
      <c r="A50" s="554">
        <v>21</v>
      </c>
      <c r="B50" s="555">
        <v>2.7998395507420778E-2</v>
      </c>
      <c r="C50" s="555">
        <v>3.6901691028948122E-2</v>
      </c>
      <c r="D50" s="555">
        <v>4.3332381496287833E-2</v>
      </c>
      <c r="E50" s="555">
        <v>9.7184986595174258E-2</v>
      </c>
      <c r="F50" s="555">
        <v>5.9021231248462987E-2</v>
      </c>
      <c r="G50" s="555">
        <v>7.0567042606516292E-2</v>
      </c>
      <c r="H50" s="555">
        <v>0.12364783653846154</v>
      </c>
      <c r="I50" s="555">
        <v>9.7621280586580275E-2</v>
      </c>
      <c r="J50" s="555">
        <v>9.8140677074197505E-2</v>
      </c>
      <c r="K50" s="555">
        <v>0.10744264129826525</v>
      </c>
      <c r="L50" s="555">
        <v>0.10132827324478179</v>
      </c>
      <c r="M50" s="555">
        <v>9.6858903141096853E-2</v>
      </c>
      <c r="N50" s="557">
        <v>0.1021671826625387</v>
      </c>
      <c r="O50" s="557">
        <v>0.10837259876766944</v>
      </c>
      <c r="P50" s="558">
        <v>0.11474309815950923</v>
      </c>
      <c r="Q50" s="557">
        <f>+'voš_věk x dfst '!K117</f>
        <v>0.12637256790599116</v>
      </c>
      <c r="R50" s="557">
        <f>'voš_věk x dfst '!C135</f>
        <v>0.12035863950881981</v>
      </c>
      <c r="S50" s="557">
        <f>'voš_věk x dfst '!K135</f>
        <v>0.12944674524795582</v>
      </c>
      <c r="T50" s="557">
        <f>'voš_věk x dfst '!C153</f>
        <v>0.12717313646106215</v>
      </c>
      <c r="U50" s="557">
        <f>'voš_věk x dfst '!K153</f>
        <v>0.11868072452014058</v>
      </c>
      <c r="V50" s="557">
        <f>'voš_věk x dfst '!C171</f>
        <v>0.11898773970449544</v>
      </c>
      <c r="W50" s="557">
        <f>'voš_věk x dfst '!K171</f>
        <v>0.1147</v>
      </c>
      <c r="X50" s="557">
        <f>'voš_věk x dfst '!C189</f>
        <v>0.1147</v>
      </c>
      <c r="Y50" s="557">
        <f>'voš_věk x dfst '!K189</f>
        <v>0.10829999999999999</v>
      </c>
      <c r="Z50" s="557">
        <f>'voš_věk x dfst '!C207</f>
        <v>0.1174</v>
      </c>
    </row>
    <row r="51" spans="1:27" s="577" customFormat="1" x14ac:dyDescent="0.2">
      <c r="A51" s="554">
        <v>22</v>
      </c>
      <c r="B51" s="555">
        <v>1.3397513036502206E-2</v>
      </c>
      <c r="C51" s="555">
        <v>1.5190599025508742E-2</v>
      </c>
      <c r="D51" s="555">
        <v>1.9703026841804683E-2</v>
      </c>
      <c r="E51" s="555">
        <v>5.3619302949061663E-2</v>
      </c>
      <c r="F51" s="555">
        <v>3.0412328879416344E-2</v>
      </c>
      <c r="G51" s="555">
        <v>2.9605263157894735E-2</v>
      </c>
      <c r="H51" s="555">
        <v>4.371995192307692E-2</v>
      </c>
      <c r="I51" s="555">
        <v>4.7915423309745075E-2</v>
      </c>
      <c r="J51" s="555">
        <v>4.5079810559550959E-2</v>
      </c>
      <c r="K51" s="555">
        <v>4.1969781757134866E-2</v>
      </c>
      <c r="L51" s="555">
        <v>4.506641366223909E-2</v>
      </c>
      <c r="M51" s="555">
        <v>4.5146954853045144E-2</v>
      </c>
      <c r="N51" s="557">
        <v>4.3437470682052726E-2</v>
      </c>
      <c r="O51" s="557">
        <v>4.8296484233417904E-2</v>
      </c>
      <c r="P51" s="558">
        <v>5.6365030674846633E-2</v>
      </c>
      <c r="Q51" s="557">
        <f>+'voš_věk x dfst '!K118</f>
        <v>6.1741475630899642E-2</v>
      </c>
      <c r="R51" s="557">
        <f>'voš_věk x dfst '!C136</f>
        <v>6.5490692914920573E-2</v>
      </c>
      <c r="S51" s="557">
        <f>'voš_věk x dfst '!K136</f>
        <v>6.4351704364447274E-2</v>
      </c>
      <c r="T51" s="557">
        <f>'voš_věk x dfst '!C154</f>
        <v>7.1326506311026439E-2</v>
      </c>
      <c r="U51" s="557">
        <f>'voš_věk x dfst '!K154</f>
        <v>7.5560962422276293E-2</v>
      </c>
      <c r="V51" s="557">
        <f>'voš_věk x dfst '!C172</f>
        <v>6.9003458032065382E-2</v>
      </c>
      <c r="W51" s="557">
        <f>'voš_věk x dfst '!K172</f>
        <v>6.6199999999999995E-2</v>
      </c>
      <c r="X51" s="557">
        <f>'voš_věk x dfst '!C190</f>
        <v>6.6199999999999995E-2</v>
      </c>
      <c r="Y51" s="557">
        <f>'voš_věk x dfst '!K190</f>
        <v>0.06</v>
      </c>
      <c r="Z51" s="557">
        <f>'voš_věk x dfst '!C208</f>
        <v>5.6399999999999999E-2</v>
      </c>
    </row>
    <row r="52" spans="1:27" s="577" customFormat="1" x14ac:dyDescent="0.2">
      <c r="A52" s="554">
        <v>23</v>
      </c>
      <c r="B52" s="555">
        <v>6.5784195748094668E-3</v>
      </c>
      <c r="C52" s="555">
        <v>6.8071080538836346E-3</v>
      </c>
      <c r="D52" s="555">
        <v>8.0668189605939463E-3</v>
      </c>
      <c r="E52" s="555">
        <v>3.47567981616239E-2</v>
      </c>
      <c r="F52" s="555">
        <v>1.483728174440528E-2</v>
      </c>
      <c r="G52" s="555">
        <v>1.9110275689223057E-2</v>
      </c>
      <c r="H52" s="555">
        <v>2.1559495192307692E-2</v>
      </c>
      <c r="I52" s="555">
        <v>1.9865291158666552E-2</v>
      </c>
      <c r="J52" s="555">
        <v>2.0698123136291879E-2</v>
      </c>
      <c r="K52" s="555">
        <v>2.1731020332027607E-2</v>
      </c>
      <c r="L52" s="555">
        <v>2.4952561669829221E-2</v>
      </c>
      <c r="M52" s="555">
        <v>2.2623977376022623E-2</v>
      </c>
      <c r="N52" s="557">
        <v>2.5049254151421334E-2</v>
      </c>
      <c r="O52" s="557">
        <v>2.6549474447263501E-2</v>
      </c>
      <c r="P52" s="558">
        <v>2.9907975460122707E-2</v>
      </c>
      <c r="Q52" s="557">
        <f>+'voš_věk x dfst '!K119</f>
        <v>3.4482758620689662E-2</v>
      </c>
      <c r="R52" s="557">
        <f>'voš_věk x dfst '!C137</f>
        <v>3.9957119189162851E-2</v>
      </c>
      <c r="S52" s="557">
        <f>'voš_věk x dfst '!K137</f>
        <v>4.5343527662737602E-2</v>
      </c>
      <c r="T52" s="557">
        <f>'voš_věk x dfst '!C155</f>
        <v>4.9535603715170282E-2</v>
      </c>
      <c r="U52" s="557">
        <f>'voš_věk x dfst '!K155</f>
        <v>5.3663152203298189E-2</v>
      </c>
      <c r="V52" s="557">
        <f>'voš_věk x dfst '!C173</f>
        <v>4.9198365293932726E-2</v>
      </c>
      <c r="W52" s="557">
        <f>'voš_věk x dfst '!K173</f>
        <v>5.11E-2</v>
      </c>
      <c r="X52" s="557">
        <f>'voš_věk x dfst '!C191</f>
        <v>5.11E-2</v>
      </c>
      <c r="Y52" s="557">
        <f>'voš_věk x dfst '!K191</f>
        <v>4.2700000000000002E-2</v>
      </c>
      <c r="Z52" s="557">
        <f>'voš_věk x dfst '!C209</f>
        <v>3.8300000000000001E-2</v>
      </c>
    </row>
    <row r="53" spans="1:27" s="577" customFormat="1" x14ac:dyDescent="0.2">
      <c r="A53" s="554">
        <v>24</v>
      </c>
      <c r="B53" s="555">
        <v>2.3265142398716408E-3</v>
      </c>
      <c r="C53" s="555">
        <v>4.6574949842361707E-3</v>
      </c>
      <c r="D53" s="555">
        <v>4.5688178183894918E-3</v>
      </c>
      <c r="E53" s="555">
        <v>2.2022213711221754E-2</v>
      </c>
      <c r="F53" s="555">
        <v>7.7875235675055332E-3</v>
      </c>
      <c r="G53" s="555">
        <v>8.615288220551378E-3</v>
      </c>
      <c r="H53" s="555">
        <v>1.2620192307692308E-2</v>
      </c>
      <c r="I53" s="555">
        <v>9.6342399181515905E-3</v>
      </c>
      <c r="J53" s="555">
        <v>9.033502894229082E-3</v>
      </c>
      <c r="K53" s="555">
        <v>1.1844805073680284E-2</v>
      </c>
      <c r="L53" s="555">
        <v>1.2049335863377609E-2</v>
      </c>
      <c r="M53" s="555">
        <v>1.3432986567013434E-2</v>
      </c>
      <c r="N53" s="557">
        <v>1.4635519279482128E-2</v>
      </c>
      <c r="O53" s="557">
        <v>1.3138818412468285E-2</v>
      </c>
      <c r="P53" s="558">
        <v>1.5816717791411045E-2</v>
      </c>
      <c r="Q53" s="557">
        <f>+'voš_věk x dfst '!K120</f>
        <v>1.9649393180504723E-2</v>
      </c>
      <c r="R53" s="557">
        <f>'voš_věk x dfst '!C138</f>
        <v>2.2414969301237698E-2</v>
      </c>
      <c r="S53" s="557">
        <f>'voš_věk x dfst '!K138</f>
        <v>2.7291069342678137E-2</v>
      </c>
      <c r="T53" s="557">
        <f>'voš_věk x dfst '!C156</f>
        <v>2.822100500119076E-2</v>
      </c>
      <c r="U53" s="557">
        <f>'voš_věk x dfst '!K156</f>
        <v>3.0954311976209785E-2</v>
      </c>
      <c r="V53" s="557">
        <f>'voš_věk x dfst '!C174</f>
        <v>3.222257151839044E-2</v>
      </c>
      <c r="W53" s="557">
        <f>'voš_věk x dfst '!K174</f>
        <v>3.2199999999999999E-2</v>
      </c>
      <c r="X53" s="557">
        <f>'voš_věk x dfst '!C192</f>
        <v>3.2199999999999999E-2</v>
      </c>
      <c r="Y53" s="557">
        <f>'voš_věk x dfst '!K192</f>
        <v>3.4299999999999997E-2</v>
      </c>
      <c r="Z53" s="557">
        <f>'voš_věk x dfst '!C210</f>
        <v>2.5499999999999998E-2</v>
      </c>
    </row>
    <row r="54" spans="1:27" s="577" customFormat="1" x14ac:dyDescent="0.2">
      <c r="A54" s="559" t="s">
        <v>77</v>
      </c>
      <c r="B54" s="555">
        <v>6.9795427196149215E-3</v>
      </c>
      <c r="C54" s="555">
        <v>5.5173402120951565E-3</v>
      </c>
      <c r="D54" s="555">
        <v>7.0673900628212454E-3</v>
      </c>
      <c r="E54" s="555">
        <v>0.11355802374569131</v>
      </c>
      <c r="F54" s="555">
        <v>1.401754242150996E-2</v>
      </c>
      <c r="G54" s="555">
        <v>1.456766917293233E-2</v>
      </c>
      <c r="H54" s="555">
        <v>1.5700120192307692E-2</v>
      </c>
      <c r="I54" s="555">
        <v>1.8927444794952682E-2</v>
      </c>
      <c r="J54" s="555">
        <v>2.0873530959480791E-2</v>
      </c>
      <c r="K54" s="555">
        <v>2.3782876329043089E-2</v>
      </c>
      <c r="L54" s="555">
        <v>2.666034155597723E-2</v>
      </c>
      <c r="M54" s="555">
        <v>3.332996667003333E-2</v>
      </c>
      <c r="N54" s="557">
        <v>3.4430997279294495E-2</v>
      </c>
      <c r="O54" s="557">
        <v>3.8057267125770206E-2</v>
      </c>
      <c r="P54" s="558">
        <v>3.2879601226993863E-2</v>
      </c>
      <c r="Q54" s="557">
        <f>SUM('voš_věk x dfst '!K121:K126)</f>
        <v>3.1496821421691398E-2</v>
      </c>
      <c r="R54" s="557">
        <f>SUM('voš_věk x dfst '!C139:C144)</f>
        <v>3.6253776435045314E-2</v>
      </c>
      <c r="S54" s="557">
        <f>SUM('voš_věk x dfst '!K139:K144)</f>
        <v>4.1308272273547844E-2</v>
      </c>
      <c r="T54" s="557">
        <f>SUM('voš_věk x dfst '!C157:C162)</f>
        <v>4.7035008335317929E-2</v>
      </c>
      <c r="U54" s="557">
        <f>SUM('voš_věk x dfst '!K157:K162)</f>
        <v>5.2852122195187888E-2</v>
      </c>
      <c r="V54" s="557">
        <f>SUM('voš_věk x dfst '!C175:C180)</f>
        <v>5.8786545111600128E-2</v>
      </c>
      <c r="W54" s="557">
        <f>SUM('voš_věk x dfst '!K175:K180)</f>
        <v>6.1600000000000002E-2</v>
      </c>
      <c r="X54" s="557">
        <f>SUM('voš_věk x dfst '!C193:C198)</f>
        <v>6.1600000000000002E-2</v>
      </c>
      <c r="Y54" s="557">
        <f>SUM('voš_věk x dfst '!K193:K198)</f>
        <v>5.4300000000000001E-2</v>
      </c>
      <c r="Z54" s="557">
        <f>SUM('voš_věk x dfst '!C211:C216)</f>
        <v>4.4400000000000002E-2</v>
      </c>
    </row>
    <row r="55" spans="1:27" s="573" customFormat="1" x14ac:dyDescent="0.2">
      <c r="A55" s="577"/>
      <c r="B55" s="607"/>
      <c r="C55" s="607"/>
      <c r="D55" s="607"/>
      <c r="E55" s="607"/>
      <c r="F55" s="606"/>
      <c r="G55" s="606"/>
      <c r="H55" s="606"/>
      <c r="I55" s="606"/>
      <c r="J55" s="606"/>
      <c r="K55" s="606"/>
      <c r="L55" s="606"/>
      <c r="M55" s="606"/>
      <c r="N55" s="577"/>
      <c r="O55" s="577"/>
      <c r="P55" s="554"/>
      <c r="Q55" s="554"/>
      <c r="R55" s="554"/>
      <c r="S55" s="554"/>
      <c r="T55" s="554"/>
      <c r="U55" s="554"/>
      <c r="V55" s="554"/>
      <c r="W55" s="554"/>
      <c r="X55" s="577"/>
      <c r="Y55" s="577"/>
      <c r="Z55" s="577"/>
      <c r="AA55" s="577"/>
    </row>
    <row r="56" spans="1:27" s="573" customFormat="1" x14ac:dyDescent="0.2">
      <c r="A56" s="1"/>
      <c r="B56" s="602"/>
      <c r="C56" s="602"/>
      <c r="D56" s="602"/>
      <c r="E56" s="602"/>
      <c r="F56" s="601"/>
      <c r="G56" s="601"/>
      <c r="H56" s="601"/>
      <c r="I56" s="601"/>
      <c r="J56" s="601"/>
      <c r="K56" s="603"/>
      <c r="L56" s="604"/>
      <c r="M56" s="605"/>
      <c r="N56" s="603"/>
      <c r="O56" s="601"/>
      <c r="P56" s="595"/>
      <c r="Q56" s="595"/>
      <c r="R56" s="595"/>
      <c r="S56" s="595"/>
      <c r="T56" s="595"/>
      <c r="U56" s="595"/>
      <c r="V56" s="595"/>
      <c r="W56" s="595"/>
      <c r="X56" s="596"/>
      <c r="Y56" s="596"/>
      <c r="Z56" s="596"/>
      <c r="AA56" s="596"/>
    </row>
    <row r="57" spans="1:27" s="573" customFormat="1" x14ac:dyDescent="0.2">
      <c r="A57" s="1"/>
      <c r="B57" s="346"/>
      <c r="C57" s="346"/>
      <c r="D57" s="11"/>
      <c r="E57" s="11"/>
      <c r="F57" s="11"/>
      <c r="G57" s="11"/>
      <c r="H57" s="11"/>
      <c r="I57" s="11"/>
      <c r="J57" s="11"/>
      <c r="K57" s="586"/>
      <c r="L57" s="587"/>
      <c r="M57" s="588"/>
      <c r="N57" s="586"/>
      <c r="O57" s="11"/>
      <c r="P57" s="23"/>
      <c r="Q57" s="23"/>
      <c r="R57" s="23"/>
      <c r="S57" s="23"/>
      <c r="T57" s="23"/>
      <c r="U57" s="595"/>
      <c r="V57" s="595"/>
      <c r="W57" s="595"/>
      <c r="X57" s="596"/>
      <c r="Y57" s="596"/>
      <c r="Z57" s="596"/>
    </row>
    <row r="58" spans="1:27" s="573" customFormat="1" x14ac:dyDescent="0.2">
      <c r="A58" s="1"/>
      <c r="B58" s="346"/>
      <c r="C58" s="346"/>
      <c r="D58" s="346"/>
      <c r="E58" s="346"/>
      <c r="F58" s="11"/>
      <c r="G58" s="11"/>
      <c r="H58" s="11"/>
      <c r="I58" s="11"/>
      <c r="J58" s="11"/>
      <c r="K58" s="586"/>
      <c r="L58" s="362"/>
      <c r="M58" s="361"/>
      <c r="N58" s="586"/>
      <c r="O58" s="11"/>
      <c r="P58" s="23"/>
      <c r="Q58" s="23"/>
      <c r="R58" s="23"/>
      <c r="S58" s="23"/>
      <c r="T58" s="23"/>
      <c r="U58" s="595"/>
      <c r="V58" s="595"/>
      <c r="W58" s="595"/>
      <c r="X58" s="596"/>
      <c r="Y58" s="596"/>
      <c r="Z58" s="596"/>
    </row>
    <row r="59" spans="1:27" s="573" customFormat="1" x14ac:dyDescent="0.2">
      <c r="A59" s="1"/>
      <c r="B59" s="346"/>
      <c r="C59" s="346"/>
      <c r="D59" s="346"/>
      <c r="E59" s="346"/>
      <c r="F59" s="11"/>
      <c r="G59" s="11"/>
      <c r="H59" s="11"/>
      <c r="I59" s="11"/>
      <c r="J59" s="11"/>
      <c r="K59" s="586"/>
      <c r="L59" s="362"/>
      <c r="M59" s="361"/>
      <c r="N59" s="586"/>
      <c r="O59" s="11"/>
      <c r="P59" s="23"/>
      <c r="Q59" s="23"/>
      <c r="R59" s="23"/>
      <c r="S59" s="23"/>
      <c r="T59" s="23"/>
      <c r="U59" s="595"/>
      <c r="V59" s="595"/>
      <c r="W59" s="595"/>
      <c r="X59" s="596"/>
      <c r="Y59" s="596"/>
      <c r="Z59" s="596"/>
    </row>
    <row r="60" spans="1:27" s="573" customFormat="1" x14ac:dyDescent="0.2">
      <c r="A60" s="1"/>
      <c r="B60" s="346"/>
      <c r="C60" s="346"/>
      <c r="D60" s="346"/>
      <c r="E60" s="346"/>
      <c r="F60" s="11"/>
      <c r="G60" s="11"/>
      <c r="H60" s="11"/>
      <c r="I60" s="11"/>
      <c r="J60" s="11"/>
      <c r="K60" s="586"/>
      <c r="L60" s="362"/>
      <c r="M60" s="361"/>
      <c r="N60" s="586"/>
      <c r="O60" s="11"/>
      <c r="P60" s="23"/>
      <c r="Q60" s="23"/>
      <c r="R60" s="23"/>
      <c r="S60" s="23"/>
      <c r="T60" s="23"/>
      <c r="U60" s="595"/>
      <c r="V60" s="595"/>
      <c r="W60" s="595"/>
      <c r="X60" s="596"/>
      <c r="Y60" s="596"/>
      <c r="Z60" s="596"/>
    </row>
    <row r="61" spans="1:27" s="573" customFormat="1" x14ac:dyDescent="0.2">
      <c r="A61" s="1"/>
      <c r="B61" s="346"/>
      <c r="C61" s="346"/>
      <c r="D61" s="346"/>
      <c r="E61" s="346"/>
      <c r="F61" s="11"/>
      <c r="G61" s="11"/>
      <c r="H61" s="11"/>
      <c r="I61" s="11"/>
      <c r="J61" s="11"/>
      <c r="K61" s="586"/>
      <c r="L61" s="586"/>
      <c r="M61" s="586"/>
      <c r="N61" s="586"/>
      <c r="O61" s="11"/>
      <c r="P61" s="23"/>
      <c r="Q61" s="23"/>
      <c r="R61" s="23"/>
      <c r="S61" s="23"/>
      <c r="T61" s="23"/>
      <c r="U61" s="595"/>
      <c r="V61" s="595"/>
      <c r="W61" s="595"/>
      <c r="X61" s="596"/>
      <c r="Y61" s="596"/>
      <c r="Z61" s="596"/>
    </row>
    <row r="62" spans="1:27" s="573" customFormat="1" x14ac:dyDescent="0.2">
      <c r="A62" s="1"/>
      <c r="B62" s="346"/>
      <c r="C62" s="346"/>
      <c r="D62" s="346"/>
      <c r="E62" s="346"/>
      <c r="F62" s="11"/>
      <c r="G62" s="11"/>
      <c r="H62" s="11"/>
      <c r="I62" s="11"/>
      <c r="J62" s="11"/>
      <c r="K62" s="343"/>
      <c r="L62" s="343"/>
      <c r="M62" s="343"/>
      <c r="N62" s="343"/>
      <c r="O62" s="11"/>
      <c r="P62" s="23"/>
      <c r="Q62" s="23"/>
      <c r="R62" s="23"/>
      <c r="S62" s="23"/>
      <c r="T62" s="23"/>
      <c r="U62" s="23"/>
      <c r="V62" s="23"/>
      <c r="W62" s="23"/>
      <c r="X62" s="1"/>
      <c r="Y62" s="1"/>
      <c r="Z62" s="1"/>
    </row>
    <row r="63" spans="1:27" s="573" customFormat="1" x14ac:dyDescent="0.2">
      <c r="A63" s="1"/>
      <c r="B63" s="346"/>
      <c r="C63" s="346"/>
      <c r="D63" s="346"/>
      <c r="E63" s="34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23"/>
      <c r="Q63" s="23"/>
      <c r="R63" s="23"/>
      <c r="S63" s="23"/>
      <c r="T63" s="23"/>
      <c r="U63" s="23"/>
      <c r="V63" s="23"/>
      <c r="W63" s="23"/>
      <c r="X63" s="1"/>
      <c r="Y63" s="1"/>
      <c r="Z63" s="1"/>
    </row>
    <row r="64" spans="1:27" s="573" customFormat="1" x14ac:dyDescent="0.2">
      <c r="A64" s="1"/>
      <c r="B64" s="346"/>
      <c r="C64" s="346"/>
      <c r="D64" s="346"/>
      <c r="E64" s="34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23"/>
      <c r="Q64" s="23"/>
      <c r="R64" s="23"/>
      <c r="S64" s="23"/>
      <c r="T64" s="23"/>
      <c r="U64" s="23"/>
      <c r="V64" s="23"/>
      <c r="W64" s="23"/>
      <c r="X64" s="1"/>
      <c r="Y64" s="1"/>
      <c r="Z64" s="1"/>
    </row>
    <row r="65" spans="2:23" s="573" customFormat="1" x14ac:dyDescent="0.2">
      <c r="B65" s="576"/>
      <c r="C65" s="576"/>
      <c r="D65" s="576"/>
      <c r="E65" s="576"/>
      <c r="F65" s="574"/>
      <c r="G65" s="574"/>
      <c r="H65" s="574"/>
      <c r="I65" s="574"/>
      <c r="J65" s="574"/>
      <c r="K65" s="574"/>
      <c r="L65" s="574"/>
      <c r="M65" s="574"/>
      <c r="N65" s="574"/>
      <c r="O65" s="574"/>
      <c r="P65" s="575"/>
      <c r="Q65" s="575"/>
      <c r="R65" s="575"/>
      <c r="S65" s="575"/>
      <c r="T65" s="575"/>
      <c r="U65" s="575"/>
      <c r="V65" s="575"/>
      <c r="W65" s="575"/>
    </row>
    <row r="66" spans="2:23" s="573" customFormat="1" x14ac:dyDescent="0.2">
      <c r="B66" s="576"/>
      <c r="C66" s="576"/>
      <c r="D66" s="576"/>
      <c r="E66" s="576"/>
      <c r="F66" s="574"/>
      <c r="G66" s="574"/>
      <c r="H66" s="574"/>
      <c r="I66" s="574"/>
      <c r="J66" s="574"/>
      <c r="K66" s="574"/>
      <c r="L66" s="574"/>
      <c r="M66" s="574"/>
      <c r="N66" s="574"/>
      <c r="O66" s="574"/>
      <c r="P66" s="575"/>
      <c r="Q66" s="575"/>
      <c r="R66" s="575"/>
      <c r="S66" s="575"/>
      <c r="T66" s="575"/>
      <c r="U66" s="575"/>
      <c r="V66" s="575"/>
      <c r="W66" s="575"/>
    </row>
    <row r="67" spans="2:23" s="573" customFormat="1" x14ac:dyDescent="0.2">
      <c r="B67" s="576"/>
      <c r="C67" s="576"/>
      <c r="D67" s="576"/>
      <c r="E67" s="576"/>
      <c r="F67" s="574"/>
      <c r="G67" s="574"/>
      <c r="H67" s="574"/>
      <c r="I67" s="574"/>
      <c r="J67" s="574"/>
      <c r="K67" s="574"/>
      <c r="L67" s="574"/>
      <c r="M67" s="574"/>
      <c r="N67" s="574"/>
      <c r="O67" s="574"/>
      <c r="P67" s="575"/>
      <c r="Q67" s="575"/>
      <c r="R67" s="575"/>
      <c r="S67" s="575"/>
      <c r="T67" s="575"/>
      <c r="U67" s="575"/>
      <c r="V67" s="575"/>
      <c r="W67" s="575"/>
    </row>
    <row r="68" spans="2:23" x14ac:dyDescent="0.2">
      <c r="B68" s="346"/>
      <c r="C68" s="346"/>
      <c r="D68" s="346"/>
      <c r="E68" s="346"/>
      <c r="T68" s="23"/>
      <c r="U68" s="23"/>
      <c r="V68" s="23"/>
      <c r="W68" s="23"/>
    </row>
    <row r="69" spans="2:23" x14ac:dyDescent="0.2">
      <c r="B69" s="346"/>
      <c r="C69" s="346"/>
      <c r="D69" s="346"/>
      <c r="E69" s="346"/>
      <c r="T69" s="23"/>
      <c r="U69" s="23"/>
      <c r="V69" s="23"/>
      <c r="W69" s="23"/>
    </row>
    <row r="70" spans="2:23" x14ac:dyDescent="0.2">
      <c r="B70" s="346"/>
      <c r="C70" s="346"/>
      <c r="D70" s="346"/>
      <c r="E70" s="346"/>
      <c r="T70" s="23"/>
      <c r="U70" s="23"/>
      <c r="V70" s="23"/>
      <c r="W70" s="23"/>
    </row>
    <row r="71" spans="2:23" x14ac:dyDescent="0.2">
      <c r="B71" s="346"/>
      <c r="C71" s="346"/>
      <c r="D71" s="346"/>
      <c r="E71" s="346"/>
      <c r="T71" s="23"/>
      <c r="U71" s="23"/>
      <c r="V71" s="23"/>
      <c r="W71" s="23"/>
    </row>
    <row r="72" spans="2:23" x14ac:dyDescent="0.2">
      <c r="B72" s="346"/>
      <c r="C72" s="346"/>
      <c r="D72" s="346"/>
      <c r="E72" s="346"/>
      <c r="T72" s="23"/>
      <c r="U72" s="23"/>
      <c r="V72" s="23"/>
      <c r="W72" s="23"/>
    </row>
    <row r="73" spans="2:23" x14ac:dyDescent="0.2">
      <c r="B73" s="346"/>
      <c r="C73" s="346"/>
      <c r="D73" s="346"/>
      <c r="E73" s="346"/>
      <c r="T73" s="23"/>
      <c r="U73" s="23"/>
      <c r="V73" s="23"/>
      <c r="W73" s="23"/>
    </row>
    <row r="74" spans="2:23" x14ac:dyDescent="0.2">
      <c r="T74" s="23"/>
      <c r="U74" s="23"/>
      <c r="V74" s="23"/>
      <c r="W74" s="23"/>
    </row>
    <row r="75" spans="2:23" x14ac:dyDescent="0.2">
      <c r="T75" s="23"/>
      <c r="U75" s="23"/>
      <c r="V75" s="23"/>
      <c r="W75" s="23"/>
    </row>
    <row r="76" spans="2:23" x14ac:dyDescent="0.2">
      <c r="T76" s="23"/>
      <c r="U76" s="23"/>
      <c r="V76" s="23"/>
      <c r="W76" s="23"/>
    </row>
    <row r="77" spans="2:23" x14ac:dyDescent="0.2">
      <c r="T77" s="23"/>
      <c r="U77" s="23"/>
      <c r="V77" s="23"/>
      <c r="W77" s="23"/>
    </row>
    <row r="78" spans="2:23" x14ac:dyDescent="0.2">
      <c r="T78" s="23"/>
      <c r="U78" s="23"/>
      <c r="V78" s="23"/>
      <c r="W78" s="23"/>
    </row>
    <row r="79" spans="2:23" x14ac:dyDescent="0.2">
      <c r="T79" s="23"/>
      <c r="U79" s="23"/>
      <c r="V79" s="23"/>
      <c r="W79" s="23"/>
    </row>
    <row r="80" spans="2:23" x14ac:dyDescent="0.2">
      <c r="T80" s="23"/>
      <c r="U80" s="23"/>
      <c r="V80" s="23"/>
      <c r="W80" s="23"/>
    </row>
    <row r="81" spans="17:19" x14ac:dyDescent="0.2">
      <c r="Q81" s="323"/>
      <c r="R81" s="323"/>
      <c r="S81" s="323"/>
    </row>
    <row r="82" spans="17:19" x14ac:dyDescent="0.2">
      <c r="Q82" s="323"/>
      <c r="R82" s="323"/>
      <c r="S82" s="323"/>
    </row>
    <row r="83" spans="17:19" x14ac:dyDescent="0.2">
      <c r="Q83" s="323"/>
      <c r="R83" s="323"/>
      <c r="S83" s="323"/>
    </row>
    <row r="84" spans="17:19" x14ac:dyDescent="0.2">
      <c r="Q84" s="323"/>
      <c r="R84" s="323"/>
      <c r="S84" s="323"/>
    </row>
    <row r="85" spans="17:19" x14ac:dyDescent="0.2">
      <c r="Q85" s="323"/>
      <c r="R85" s="323"/>
      <c r="S85" s="323"/>
    </row>
    <row r="86" spans="17:19" x14ac:dyDescent="0.2">
      <c r="Q86" s="323"/>
      <c r="R86" s="323"/>
      <c r="S86" s="323"/>
    </row>
    <row r="87" spans="17:19" x14ac:dyDescent="0.2">
      <c r="Q87" s="323"/>
      <c r="R87" s="323"/>
      <c r="S87" s="323"/>
    </row>
    <row r="88" spans="17:19" x14ac:dyDescent="0.2">
      <c r="Q88" s="323"/>
      <c r="R88" s="323"/>
      <c r="S88" s="323"/>
    </row>
    <row r="89" spans="17:19" x14ac:dyDescent="0.2">
      <c r="Q89" s="323"/>
      <c r="R89" s="323"/>
      <c r="S89" s="323"/>
    </row>
    <row r="90" spans="17:19" x14ac:dyDescent="0.2">
      <c r="Q90" s="323"/>
      <c r="R90" s="323"/>
      <c r="S90" s="323"/>
    </row>
    <row r="91" spans="17:19" x14ac:dyDescent="0.2">
      <c r="Q91" s="323"/>
      <c r="R91" s="323"/>
      <c r="S91" s="323"/>
    </row>
    <row r="92" spans="17:19" x14ac:dyDescent="0.2">
      <c r="Q92" s="323"/>
      <c r="R92" s="323"/>
      <c r="S92" s="323"/>
    </row>
    <row r="93" spans="17:19" x14ac:dyDescent="0.2">
      <c r="Q93" s="323"/>
      <c r="R93" s="323"/>
      <c r="S93" s="323"/>
    </row>
    <row r="94" spans="17:19" x14ac:dyDescent="0.2">
      <c r="Q94" s="323"/>
      <c r="R94" s="323"/>
      <c r="S94" s="323"/>
    </row>
    <row r="95" spans="17:19" x14ac:dyDescent="0.2">
      <c r="Q95" s="323"/>
      <c r="R95" s="323"/>
      <c r="S95" s="323"/>
    </row>
    <row r="96" spans="17:19" x14ac:dyDescent="0.2">
      <c r="Q96" s="323"/>
      <c r="R96" s="323"/>
      <c r="S96" s="323"/>
    </row>
    <row r="97" spans="17:19" x14ac:dyDescent="0.2">
      <c r="Q97" s="323"/>
      <c r="R97" s="323"/>
      <c r="S97" s="323"/>
    </row>
    <row r="98" spans="17:19" x14ac:dyDescent="0.2">
      <c r="Q98" s="323"/>
      <c r="R98" s="323"/>
      <c r="S98" s="323"/>
    </row>
    <row r="99" spans="17:19" x14ac:dyDescent="0.2">
      <c r="Q99" s="323"/>
      <c r="R99" s="323"/>
      <c r="S99" s="323"/>
    </row>
    <row r="100" spans="17:19" x14ac:dyDescent="0.2">
      <c r="Q100" s="323"/>
      <c r="R100" s="323"/>
      <c r="S100" s="323"/>
    </row>
    <row r="101" spans="17:19" x14ac:dyDescent="0.2">
      <c r="Q101" s="323"/>
      <c r="R101" s="323"/>
      <c r="S101" s="323"/>
    </row>
    <row r="102" spans="17:19" x14ac:dyDescent="0.2">
      <c r="Q102" s="323"/>
      <c r="R102" s="323"/>
      <c r="S102" s="323"/>
    </row>
    <row r="103" spans="17:19" x14ac:dyDescent="0.2">
      <c r="Q103" s="323"/>
      <c r="R103" s="323"/>
      <c r="S103" s="323"/>
    </row>
    <row r="104" spans="17:19" x14ac:dyDescent="0.2">
      <c r="Q104" s="323"/>
      <c r="R104" s="323"/>
      <c r="S104" s="323"/>
    </row>
    <row r="105" spans="17:19" x14ac:dyDescent="0.2">
      <c r="Q105" s="323"/>
      <c r="R105" s="323"/>
      <c r="S105" s="323"/>
    </row>
    <row r="106" spans="17:19" x14ac:dyDescent="0.2">
      <c r="Q106" s="323"/>
      <c r="R106" s="323"/>
      <c r="S106" s="323"/>
    </row>
    <row r="107" spans="17:19" x14ac:dyDescent="0.2">
      <c r="Q107" s="323"/>
      <c r="R107" s="323"/>
      <c r="S107" s="323"/>
    </row>
    <row r="108" spans="17:19" x14ac:dyDescent="0.2">
      <c r="Q108" s="323"/>
      <c r="R108" s="323"/>
      <c r="S108" s="323"/>
    </row>
    <row r="109" spans="17:19" x14ac:dyDescent="0.2">
      <c r="Q109" s="323"/>
      <c r="R109" s="323"/>
      <c r="S109" s="323"/>
    </row>
    <row r="110" spans="17:19" x14ac:dyDescent="0.2">
      <c r="Q110" s="323"/>
      <c r="R110" s="323"/>
      <c r="S110" s="323"/>
    </row>
    <row r="111" spans="17:19" x14ac:dyDescent="0.2">
      <c r="Q111" s="323"/>
      <c r="R111" s="323"/>
      <c r="S111" s="323"/>
    </row>
    <row r="112" spans="17:19" x14ac:dyDescent="0.2">
      <c r="Q112" s="323"/>
      <c r="R112" s="323"/>
      <c r="S112" s="323"/>
    </row>
    <row r="113" spans="16:19" x14ac:dyDescent="0.2">
      <c r="Q113" s="323"/>
      <c r="R113" s="323"/>
      <c r="S113" s="323"/>
    </row>
    <row r="114" spans="16:19" x14ac:dyDescent="0.2">
      <c r="Q114" s="323"/>
      <c r="R114" s="323"/>
      <c r="S114" s="323"/>
    </row>
    <row r="115" spans="16:19" x14ac:dyDescent="0.2">
      <c r="Q115" s="323"/>
      <c r="R115" s="323"/>
      <c r="S115" s="323"/>
    </row>
    <row r="116" spans="16:19" x14ac:dyDescent="0.2">
      <c r="Q116" s="323"/>
      <c r="R116" s="323"/>
      <c r="S116" s="323"/>
    </row>
    <row r="117" spans="16:19" x14ac:dyDescent="0.2">
      <c r="Q117" s="323"/>
      <c r="R117" s="323"/>
      <c r="S117" s="323"/>
    </row>
    <row r="118" spans="16:19" x14ac:dyDescent="0.2">
      <c r="Q118" s="323"/>
      <c r="R118" s="323"/>
      <c r="S118" s="323"/>
    </row>
    <row r="119" spans="16:19" x14ac:dyDescent="0.2">
      <c r="Q119" s="323"/>
      <c r="R119" s="323"/>
      <c r="S119" s="323"/>
    </row>
    <row r="120" spans="16:19" x14ac:dyDescent="0.2">
      <c r="Q120" s="323"/>
      <c r="R120" s="323"/>
      <c r="S120" s="323"/>
    </row>
    <row r="121" spans="16:19" x14ac:dyDescent="0.2">
      <c r="Q121" s="323"/>
      <c r="R121" s="323"/>
      <c r="S121" s="323"/>
    </row>
    <row r="122" spans="16:19" x14ac:dyDescent="0.2">
      <c r="Q122" s="323"/>
      <c r="R122" s="323"/>
      <c r="S122" s="323"/>
    </row>
    <row r="123" spans="16:19" x14ac:dyDescent="0.2">
      <c r="Q123" s="323"/>
      <c r="R123" s="323"/>
      <c r="S123" s="323"/>
    </row>
    <row r="124" spans="16:19" x14ac:dyDescent="0.2">
      <c r="Q124" s="323"/>
      <c r="R124" s="323"/>
      <c r="S124" s="323"/>
    </row>
    <row r="125" spans="16:19" x14ac:dyDescent="0.2">
      <c r="P125" s="323"/>
      <c r="Q125" s="323"/>
      <c r="R125" s="323"/>
      <c r="S125" s="323"/>
    </row>
    <row r="126" spans="16:19" x14ac:dyDescent="0.2">
      <c r="P126" s="323"/>
      <c r="Q126" s="323"/>
      <c r="R126" s="323"/>
      <c r="S126" s="323"/>
    </row>
    <row r="127" spans="16:19" x14ac:dyDescent="0.2">
      <c r="P127" s="323"/>
      <c r="Q127" s="323"/>
      <c r="R127" s="323"/>
      <c r="S127" s="323"/>
    </row>
    <row r="128" spans="16:19" x14ac:dyDescent="0.2">
      <c r="P128" s="323"/>
      <c r="Q128" s="323"/>
      <c r="R128" s="323"/>
      <c r="S128" s="323"/>
    </row>
    <row r="129" spans="16:19" x14ac:dyDescent="0.2">
      <c r="P129" s="323"/>
      <c r="Q129" s="323"/>
      <c r="R129" s="323"/>
      <c r="S129" s="323"/>
    </row>
    <row r="130" spans="16:19" x14ac:dyDescent="0.2">
      <c r="P130" s="323"/>
      <c r="Q130" s="323"/>
      <c r="R130" s="323"/>
      <c r="S130" s="323"/>
    </row>
    <row r="131" spans="16:19" x14ac:dyDescent="0.2">
      <c r="P131" s="323"/>
      <c r="Q131" s="323"/>
      <c r="R131" s="323"/>
      <c r="S131" s="323"/>
    </row>
    <row r="132" spans="16:19" x14ac:dyDescent="0.2">
      <c r="P132" s="323"/>
      <c r="Q132" s="323"/>
      <c r="R132" s="323"/>
      <c r="S132" s="323"/>
    </row>
    <row r="133" spans="16:19" x14ac:dyDescent="0.2">
      <c r="P133" s="323"/>
      <c r="Q133" s="323"/>
      <c r="R133" s="323"/>
      <c r="S133" s="323"/>
    </row>
    <row r="134" spans="16:19" x14ac:dyDescent="0.2">
      <c r="P134" s="323"/>
      <c r="Q134" s="323"/>
      <c r="R134" s="323"/>
      <c r="S134" s="323"/>
    </row>
    <row r="135" spans="16:19" x14ac:dyDescent="0.2">
      <c r="P135" s="323"/>
      <c r="Q135" s="323"/>
      <c r="R135" s="323"/>
      <c r="S135" s="323"/>
    </row>
    <row r="136" spans="16:19" x14ac:dyDescent="0.2">
      <c r="P136" s="323"/>
      <c r="Q136" s="323"/>
      <c r="R136" s="323"/>
      <c r="S136" s="323"/>
    </row>
    <row r="137" spans="16:19" x14ac:dyDescent="0.2">
      <c r="P137" s="323"/>
      <c r="Q137" s="323"/>
      <c r="R137" s="323"/>
      <c r="S137" s="323"/>
    </row>
    <row r="138" spans="16:19" x14ac:dyDescent="0.2">
      <c r="P138" s="323"/>
      <c r="Q138" s="323"/>
      <c r="R138" s="323"/>
      <c r="S138" s="323"/>
    </row>
    <row r="139" spans="16:19" x14ac:dyDescent="0.2">
      <c r="P139" s="323"/>
      <c r="Q139" s="323"/>
      <c r="R139" s="323"/>
      <c r="S139" s="323"/>
    </row>
    <row r="140" spans="16:19" x14ac:dyDescent="0.2">
      <c r="P140" s="323"/>
      <c r="Q140" s="323"/>
      <c r="R140" s="323"/>
      <c r="S140" s="323"/>
    </row>
    <row r="141" spans="16:19" x14ac:dyDescent="0.2">
      <c r="P141" s="323"/>
      <c r="Q141" s="323"/>
      <c r="R141" s="323"/>
      <c r="S141" s="323"/>
    </row>
    <row r="142" spans="16:19" x14ac:dyDescent="0.2">
      <c r="P142" s="323"/>
      <c r="Q142" s="323"/>
      <c r="R142" s="323"/>
      <c r="S142" s="323"/>
    </row>
    <row r="143" spans="16:19" x14ac:dyDescent="0.2">
      <c r="P143" s="323"/>
      <c r="Q143" s="323"/>
      <c r="R143" s="323"/>
      <c r="S143" s="323"/>
    </row>
    <row r="144" spans="16:19" x14ac:dyDescent="0.2">
      <c r="P144" s="323"/>
      <c r="Q144" s="323"/>
      <c r="R144" s="323"/>
      <c r="S144" s="323"/>
    </row>
    <row r="145" spans="16:19" x14ac:dyDescent="0.2">
      <c r="P145" s="323"/>
      <c r="Q145" s="323"/>
      <c r="R145" s="323"/>
      <c r="S145" s="323"/>
    </row>
    <row r="146" spans="16:19" x14ac:dyDescent="0.2">
      <c r="P146" s="323"/>
      <c r="Q146" s="323"/>
      <c r="R146" s="323"/>
      <c r="S146" s="323"/>
    </row>
    <row r="147" spans="16:19" x14ac:dyDescent="0.2">
      <c r="P147" s="323"/>
      <c r="Q147" s="323"/>
      <c r="R147" s="323"/>
      <c r="S147" s="323"/>
    </row>
    <row r="148" spans="16:19" x14ac:dyDescent="0.2">
      <c r="P148" s="323"/>
      <c r="Q148" s="323"/>
      <c r="R148" s="323"/>
      <c r="S148" s="323"/>
    </row>
    <row r="149" spans="16:19" x14ac:dyDescent="0.2">
      <c r="P149" s="323"/>
      <c r="Q149" s="323"/>
      <c r="R149" s="323"/>
      <c r="S149" s="323"/>
    </row>
    <row r="150" spans="16:19" x14ac:dyDescent="0.2">
      <c r="P150" s="323"/>
      <c r="Q150" s="323"/>
      <c r="R150" s="323"/>
      <c r="S150" s="323"/>
    </row>
    <row r="151" spans="16:19" x14ac:dyDescent="0.2">
      <c r="P151" s="323"/>
      <c r="Q151" s="323"/>
      <c r="R151" s="323"/>
      <c r="S151" s="323"/>
    </row>
    <row r="152" spans="16:19" x14ac:dyDescent="0.2">
      <c r="P152" s="323"/>
      <c r="Q152" s="323"/>
      <c r="R152" s="323"/>
      <c r="S152" s="323"/>
    </row>
    <row r="153" spans="16:19" x14ac:dyDescent="0.2">
      <c r="P153" s="323"/>
      <c r="Q153" s="323"/>
      <c r="R153" s="323"/>
      <c r="S153" s="323"/>
    </row>
    <row r="154" spans="16:19" x14ac:dyDescent="0.2">
      <c r="P154" s="323"/>
      <c r="Q154" s="323"/>
      <c r="R154" s="323"/>
      <c r="S154" s="323"/>
    </row>
    <row r="155" spans="16:19" x14ac:dyDescent="0.2">
      <c r="P155" s="323"/>
      <c r="Q155" s="323"/>
      <c r="R155" s="323"/>
      <c r="S155" s="323"/>
    </row>
    <row r="156" spans="16:19" x14ac:dyDescent="0.2">
      <c r="P156" s="323"/>
      <c r="Q156" s="323"/>
      <c r="R156" s="323"/>
      <c r="S156" s="323"/>
    </row>
    <row r="157" spans="16:19" x14ac:dyDescent="0.2">
      <c r="P157" s="323"/>
      <c r="Q157" s="323"/>
      <c r="R157" s="323"/>
      <c r="S157" s="323"/>
    </row>
    <row r="158" spans="16:19" x14ac:dyDescent="0.2">
      <c r="P158" s="323"/>
      <c r="Q158" s="323"/>
      <c r="R158" s="323"/>
      <c r="S158" s="323"/>
    </row>
    <row r="159" spans="16:19" x14ac:dyDescent="0.2">
      <c r="P159" s="323"/>
      <c r="Q159" s="323"/>
      <c r="R159" s="323"/>
      <c r="S159" s="323"/>
    </row>
    <row r="160" spans="16:19" x14ac:dyDescent="0.2">
      <c r="P160" s="323"/>
      <c r="Q160" s="323"/>
      <c r="R160" s="323"/>
      <c r="S160" s="323"/>
    </row>
    <row r="161" spans="16:19" x14ac:dyDescent="0.2">
      <c r="P161" s="323"/>
      <c r="Q161" s="323"/>
      <c r="R161" s="323"/>
      <c r="S161" s="323"/>
    </row>
    <row r="162" spans="16:19" x14ac:dyDescent="0.2">
      <c r="P162" s="323"/>
      <c r="Q162" s="323"/>
      <c r="R162" s="323"/>
      <c r="S162" s="323"/>
    </row>
    <row r="163" spans="16:19" x14ac:dyDescent="0.2">
      <c r="P163" s="323"/>
      <c r="Q163" s="323"/>
      <c r="R163" s="323"/>
      <c r="S163" s="323"/>
    </row>
    <row r="164" spans="16:19" x14ac:dyDescent="0.2">
      <c r="P164" s="323"/>
      <c r="Q164" s="323"/>
      <c r="R164" s="323"/>
      <c r="S164" s="323"/>
    </row>
    <row r="165" spans="16:19" x14ac:dyDescent="0.2">
      <c r="P165" s="323"/>
      <c r="Q165" s="323"/>
      <c r="R165" s="323"/>
      <c r="S165" s="323"/>
    </row>
    <row r="166" spans="16:19" x14ac:dyDescent="0.2">
      <c r="P166" s="323"/>
      <c r="Q166" s="323"/>
      <c r="R166" s="323"/>
      <c r="S166" s="323"/>
    </row>
    <row r="167" spans="16:19" x14ac:dyDescent="0.2">
      <c r="P167" s="323"/>
      <c r="Q167" s="323"/>
      <c r="R167" s="323"/>
      <c r="S167" s="323"/>
    </row>
    <row r="168" spans="16:19" x14ac:dyDescent="0.2">
      <c r="P168" s="323"/>
      <c r="Q168" s="323"/>
      <c r="R168" s="323"/>
      <c r="S168" s="323"/>
    </row>
    <row r="169" spans="16:19" x14ac:dyDescent="0.2">
      <c r="P169" s="323"/>
      <c r="Q169" s="323"/>
      <c r="R169" s="323"/>
      <c r="S169" s="323"/>
    </row>
    <row r="170" spans="16:19" x14ac:dyDescent="0.2">
      <c r="P170" s="323"/>
      <c r="Q170" s="323"/>
      <c r="R170" s="323"/>
      <c r="S170" s="323"/>
    </row>
    <row r="171" spans="16:19" x14ac:dyDescent="0.2">
      <c r="P171" s="323"/>
      <c r="Q171" s="323"/>
      <c r="R171" s="323"/>
      <c r="S171" s="323"/>
    </row>
    <row r="172" spans="16:19" x14ac:dyDescent="0.2">
      <c r="P172" s="323"/>
      <c r="Q172" s="323"/>
      <c r="R172" s="323"/>
      <c r="S172" s="323"/>
    </row>
    <row r="173" spans="16:19" x14ac:dyDescent="0.2">
      <c r="P173" s="323"/>
      <c r="Q173" s="323"/>
      <c r="R173" s="323"/>
      <c r="S173" s="323"/>
    </row>
    <row r="174" spans="16:19" x14ac:dyDescent="0.2">
      <c r="P174" s="323"/>
      <c r="Q174" s="323"/>
      <c r="R174" s="323"/>
      <c r="S174" s="323"/>
    </row>
    <row r="175" spans="16:19" x14ac:dyDescent="0.2">
      <c r="P175" s="323"/>
      <c r="Q175" s="323"/>
      <c r="R175" s="323"/>
      <c r="S175" s="323"/>
    </row>
    <row r="176" spans="16:19" x14ac:dyDescent="0.2">
      <c r="P176" s="323"/>
      <c r="Q176" s="323"/>
      <c r="R176" s="323"/>
      <c r="S176" s="323"/>
    </row>
    <row r="177" spans="16:19" x14ac:dyDescent="0.2">
      <c r="P177" s="323"/>
      <c r="Q177" s="323"/>
      <c r="R177" s="323"/>
      <c r="S177" s="323"/>
    </row>
    <row r="178" spans="16:19" x14ac:dyDescent="0.2">
      <c r="P178" s="323"/>
      <c r="Q178" s="323"/>
      <c r="R178" s="323"/>
      <c r="S178" s="323"/>
    </row>
    <row r="179" spans="16:19" x14ac:dyDescent="0.2">
      <c r="P179" s="323"/>
      <c r="Q179" s="323"/>
      <c r="R179" s="323"/>
      <c r="S179" s="323"/>
    </row>
    <row r="180" spans="16:19" x14ac:dyDescent="0.2">
      <c r="P180" s="323"/>
      <c r="Q180" s="323"/>
      <c r="R180" s="323"/>
      <c r="S180" s="323"/>
    </row>
    <row r="181" spans="16:19" x14ac:dyDescent="0.2">
      <c r="P181" s="323"/>
      <c r="Q181" s="323"/>
      <c r="R181" s="323"/>
      <c r="S181" s="323"/>
    </row>
    <row r="182" spans="16:19" x14ac:dyDescent="0.2">
      <c r="P182" s="323"/>
      <c r="Q182" s="323"/>
      <c r="R182" s="323"/>
      <c r="S182" s="323"/>
    </row>
    <row r="183" spans="16:19" x14ac:dyDescent="0.2">
      <c r="P183" s="323"/>
      <c r="Q183" s="323"/>
      <c r="R183" s="323"/>
      <c r="S183" s="323"/>
    </row>
    <row r="184" spans="16:19" x14ac:dyDescent="0.2">
      <c r="P184" s="323"/>
      <c r="Q184" s="323"/>
      <c r="R184" s="323"/>
      <c r="S184" s="323"/>
    </row>
    <row r="185" spans="16:19" x14ac:dyDescent="0.2">
      <c r="P185" s="323"/>
      <c r="Q185" s="323"/>
      <c r="R185" s="323"/>
      <c r="S185" s="323"/>
    </row>
    <row r="186" spans="16:19" x14ac:dyDescent="0.2">
      <c r="P186" s="323"/>
      <c r="Q186" s="323"/>
      <c r="R186" s="323"/>
      <c r="S186" s="323"/>
    </row>
    <row r="187" spans="16:19" x14ac:dyDescent="0.2">
      <c r="P187" s="323"/>
      <c r="Q187" s="323"/>
      <c r="R187" s="323"/>
      <c r="S187" s="323"/>
    </row>
    <row r="188" spans="16:19" x14ac:dyDescent="0.2">
      <c r="P188" s="323"/>
      <c r="Q188" s="323"/>
      <c r="R188" s="323"/>
      <c r="S188" s="323"/>
    </row>
    <row r="189" spans="16:19" x14ac:dyDescent="0.2">
      <c r="P189" s="323"/>
      <c r="Q189" s="323"/>
      <c r="R189" s="323"/>
      <c r="S189" s="323"/>
    </row>
    <row r="190" spans="16:19" x14ac:dyDescent="0.2">
      <c r="P190" s="323"/>
      <c r="Q190" s="323"/>
      <c r="R190" s="323"/>
      <c r="S190" s="323"/>
    </row>
    <row r="191" spans="16:19" x14ac:dyDescent="0.2">
      <c r="P191" s="323"/>
      <c r="Q191" s="323"/>
      <c r="R191" s="323"/>
      <c r="S191" s="323"/>
    </row>
    <row r="192" spans="16:19" x14ac:dyDescent="0.2">
      <c r="P192" s="323"/>
      <c r="Q192" s="323"/>
      <c r="R192" s="323"/>
      <c r="S192" s="323"/>
    </row>
    <row r="193" spans="16:19" x14ac:dyDescent="0.2">
      <c r="P193" s="323"/>
      <c r="Q193" s="323"/>
      <c r="R193" s="323"/>
      <c r="S193" s="323"/>
    </row>
    <row r="194" spans="16:19" x14ac:dyDescent="0.2">
      <c r="P194" s="323"/>
      <c r="Q194" s="323"/>
      <c r="R194" s="323"/>
      <c r="S194" s="323"/>
    </row>
    <row r="195" spans="16:19" x14ac:dyDescent="0.2">
      <c r="P195" s="323"/>
      <c r="Q195" s="323"/>
      <c r="R195" s="323"/>
      <c r="S195" s="323"/>
    </row>
    <row r="196" spans="16:19" x14ac:dyDescent="0.2">
      <c r="P196" s="323"/>
      <c r="Q196" s="323"/>
      <c r="R196" s="323"/>
      <c r="S196" s="323"/>
    </row>
    <row r="197" spans="16:19" x14ac:dyDescent="0.2">
      <c r="P197" s="323"/>
      <c r="Q197" s="323"/>
      <c r="R197" s="323"/>
      <c r="S197" s="323"/>
    </row>
    <row r="198" spans="16:19" x14ac:dyDescent="0.2">
      <c r="P198" s="323"/>
      <c r="Q198" s="323"/>
      <c r="R198" s="323"/>
      <c r="S198" s="323"/>
    </row>
    <row r="199" spans="16:19" x14ac:dyDescent="0.2">
      <c r="P199" s="323"/>
      <c r="Q199" s="323"/>
      <c r="R199" s="323"/>
      <c r="S199" s="323"/>
    </row>
    <row r="200" spans="16:19" x14ac:dyDescent="0.2">
      <c r="P200" s="323"/>
      <c r="Q200" s="323"/>
      <c r="R200" s="323"/>
      <c r="S200" s="323"/>
    </row>
    <row r="201" spans="16:19" x14ac:dyDescent="0.2">
      <c r="P201" s="323"/>
      <c r="Q201" s="323"/>
      <c r="R201" s="323"/>
      <c r="S201" s="323"/>
    </row>
    <row r="202" spans="16:19" x14ac:dyDescent="0.2">
      <c r="P202" s="323"/>
      <c r="Q202" s="323"/>
      <c r="R202" s="323"/>
      <c r="S202" s="323"/>
    </row>
    <row r="203" spans="16:19" x14ac:dyDescent="0.2">
      <c r="P203" s="323"/>
      <c r="Q203" s="323"/>
      <c r="R203" s="323"/>
      <c r="S203" s="323"/>
    </row>
    <row r="204" spans="16:19" x14ac:dyDescent="0.2">
      <c r="P204" s="323"/>
      <c r="Q204" s="323"/>
      <c r="R204" s="323"/>
      <c r="S204" s="323"/>
    </row>
    <row r="205" spans="16:19" x14ac:dyDescent="0.2">
      <c r="P205" s="323"/>
      <c r="Q205" s="323"/>
      <c r="R205" s="323"/>
      <c r="S205" s="323"/>
    </row>
    <row r="206" spans="16:19" x14ac:dyDescent="0.2">
      <c r="P206" s="323"/>
      <c r="Q206" s="323"/>
      <c r="R206" s="323"/>
      <c r="S206" s="323"/>
    </row>
    <row r="207" spans="16:19" x14ac:dyDescent="0.2">
      <c r="P207" s="323"/>
      <c r="Q207" s="323"/>
      <c r="R207" s="323"/>
      <c r="S207" s="323"/>
    </row>
    <row r="208" spans="16:19" x14ac:dyDescent="0.2">
      <c r="P208" s="323"/>
      <c r="Q208" s="323"/>
      <c r="R208" s="323"/>
      <c r="S208" s="323"/>
    </row>
    <row r="209" spans="16:19" x14ac:dyDescent="0.2">
      <c r="P209" s="323"/>
      <c r="Q209" s="323"/>
      <c r="R209" s="323"/>
      <c r="S209" s="323"/>
    </row>
    <row r="210" spans="16:19" x14ac:dyDescent="0.2">
      <c r="P210" s="323"/>
      <c r="Q210" s="323"/>
      <c r="R210" s="323"/>
      <c r="S210" s="323"/>
    </row>
    <row r="211" spans="16:19" x14ac:dyDescent="0.2">
      <c r="P211" s="323"/>
      <c r="Q211" s="323"/>
      <c r="R211" s="323"/>
      <c r="S211" s="323"/>
    </row>
    <row r="212" spans="16:19" x14ac:dyDescent="0.2">
      <c r="P212" s="323"/>
      <c r="Q212" s="323"/>
      <c r="R212" s="323"/>
      <c r="S212" s="323"/>
    </row>
    <row r="213" spans="16:19" x14ac:dyDescent="0.2">
      <c r="P213" s="323"/>
      <c r="Q213" s="323"/>
      <c r="R213" s="323"/>
      <c r="S213" s="323"/>
    </row>
    <row r="214" spans="16:19" x14ac:dyDescent="0.2">
      <c r="P214" s="323"/>
      <c r="Q214" s="323"/>
      <c r="R214" s="323"/>
      <c r="S214" s="323"/>
    </row>
    <row r="215" spans="16:19" x14ac:dyDescent="0.2">
      <c r="P215" s="323"/>
      <c r="Q215" s="323"/>
      <c r="R215" s="323"/>
      <c r="S215" s="323"/>
    </row>
    <row r="216" spans="16:19" x14ac:dyDescent="0.2">
      <c r="P216" s="323"/>
      <c r="Q216" s="323"/>
      <c r="R216" s="323"/>
      <c r="S216" s="323"/>
    </row>
    <row r="217" spans="16:19" x14ac:dyDescent="0.2">
      <c r="P217" s="323"/>
      <c r="Q217" s="323"/>
      <c r="R217" s="323"/>
      <c r="S217" s="323"/>
    </row>
    <row r="218" spans="16:19" x14ac:dyDescent="0.2">
      <c r="P218" s="323"/>
      <c r="Q218" s="323"/>
      <c r="R218" s="323"/>
      <c r="S218" s="323"/>
    </row>
    <row r="219" spans="16:19" x14ac:dyDescent="0.2">
      <c r="P219" s="323"/>
      <c r="Q219" s="323"/>
      <c r="R219" s="323"/>
      <c r="S219" s="323"/>
    </row>
    <row r="220" spans="16:19" x14ac:dyDescent="0.2">
      <c r="P220" s="323"/>
      <c r="Q220" s="323"/>
      <c r="R220" s="323"/>
      <c r="S220" s="323"/>
    </row>
    <row r="221" spans="16:19" x14ac:dyDescent="0.2">
      <c r="P221" s="323"/>
      <c r="Q221" s="323"/>
      <c r="R221" s="323"/>
      <c r="S221" s="323"/>
    </row>
    <row r="222" spans="16:19" x14ac:dyDescent="0.2">
      <c r="P222" s="323"/>
      <c r="Q222" s="323"/>
      <c r="R222" s="323"/>
      <c r="S222" s="323"/>
    </row>
    <row r="223" spans="16:19" x14ac:dyDescent="0.2">
      <c r="P223" s="323"/>
      <c r="Q223" s="323"/>
      <c r="R223" s="323"/>
      <c r="S223" s="323"/>
    </row>
    <row r="224" spans="16:19" x14ac:dyDescent="0.2">
      <c r="P224" s="323"/>
      <c r="Q224" s="323"/>
      <c r="R224" s="323"/>
      <c r="S224" s="323"/>
    </row>
    <row r="225" spans="16:19" x14ac:dyDescent="0.2">
      <c r="P225" s="323"/>
      <c r="Q225" s="323"/>
      <c r="R225" s="323"/>
      <c r="S225" s="323"/>
    </row>
    <row r="226" spans="16:19" x14ac:dyDescent="0.2">
      <c r="P226" s="323"/>
      <c r="Q226" s="323"/>
      <c r="R226" s="323"/>
      <c r="S226" s="323"/>
    </row>
    <row r="227" spans="16:19" x14ac:dyDescent="0.2">
      <c r="P227" s="323"/>
      <c r="Q227" s="323"/>
      <c r="R227" s="323"/>
      <c r="S227" s="323"/>
    </row>
    <row r="228" spans="16:19" x14ac:dyDescent="0.2">
      <c r="P228" s="323"/>
      <c r="Q228" s="323"/>
      <c r="R228" s="323"/>
      <c r="S228" s="323"/>
    </row>
    <row r="229" spans="16:19" x14ac:dyDescent="0.2">
      <c r="P229" s="323"/>
      <c r="Q229" s="323"/>
      <c r="R229" s="323"/>
      <c r="S229" s="323"/>
    </row>
    <row r="230" spans="16:19" x14ac:dyDescent="0.2">
      <c r="P230" s="323"/>
      <c r="Q230" s="323"/>
      <c r="R230" s="323"/>
      <c r="S230" s="323"/>
    </row>
    <row r="231" spans="16:19" x14ac:dyDescent="0.2">
      <c r="P231" s="323"/>
      <c r="Q231" s="323"/>
      <c r="R231" s="323"/>
      <c r="S231" s="323"/>
    </row>
    <row r="232" spans="16:19" x14ac:dyDescent="0.2">
      <c r="P232" s="323"/>
      <c r="Q232" s="323"/>
      <c r="R232" s="323"/>
      <c r="S232" s="323"/>
    </row>
    <row r="233" spans="16:19" x14ac:dyDescent="0.2">
      <c r="P233" s="323"/>
      <c r="Q233" s="323"/>
      <c r="R233" s="323"/>
      <c r="S233" s="323"/>
    </row>
    <row r="234" spans="16:19" x14ac:dyDescent="0.2">
      <c r="P234" s="323"/>
      <c r="Q234" s="323"/>
      <c r="R234" s="323"/>
      <c r="S234" s="323"/>
    </row>
    <row r="235" spans="16:19" x14ac:dyDescent="0.2">
      <c r="P235" s="323"/>
      <c r="Q235" s="323"/>
      <c r="R235" s="323"/>
      <c r="S235" s="323"/>
    </row>
    <row r="236" spans="16:19" x14ac:dyDescent="0.2">
      <c r="P236" s="323"/>
      <c r="Q236" s="323"/>
      <c r="R236" s="323"/>
      <c r="S236" s="323"/>
    </row>
    <row r="237" spans="16:19" x14ac:dyDescent="0.2">
      <c r="P237" s="323"/>
      <c r="Q237" s="323"/>
      <c r="R237" s="323"/>
      <c r="S237" s="323"/>
    </row>
    <row r="238" spans="16:19" x14ac:dyDescent="0.2">
      <c r="P238" s="323"/>
      <c r="Q238" s="323"/>
      <c r="R238" s="323"/>
      <c r="S238" s="323"/>
    </row>
    <row r="239" spans="16:19" x14ac:dyDescent="0.2">
      <c r="P239" s="323"/>
      <c r="Q239" s="323"/>
      <c r="R239" s="323"/>
      <c r="S239" s="323"/>
    </row>
    <row r="240" spans="16:19" x14ac:dyDescent="0.2">
      <c r="P240" s="323"/>
      <c r="Q240" s="323"/>
      <c r="R240" s="323"/>
      <c r="S240" s="323"/>
    </row>
    <row r="241" spans="16:19" x14ac:dyDescent="0.2">
      <c r="P241" s="323"/>
      <c r="Q241" s="323"/>
      <c r="R241" s="323"/>
      <c r="S241" s="323"/>
    </row>
    <row r="242" spans="16:19" x14ac:dyDescent="0.2">
      <c r="P242" s="323"/>
      <c r="Q242" s="323"/>
      <c r="R242" s="323"/>
      <c r="S242" s="323"/>
    </row>
    <row r="243" spans="16:19" x14ac:dyDescent="0.2">
      <c r="P243" s="323"/>
      <c r="Q243" s="323"/>
      <c r="R243" s="323"/>
      <c r="S243" s="323"/>
    </row>
    <row r="244" spans="16:19" x14ac:dyDescent="0.2">
      <c r="P244" s="323"/>
      <c r="Q244" s="323"/>
      <c r="R244" s="323"/>
      <c r="S244" s="323"/>
    </row>
    <row r="245" spans="16:19" x14ac:dyDescent="0.2">
      <c r="P245" s="323"/>
      <c r="Q245" s="323"/>
      <c r="R245" s="323"/>
      <c r="S245" s="323"/>
    </row>
    <row r="246" spans="16:19" x14ac:dyDescent="0.2">
      <c r="P246" s="323"/>
      <c r="Q246" s="323"/>
      <c r="R246" s="323"/>
      <c r="S246" s="323"/>
    </row>
    <row r="247" spans="16:19" x14ac:dyDescent="0.2">
      <c r="P247" s="323"/>
      <c r="Q247" s="323"/>
      <c r="R247" s="323"/>
      <c r="S247" s="323"/>
    </row>
    <row r="248" spans="16:19" x14ac:dyDescent="0.2">
      <c r="P248" s="323"/>
      <c r="Q248" s="323"/>
      <c r="R248" s="323"/>
      <c r="S248" s="323"/>
    </row>
    <row r="249" spans="16:19" x14ac:dyDescent="0.2">
      <c r="P249" s="323"/>
      <c r="Q249" s="323"/>
      <c r="R249" s="323"/>
      <c r="S249" s="323"/>
    </row>
    <row r="250" spans="16:19" x14ac:dyDescent="0.2">
      <c r="P250" s="323"/>
      <c r="Q250" s="323"/>
      <c r="R250" s="323"/>
      <c r="S250" s="323"/>
    </row>
    <row r="251" spans="16:19" x14ac:dyDescent="0.2">
      <c r="P251" s="323"/>
      <c r="Q251" s="323"/>
      <c r="R251" s="323"/>
      <c r="S251" s="323"/>
    </row>
    <row r="252" spans="16:19" x14ac:dyDescent="0.2">
      <c r="P252" s="323"/>
      <c r="Q252" s="323"/>
      <c r="R252" s="323"/>
      <c r="S252" s="323"/>
    </row>
    <row r="253" spans="16:19" x14ac:dyDescent="0.2">
      <c r="P253" s="323"/>
      <c r="Q253" s="323"/>
      <c r="R253" s="323"/>
      <c r="S253" s="323"/>
    </row>
    <row r="254" spans="16:19" x14ac:dyDescent="0.2">
      <c r="P254" s="323"/>
      <c r="Q254" s="323"/>
      <c r="R254" s="323"/>
      <c r="S254" s="323"/>
    </row>
    <row r="255" spans="16:19" x14ac:dyDescent="0.2">
      <c r="P255" s="323"/>
      <c r="Q255" s="323"/>
      <c r="R255" s="323"/>
      <c r="S255" s="323"/>
    </row>
    <row r="256" spans="16:19" x14ac:dyDescent="0.2">
      <c r="P256" s="323"/>
      <c r="Q256" s="323"/>
      <c r="R256" s="323"/>
      <c r="S256" s="323"/>
    </row>
    <row r="257" spans="16:19" x14ac:dyDescent="0.2">
      <c r="P257" s="323"/>
      <c r="Q257" s="323"/>
      <c r="R257" s="323"/>
      <c r="S257" s="323"/>
    </row>
    <row r="258" spans="16:19" x14ac:dyDescent="0.2">
      <c r="P258" s="323"/>
      <c r="Q258" s="323"/>
      <c r="R258" s="323"/>
      <c r="S258" s="323"/>
    </row>
    <row r="259" spans="16:19" x14ac:dyDescent="0.2">
      <c r="P259" s="323"/>
      <c r="Q259" s="323"/>
      <c r="R259" s="323"/>
      <c r="S259" s="323"/>
    </row>
    <row r="260" spans="16:19" x14ac:dyDescent="0.2">
      <c r="P260" s="323"/>
      <c r="Q260" s="323"/>
      <c r="R260" s="323"/>
      <c r="S260" s="323"/>
    </row>
    <row r="261" spans="16:19" x14ac:dyDescent="0.2">
      <c r="P261" s="323"/>
      <c r="Q261" s="323"/>
      <c r="R261" s="323"/>
      <c r="S261" s="323"/>
    </row>
    <row r="262" spans="16:19" x14ac:dyDescent="0.2">
      <c r="P262" s="323"/>
      <c r="Q262" s="323"/>
      <c r="R262" s="323"/>
      <c r="S262" s="323"/>
    </row>
    <row r="263" spans="16:19" x14ac:dyDescent="0.2">
      <c r="P263" s="323"/>
      <c r="Q263" s="323"/>
      <c r="R263" s="323"/>
      <c r="S263" s="323"/>
    </row>
    <row r="264" spans="16:19" x14ac:dyDescent="0.2">
      <c r="P264" s="323"/>
      <c r="Q264" s="323"/>
      <c r="R264" s="323"/>
      <c r="S264" s="323"/>
    </row>
    <row r="265" spans="16:19" x14ac:dyDescent="0.2">
      <c r="P265" s="323"/>
      <c r="Q265" s="323"/>
      <c r="R265" s="323"/>
      <c r="S265" s="323"/>
    </row>
    <row r="266" spans="16:19" x14ac:dyDescent="0.2">
      <c r="P266" s="323"/>
      <c r="Q266" s="323"/>
      <c r="R266" s="323"/>
      <c r="S266" s="323"/>
    </row>
    <row r="267" spans="16:19" x14ac:dyDescent="0.2">
      <c r="P267" s="323"/>
      <c r="Q267" s="323"/>
      <c r="R267" s="323"/>
      <c r="S267" s="323"/>
    </row>
    <row r="268" spans="16:19" x14ac:dyDescent="0.2">
      <c r="P268" s="323"/>
      <c r="Q268" s="323"/>
      <c r="R268" s="323"/>
      <c r="S268" s="323"/>
    </row>
    <row r="269" spans="16:19" x14ac:dyDescent="0.2">
      <c r="P269" s="323"/>
      <c r="Q269" s="323"/>
      <c r="R269" s="323"/>
      <c r="S269" s="323"/>
    </row>
    <row r="270" spans="16:19" x14ac:dyDescent="0.2">
      <c r="P270" s="323"/>
      <c r="Q270" s="323"/>
      <c r="R270" s="323"/>
      <c r="S270" s="323"/>
    </row>
    <row r="271" spans="16:19" x14ac:dyDescent="0.2">
      <c r="P271" s="323"/>
      <c r="Q271" s="323"/>
      <c r="R271" s="323"/>
      <c r="S271" s="323"/>
    </row>
    <row r="272" spans="16:19" x14ac:dyDescent="0.2">
      <c r="P272" s="323"/>
      <c r="Q272" s="323"/>
      <c r="R272" s="323"/>
      <c r="S272" s="323"/>
    </row>
    <row r="273" spans="16:19" x14ac:dyDescent="0.2">
      <c r="P273" s="323"/>
      <c r="Q273" s="323"/>
      <c r="R273" s="323"/>
      <c r="S273" s="323"/>
    </row>
    <row r="274" spans="16:19" x14ac:dyDescent="0.2">
      <c r="P274" s="323"/>
      <c r="Q274" s="323"/>
      <c r="R274" s="323"/>
      <c r="S274" s="323"/>
    </row>
    <row r="275" spans="16:19" x14ac:dyDescent="0.2">
      <c r="P275" s="323"/>
      <c r="Q275" s="323"/>
      <c r="R275" s="323"/>
      <c r="S275" s="323"/>
    </row>
    <row r="276" spans="16:19" x14ac:dyDescent="0.2">
      <c r="P276" s="323"/>
      <c r="Q276" s="323"/>
      <c r="R276" s="323"/>
      <c r="S276" s="323"/>
    </row>
    <row r="277" spans="16:19" x14ac:dyDescent="0.2">
      <c r="P277" s="323"/>
      <c r="Q277" s="323"/>
      <c r="R277" s="323"/>
      <c r="S277" s="323"/>
    </row>
    <row r="278" spans="16:19" x14ac:dyDescent="0.2">
      <c r="P278" s="323"/>
      <c r="Q278" s="323"/>
      <c r="R278" s="323"/>
      <c r="S278" s="323"/>
    </row>
    <row r="279" spans="16:19" x14ac:dyDescent="0.2">
      <c r="P279" s="323"/>
      <c r="Q279" s="323"/>
      <c r="R279" s="323"/>
      <c r="S279" s="323"/>
    </row>
    <row r="280" spans="16:19" x14ac:dyDescent="0.2">
      <c r="P280" s="323"/>
      <c r="Q280" s="323"/>
      <c r="R280" s="323"/>
      <c r="S280" s="323"/>
    </row>
    <row r="281" spans="16:19" x14ac:dyDescent="0.2">
      <c r="P281" s="323"/>
      <c r="Q281" s="323"/>
      <c r="R281" s="323"/>
      <c r="S281" s="323"/>
    </row>
    <row r="282" spans="16:19" x14ac:dyDescent="0.2">
      <c r="P282" s="323"/>
      <c r="Q282" s="323"/>
      <c r="R282" s="323"/>
      <c r="S282" s="323"/>
    </row>
    <row r="283" spans="16:19" x14ac:dyDescent="0.2">
      <c r="P283" s="323"/>
      <c r="Q283" s="323"/>
      <c r="R283" s="323"/>
      <c r="S283" s="323"/>
    </row>
    <row r="284" spans="16:19" x14ac:dyDescent="0.2">
      <c r="P284" s="323"/>
      <c r="Q284" s="323"/>
      <c r="R284" s="323"/>
      <c r="S284" s="323"/>
    </row>
    <row r="285" spans="16:19" x14ac:dyDescent="0.2">
      <c r="P285" s="323"/>
      <c r="Q285" s="323"/>
      <c r="R285" s="323"/>
      <c r="S285" s="323"/>
    </row>
    <row r="286" spans="16:19" x14ac:dyDescent="0.2">
      <c r="P286" s="323"/>
      <c r="Q286" s="323"/>
      <c r="R286" s="323"/>
      <c r="S286" s="323"/>
    </row>
    <row r="287" spans="16:19" x14ac:dyDescent="0.2">
      <c r="P287" s="323"/>
      <c r="Q287" s="323"/>
      <c r="R287" s="323"/>
      <c r="S287" s="323"/>
    </row>
    <row r="288" spans="16:19" x14ac:dyDescent="0.2">
      <c r="P288" s="323"/>
      <c r="Q288" s="323"/>
      <c r="R288" s="323"/>
      <c r="S288" s="323"/>
    </row>
    <row r="289" spans="16:19" x14ac:dyDescent="0.2">
      <c r="P289" s="323"/>
      <c r="Q289" s="323"/>
      <c r="R289" s="323"/>
      <c r="S289" s="323"/>
    </row>
    <row r="290" spans="16:19" x14ac:dyDescent="0.2">
      <c r="P290" s="323"/>
      <c r="Q290" s="323"/>
      <c r="R290" s="323"/>
      <c r="S290" s="323"/>
    </row>
    <row r="291" spans="16:19" x14ac:dyDescent="0.2">
      <c r="P291" s="323"/>
      <c r="Q291" s="323"/>
      <c r="R291" s="323"/>
      <c r="S291" s="323"/>
    </row>
    <row r="292" spans="16:19" x14ac:dyDescent="0.2">
      <c r="P292" s="323"/>
      <c r="Q292" s="323"/>
      <c r="R292" s="323"/>
      <c r="S292" s="323"/>
    </row>
    <row r="293" spans="16:19" x14ac:dyDescent="0.2">
      <c r="P293" s="323"/>
      <c r="Q293" s="323"/>
      <c r="R293" s="323"/>
      <c r="S293" s="323"/>
    </row>
    <row r="294" spans="16:19" x14ac:dyDescent="0.2">
      <c r="P294" s="323"/>
      <c r="Q294" s="323"/>
      <c r="R294" s="323"/>
      <c r="S294" s="323"/>
    </row>
    <row r="295" spans="16:19" x14ac:dyDescent="0.2">
      <c r="P295" s="323"/>
      <c r="Q295" s="323"/>
      <c r="R295" s="323"/>
      <c r="S295" s="323"/>
    </row>
    <row r="296" spans="16:19" x14ac:dyDescent="0.2">
      <c r="P296" s="323"/>
      <c r="Q296" s="323"/>
      <c r="R296" s="323"/>
      <c r="S296" s="323"/>
    </row>
    <row r="297" spans="16:19" x14ac:dyDescent="0.2">
      <c r="P297" s="323"/>
      <c r="Q297" s="323"/>
      <c r="R297" s="323"/>
      <c r="S297" s="323"/>
    </row>
    <row r="298" spans="16:19" x14ac:dyDescent="0.2">
      <c r="P298" s="323"/>
      <c r="Q298" s="323"/>
      <c r="R298" s="323"/>
      <c r="S298" s="323"/>
    </row>
    <row r="299" spans="16:19" x14ac:dyDescent="0.2">
      <c r="P299" s="323"/>
      <c r="Q299" s="323"/>
      <c r="R299" s="323"/>
      <c r="S299" s="323"/>
    </row>
    <row r="300" spans="16:19" x14ac:dyDescent="0.2">
      <c r="P300" s="323"/>
      <c r="Q300" s="323"/>
      <c r="R300" s="323"/>
      <c r="S300" s="323"/>
    </row>
    <row r="301" spans="16:19" x14ac:dyDescent="0.2">
      <c r="P301" s="323"/>
      <c r="Q301" s="323"/>
      <c r="R301" s="323"/>
      <c r="S301" s="323"/>
    </row>
    <row r="302" spans="16:19" x14ac:dyDescent="0.2">
      <c r="P302" s="323"/>
      <c r="Q302" s="323"/>
      <c r="R302" s="323"/>
      <c r="S302" s="323"/>
    </row>
    <row r="303" spans="16:19" x14ac:dyDescent="0.2">
      <c r="P303" s="323"/>
      <c r="Q303" s="323"/>
      <c r="R303" s="323"/>
      <c r="S303" s="323"/>
    </row>
    <row r="304" spans="16:19" x14ac:dyDescent="0.2">
      <c r="P304" s="323"/>
      <c r="Q304" s="323"/>
      <c r="R304" s="323"/>
      <c r="S304" s="323"/>
    </row>
    <row r="305" spans="16:19" x14ac:dyDescent="0.2">
      <c r="P305" s="323"/>
      <c r="Q305" s="323"/>
      <c r="R305" s="323"/>
      <c r="S305" s="323"/>
    </row>
    <row r="306" spans="16:19" x14ac:dyDescent="0.2">
      <c r="P306" s="323"/>
      <c r="Q306" s="323"/>
      <c r="R306" s="323"/>
      <c r="S306" s="323"/>
    </row>
    <row r="307" spans="16:19" x14ac:dyDescent="0.2">
      <c r="P307" s="323"/>
      <c r="Q307" s="323"/>
      <c r="R307" s="323"/>
      <c r="S307" s="323"/>
    </row>
    <row r="308" spans="16:19" x14ac:dyDescent="0.2">
      <c r="P308" s="323"/>
      <c r="Q308" s="323"/>
      <c r="R308" s="323"/>
      <c r="S308" s="323"/>
    </row>
    <row r="309" spans="16:19" x14ac:dyDescent="0.2">
      <c r="P309" s="323"/>
      <c r="Q309" s="323"/>
      <c r="R309" s="323"/>
      <c r="S309" s="323"/>
    </row>
    <row r="310" spans="16:19" x14ac:dyDescent="0.2">
      <c r="P310" s="323"/>
      <c r="Q310" s="323"/>
      <c r="R310" s="323"/>
      <c r="S310" s="323"/>
    </row>
    <row r="311" spans="16:19" x14ac:dyDescent="0.2">
      <c r="P311" s="323"/>
      <c r="Q311" s="323"/>
      <c r="R311" s="323"/>
      <c r="S311" s="323"/>
    </row>
    <row r="312" spans="16:19" x14ac:dyDescent="0.2">
      <c r="P312" s="323"/>
      <c r="Q312" s="323"/>
      <c r="R312" s="323"/>
      <c r="S312" s="323"/>
    </row>
    <row r="313" spans="16:19" x14ac:dyDescent="0.2">
      <c r="P313" s="323"/>
      <c r="Q313" s="323"/>
      <c r="R313" s="323"/>
      <c r="S313" s="323"/>
    </row>
    <row r="314" spans="16:19" x14ac:dyDescent="0.2">
      <c r="P314" s="323"/>
      <c r="Q314" s="323"/>
      <c r="R314" s="323"/>
      <c r="S314" s="323"/>
    </row>
    <row r="315" spans="16:19" x14ac:dyDescent="0.2">
      <c r="P315" s="323"/>
      <c r="Q315" s="323"/>
      <c r="R315" s="323"/>
      <c r="S315" s="323"/>
    </row>
    <row r="316" spans="16:19" x14ac:dyDescent="0.2">
      <c r="P316" s="323"/>
      <c r="Q316" s="323"/>
      <c r="R316" s="323"/>
      <c r="S316" s="323"/>
    </row>
    <row r="317" spans="16:19" x14ac:dyDescent="0.2">
      <c r="P317" s="323"/>
      <c r="Q317" s="323"/>
      <c r="R317" s="323"/>
      <c r="S317" s="323"/>
    </row>
    <row r="318" spans="16:19" x14ac:dyDescent="0.2">
      <c r="P318" s="323"/>
      <c r="Q318" s="323"/>
      <c r="R318" s="323"/>
      <c r="S318" s="323"/>
    </row>
    <row r="319" spans="16:19" x14ac:dyDescent="0.2">
      <c r="P319" s="323"/>
      <c r="Q319" s="323"/>
      <c r="R319" s="323"/>
      <c r="S319" s="323"/>
    </row>
    <row r="320" spans="16:19" x14ac:dyDescent="0.2">
      <c r="P320" s="323"/>
      <c r="Q320" s="323"/>
      <c r="R320" s="323"/>
      <c r="S320" s="323"/>
    </row>
    <row r="321" spans="16:19" x14ac:dyDescent="0.2">
      <c r="P321" s="323"/>
      <c r="Q321" s="323"/>
      <c r="R321" s="323"/>
      <c r="S321" s="323"/>
    </row>
    <row r="322" spans="16:19" x14ac:dyDescent="0.2">
      <c r="P322" s="323"/>
      <c r="Q322" s="323"/>
      <c r="R322" s="323"/>
      <c r="S322" s="323"/>
    </row>
    <row r="323" spans="16:19" x14ac:dyDescent="0.2">
      <c r="P323" s="323"/>
      <c r="Q323" s="323"/>
      <c r="R323" s="323"/>
      <c r="S323" s="323"/>
    </row>
    <row r="324" spans="16:19" x14ac:dyDescent="0.2">
      <c r="P324" s="323"/>
      <c r="Q324" s="323"/>
      <c r="R324" s="323"/>
      <c r="S324" s="323"/>
    </row>
    <row r="325" spans="16:19" x14ac:dyDescent="0.2">
      <c r="P325" s="323"/>
      <c r="Q325" s="323"/>
      <c r="R325" s="323"/>
      <c r="S325" s="323"/>
    </row>
    <row r="326" spans="16:19" x14ac:dyDescent="0.2">
      <c r="P326" s="323"/>
      <c r="Q326" s="323"/>
      <c r="R326" s="323"/>
      <c r="S326" s="323"/>
    </row>
    <row r="327" spans="16:19" x14ac:dyDescent="0.2">
      <c r="P327" s="323"/>
      <c r="Q327" s="323"/>
      <c r="R327" s="323"/>
      <c r="S327" s="323"/>
    </row>
    <row r="328" spans="16:19" x14ac:dyDescent="0.2">
      <c r="P328" s="323"/>
      <c r="Q328" s="323"/>
      <c r="R328" s="323"/>
      <c r="S328" s="323"/>
    </row>
    <row r="329" spans="16:19" x14ac:dyDescent="0.2">
      <c r="P329" s="323"/>
      <c r="Q329" s="323"/>
      <c r="R329" s="323"/>
      <c r="S329" s="323"/>
    </row>
    <row r="330" spans="16:19" x14ac:dyDescent="0.2">
      <c r="P330" s="323"/>
      <c r="Q330" s="323"/>
      <c r="R330" s="323"/>
      <c r="S330" s="323"/>
    </row>
    <row r="331" spans="16:19" x14ac:dyDescent="0.2">
      <c r="P331" s="323"/>
      <c r="Q331" s="323"/>
      <c r="R331" s="323"/>
      <c r="S331" s="323"/>
    </row>
    <row r="332" spans="16:19" x14ac:dyDescent="0.2">
      <c r="P332" s="323"/>
      <c r="Q332" s="323"/>
      <c r="R332" s="323"/>
      <c r="S332" s="323"/>
    </row>
    <row r="333" spans="16:19" x14ac:dyDescent="0.2">
      <c r="P333" s="323"/>
      <c r="Q333" s="323"/>
      <c r="R333" s="323"/>
      <c r="S333" s="323"/>
    </row>
    <row r="334" spans="16:19" x14ac:dyDescent="0.2">
      <c r="P334" s="323"/>
      <c r="Q334" s="323"/>
      <c r="R334" s="323"/>
      <c r="S334" s="323"/>
    </row>
    <row r="335" spans="16:19" x14ac:dyDescent="0.2">
      <c r="P335" s="323"/>
      <c r="Q335" s="323"/>
      <c r="R335" s="323"/>
      <c r="S335" s="323"/>
    </row>
    <row r="336" spans="16:19" x14ac:dyDescent="0.2">
      <c r="P336" s="323"/>
      <c r="Q336" s="323"/>
      <c r="R336" s="323"/>
      <c r="S336" s="323"/>
    </row>
    <row r="337" spans="16:19" x14ac:dyDescent="0.2">
      <c r="P337" s="323"/>
      <c r="Q337" s="323"/>
      <c r="R337" s="323"/>
      <c r="S337" s="323"/>
    </row>
    <row r="338" spans="16:19" x14ac:dyDescent="0.2">
      <c r="P338" s="323"/>
      <c r="Q338" s="323"/>
      <c r="R338" s="323"/>
      <c r="S338" s="323"/>
    </row>
    <row r="339" spans="16:19" x14ac:dyDescent="0.2">
      <c r="P339" s="323"/>
      <c r="Q339" s="323"/>
      <c r="R339" s="323"/>
      <c r="S339" s="323"/>
    </row>
    <row r="340" spans="16:19" x14ac:dyDescent="0.2">
      <c r="P340" s="323"/>
      <c r="Q340" s="323"/>
      <c r="R340" s="323"/>
      <c r="S340" s="323"/>
    </row>
    <row r="341" spans="16:19" x14ac:dyDescent="0.2">
      <c r="P341" s="323"/>
      <c r="Q341" s="323"/>
      <c r="R341" s="323"/>
      <c r="S341" s="323"/>
    </row>
    <row r="342" spans="16:19" x14ac:dyDescent="0.2">
      <c r="P342" s="323"/>
      <c r="Q342" s="323"/>
      <c r="R342" s="323"/>
      <c r="S342" s="323"/>
    </row>
    <row r="343" spans="16:19" x14ac:dyDescent="0.2">
      <c r="P343" s="323"/>
      <c r="Q343" s="323"/>
      <c r="R343" s="323"/>
      <c r="S343" s="323"/>
    </row>
    <row r="344" spans="16:19" x14ac:dyDescent="0.2">
      <c r="P344" s="323"/>
      <c r="Q344" s="323"/>
      <c r="R344" s="323"/>
      <c r="S344" s="323"/>
    </row>
    <row r="345" spans="16:19" x14ac:dyDescent="0.2">
      <c r="P345" s="323"/>
      <c r="Q345" s="323"/>
      <c r="R345" s="323"/>
      <c r="S345" s="323"/>
    </row>
    <row r="346" spans="16:19" x14ac:dyDescent="0.2">
      <c r="P346" s="323"/>
      <c r="Q346" s="323"/>
      <c r="R346" s="323"/>
      <c r="S346" s="323"/>
    </row>
    <row r="347" spans="16:19" x14ac:dyDescent="0.2">
      <c r="P347" s="323"/>
      <c r="Q347" s="323"/>
      <c r="R347" s="323"/>
      <c r="S347" s="323"/>
    </row>
    <row r="348" spans="16:19" x14ac:dyDescent="0.2">
      <c r="P348" s="323"/>
      <c r="Q348" s="323"/>
      <c r="R348" s="323"/>
      <c r="S348" s="323"/>
    </row>
    <row r="349" spans="16:19" x14ac:dyDescent="0.2">
      <c r="P349" s="323"/>
      <c r="Q349" s="323"/>
      <c r="R349" s="323"/>
      <c r="S349" s="323"/>
    </row>
    <row r="350" spans="16:19" x14ac:dyDescent="0.2">
      <c r="P350" s="323"/>
      <c r="Q350" s="323"/>
      <c r="R350" s="323"/>
      <c r="S350" s="323"/>
    </row>
    <row r="351" spans="16:19" x14ac:dyDescent="0.2">
      <c r="P351" s="323"/>
      <c r="Q351" s="323"/>
      <c r="R351" s="323"/>
      <c r="S351" s="323"/>
    </row>
    <row r="352" spans="16:19" x14ac:dyDescent="0.2">
      <c r="P352" s="323"/>
      <c r="Q352" s="323"/>
      <c r="R352" s="323"/>
      <c r="S352" s="323"/>
    </row>
    <row r="353" spans="16:19" x14ac:dyDescent="0.2">
      <c r="P353" s="323"/>
      <c r="Q353" s="323"/>
      <c r="R353" s="323"/>
      <c r="S353" s="323"/>
    </row>
    <row r="354" spans="16:19" x14ac:dyDescent="0.2">
      <c r="P354" s="323"/>
      <c r="Q354" s="323"/>
      <c r="R354" s="323"/>
      <c r="S354" s="323"/>
    </row>
    <row r="355" spans="16:19" x14ac:dyDescent="0.2">
      <c r="P355" s="323"/>
      <c r="Q355" s="323"/>
      <c r="R355" s="323"/>
      <c r="S355" s="323"/>
    </row>
    <row r="356" spans="16:19" x14ac:dyDescent="0.2">
      <c r="P356" s="323"/>
      <c r="Q356" s="323"/>
      <c r="R356" s="323"/>
      <c r="S356" s="323"/>
    </row>
    <row r="357" spans="16:19" x14ac:dyDescent="0.2">
      <c r="P357" s="323"/>
      <c r="Q357" s="323"/>
      <c r="R357" s="323"/>
      <c r="S357" s="323"/>
    </row>
    <row r="358" spans="16:19" x14ac:dyDescent="0.2">
      <c r="P358" s="323"/>
      <c r="Q358" s="323"/>
      <c r="R358" s="323"/>
      <c r="S358" s="323"/>
    </row>
    <row r="359" spans="16:19" x14ac:dyDescent="0.2">
      <c r="P359" s="323"/>
      <c r="Q359" s="323"/>
      <c r="R359" s="323"/>
      <c r="S359" s="323"/>
    </row>
    <row r="360" spans="16:19" x14ac:dyDescent="0.2">
      <c r="P360" s="323"/>
      <c r="Q360" s="323"/>
      <c r="R360" s="323"/>
      <c r="S360" s="323"/>
    </row>
    <row r="361" spans="16:19" x14ac:dyDescent="0.2">
      <c r="P361" s="323"/>
      <c r="Q361" s="323"/>
      <c r="R361" s="323"/>
      <c r="S361" s="323"/>
    </row>
    <row r="362" spans="16:19" x14ac:dyDescent="0.2">
      <c r="P362" s="323"/>
      <c r="Q362" s="323"/>
      <c r="R362" s="323"/>
      <c r="S362" s="323"/>
    </row>
    <row r="363" spans="16:19" x14ac:dyDescent="0.2">
      <c r="P363" s="323"/>
      <c r="Q363" s="323"/>
      <c r="R363" s="323"/>
      <c r="S363" s="323"/>
    </row>
    <row r="364" spans="16:19" x14ac:dyDescent="0.2">
      <c r="P364" s="323"/>
      <c r="Q364" s="323"/>
      <c r="R364" s="323"/>
      <c r="S364" s="323"/>
    </row>
    <row r="365" spans="16:19" x14ac:dyDescent="0.2">
      <c r="P365" s="323"/>
      <c r="Q365" s="323"/>
      <c r="R365" s="323"/>
      <c r="S365" s="323"/>
    </row>
    <row r="366" spans="16:19" x14ac:dyDescent="0.2">
      <c r="P366" s="323"/>
      <c r="Q366" s="323"/>
      <c r="R366" s="323"/>
      <c r="S366" s="323"/>
    </row>
    <row r="367" spans="16:19" x14ac:dyDescent="0.2">
      <c r="P367" s="323"/>
      <c r="Q367" s="323"/>
      <c r="R367" s="323"/>
      <c r="S367" s="323"/>
    </row>
    <row r="368" spans="16:19" x14ac:dyDescent="0.2">
      <c r="P368" s="323"/>
      <c r="Q368" s="323"/>
      <c r="R368" s="323"/>
      <c r="S368" s="323"/>
    </row>
    <row r="369" spans="16:19" x14ac:dyDescent="0.2">
      <c r="P369" s="323"/>
      <c r="Q369" s="323"/>
      <c r="R369" s="323"/>
      <c r="S369" s="323"/>
    </row>
    <row r="370" spans="16:19" x14ac:dyDescent="0.2">
      <c r="P370" s="323"/>
      <c r="Q370" s="323"/>
      <c r="R370" s="323"/>
      <c r="S370" s="323"/>
    </row>
    <row r="371" spans="16:19" x14ac:dyDescent="0.2">
      <c r="P371" s="323"/>
      <c r="Q371" s="323"/>
      <c r="R371" s="323"/>
      <c r="S371" s="323"/>
    </row>
    <row r="372" spans="16:19" x14ac:dyDescent="0.2">
      <c r="P372" s="323"/>
      <c r="Q372" s="323"/>
      <c r="R372" s="323"/>
      <c r="S372" s="323"/>
    </row>
    <row r="373" spans="16:19" x14ac:dyDescent="0.2">
      <c r="P373" s="323"/>
      <c r="Q373" s="323"/>
      <c r="R373" s="323"/>
      <c r="S373" s="323"/>
    </row>
    <row r="374" spans="16:19" x14ac:dyDescent="0.2">
      <c r="P374" s="323"/>
      <c r="Q374" s="323"/>
      <c r="R374" s="323"/>
      <c r="S374" s="323"/>
    </row>
    <row r="375" spans="16:19" x14ac:dyDescent="0.2">
      <c r="P375" s="323"/>
      <c r="Q375" s="323"/>
      <c r="R375" s="323"/>
      <c r="S375" s="323"/>
    </row>
    <row r="376" spans="16:19" x14ac:dyDescent="0.2">
      <c r="P376" s="323"/>
      <c r="Q376" s="323"/>
      <c r="R376" s="323"/>
      <c r="S376" s="323"/>
    </row>
    <row r="377" spans="16:19" x14ac:dyDescent="0.2">
      <c r="P377" s="323"/>
      <c r="Q377" s="323"/>
      <c r="R377" s="323"/>
      <c r="S377" s="323"/>
    </row>
    <row r="378" spans="16:19" x14ac:dyDescent="0.2">
      <c r="P378" s="323"/>
      <c r="Q378" s="323"/>
      <c r="R378" s="323"/>
      <c r="S378" s="323"/>
    </row>
    <row r="379" spans="16:19" x14ac:dyDescent="0.2">
      <c r="P379" s="323"/>
      <c r="Q379" s="323"/>
      <c r="R379" s="323"/>
      <c r="S379" s="323"/>
    </row>
    <row r="380" spans="16:19" x14ac:dyDescent="0.2">
      <c r="P380" s="323"/>
      <c r="Q380" s="323"/>
      <c r="R380" s="323"/>
      <c r="S380" s="323"/>
    </row>
    <row r="381" spans="16:19" x14ac:dyDescent="0.2">
      <c r="P381" s="323"/>
      <c r="Q381" s="323"/>
      <c r="R381" s="323"/>
      <c r="S381" s="323"/>
    </row>
    <row r="382" spans="16:19" x14ac:dyDescent="0.2">
      <c r="P382" s="323"/>
      <c r="Q382" s="323"/>
      <c r="R382" s="323"/>
      <c r="S382" s="323"/>
    </row>
    <row r="383" spans="16:19" x14ac:dyDescent="0.2">
      <c r="P383" s="323"/>
      <c r="Q383" s="323"/>
      <c r="R383" s="323"/>
      <c r="S383" s="323"/>
    </row>
    <row r="384" spans="16:19" x14ac:dyDescent="0.2">
      <c r="P384" s="323"/>
      <c r="Q384" s="323"/>
      <c r="R384" s="323"/>
      <c r="S384" s="323"/>
    </row>
    <row r="385" spans="16:19" x14ac:dyDescent="0.2">
      <c r="P385" s="323"/>
      <c r="Q385" s="323"/>
      <c r="R385" s="323"/>
      <c r="S385" s="323"/>
    </row>
    <row r="386" spans="16:19" x14ac:dyDescent="0.2">
      <c r="P386" s="323"/>
      <c r="Q386" s="323"/>
      <c r="R386" s="323"/>
      <c r="S386" s="323"/>
    </row>
    <row r="387" spans="16:19" x14ac:dyDescent="0.2">
      <c r="P387" s="323"/>
      <c r="Q387" s="323"/>
      <c r="R387" s="323"/>
      <c r="S387" s="323"/>
    </row>
    <row r="388" spans="16:19" x14ac:dyDescent="0.2">
      <c r="P388" s="323"/>
      <c r="Q388" s="323"/>
      <c r="R388" s="323"/>
      <c r="S388" s="323"/>
    </row>
    <row r="389" spans="16:19" x14ac:dyDescent="0.2">
      <c r="P389" s="323"/>
      <c r="Q389" s="323"/>
      <c r="R389" s="323"/>
      <c r="S389" s="323"/>
    </row>
    <row r="390" spans="16:19" x14ac:dyDescent="0.2">
      <c r="P390" s="323"/>
      <c r="Q390" s="323"/>
      <c r="R390" s="323"/>
      <c r="S390" s="323"/>
    </row>
    <row r="391" spans="16:19" x14ac:dyDescent="0.2">
      <c r="P391" s="323"/>
      <c r="Q391" s="323"/>
      <c r="R391" s="323"/>
      <c r="S391" s="323"/>
    </row>
    <row r="392" spans="16:19" x14ac:dyDescent="0.2">
      <c r="P392" s="323"/>
      <c r="Q392" s="323"/>
      <c r="R392" s="323"/>
      <c r="S392" s="323"/>
    </row>
    <row r="393" spans="16:19" x14ac:dyDescent="0.2">
      <c r="P393" s="323"/>
      <c r="Q393" s="323"/>
      <c r="R393" s="323"/>
      <c r="S393" s="323"/>
    </row>
    <row r="394" spans="16:19" x14ac:dyDescent="0.2">
      <c r="P394" s="323"/>
      <c r="Q394" s="323"/>
      <c r="R394" s="323"/>
      <c r="S394" s="323"/>
    </row>
    <row r="395" spans="16:19" x14ac:dyDescent="0.2">
      <c r="P395" s="323"/>
      <c r="Q395" s="323"/>
      <c r="R395" s="323"/>
      <c r="S395" s="323"/>
    </row>
    <row r="396" spans="16:19" x14ac:dyDescent="0.2">
      <c r="P396" s="323"/>
      <c r="Q396" s="323"/>
      <c r="R396" s="323"/>
      <c r="S396" s="323"/>
    </row>
    <row r="397" spans="16:19" x14ac:dyDescent="0.2">
      <c r="P397" s="323"/>
      <c r="Q397" s="323"/>
      <c r="R397" s="323"/>
      <c r="S397" s="323"/>
    </row>
    <row r="398" spans="16:19" x14ac:dyDescent="0.2">
      <c r="P398" s="323"/>
      <c r="Q398" s="323"/>
      <c r="R398" s="323"/>
      <c r="S398" s="323"/>
    </row>
    <row r="399" spans="16:19" x14ac:dyDescent="0.2">
      <c r="P399" s="323"/>
      <c r="Q399" s="323"/>
      <c r="R399" s="323"/>
      <c r="S399" s="323"/>
    </row>
    <row r="400" spans="16:19" x14ac:dyDescent="0.2">
      <c r="P400" s="323"/>
      <c r="Q400" s="323"/>
      <c r="R400" s="323"/>
      <c r="S400" s="323"/>
    </row>
    <row r="401" spans="16:19" x14ac:dyDescent="0.2">
      <c r="P401" s="323"/>
      <c r="Q401" s="323"/>
      <c r="R401" s="323"/>
      <c r="S401" s="323"/>
    </row>
    <row r="402" spans="16:19" x14ac:dyDescent="0.2">
      <c r="P402" s="323"/>
      <c r="Q402" s="323"/>
      <c r="R402" s="323"/>
      <c r="S402" s="323"/>
    </row>
    <row r="403" spans="16:19" x14ac:dyDescent="0.2">
      <c r="P403" s="323"/>
      <c r="Q403" s="323"/>
      <c r="R403" s="323"/>
      <c r="S403" s="323"/>
    </row>
    <row r="404" spans="16:19" x14ac:dyDescent="0.2">
      <c r="P404" s="323"/>
      <c r="Q404" s="323"/>
      <c r="R404" s="323"/>
      <c r="S404" s="323"/>
    </row>
    <row r="405" spans="16:19" x14ac:dyDescent="0.2">
      <c r="P405" s="323"/>
      <c r="Q405" s="323"/>
      <c r="R405" s="323"/>
      <c r="S405" s="323"/>
    </row>
    <row r="406" spans="16:19" x14ac:dyDescent="0.2">
      <c r="P406" s="323"/>
      <c r="Q406" s="323"/>
      <c r="R406" s="323"/>
      <c r="S406" s="323"/>
    </row>
    <row r="407" spans="16:19" x14ac:dyDescent="0.2">
      <c r="P407" s="323"/>
      <c r="Q407" s="323"/>
      <c r="R407" s="323"/>
      <c r="S407" s="323"/>
    </row>
    <row r="408" spans="16:19" x14ac:dyDescent="0.2">
      <c r="P408" s="323"/>
      <c r="Q408" s="323"/>
      <c r="R408" s="323"/>
      <c r="S408" s="323"/>
    </row>
    <row r="409" spans="16:19" x14ac:dyDescent="0.2">
      <c r="P409" s="323"/>
      <c r="Q409" s="323"/>
      <c r="R409" s="323"/>
      <c r="S409" s="323"/>
    </row>
    <row r="410" spans="16:19" x14ac:dyDescent="0.2">
      <c r="P410" s="323"/>
      <c r="Q410" s="323"/>
      <c r="R410" s="323"/>
      <c r="S410" s="323"/>
    </row>
    <row r="411" spans="16:19" x14ac:dyDescent="0.2">
      <c r="P411" s="323"/>
      <c r="Q411" s="323"/>
      <c r="R411" s="323"/>
      <c r="S411" s="323"/>
    </row>
    <row r="412" spans="16:19" x14ac:dyDescent="0.2">
      <c r="P412" s="323"/>
      <c r="Q412" s="323"/>
      <c r="R412" s="323"/>
      <c r="S412" s="323"/>
    </row>
    <row r="413" spans="16:19" x14ac:dyDescent="0.2">
      <c r="P413" s="323"/>
      <c r="Q413" s="323"/>
      <c r="R413" s="323"/>
      <c r="S413" s="323"/>
    </row>
    <row r="414" spans="16:19" x14ac:dyDescent="0.2">
      <c r="P414" s="323"/>
      <c r="Q414" s="323"/>
      <c r="R414" s="323"/>
      <c r="S414" s="323"/>
    </row>
    <row r="415" spans="16:19" x14ac:dyDescent="0.2">
      <c r="P415" s="323"/>
      <c r="Q415" s="323"/>
      <c r="R415" s="323"/>
      <c r="S415" s="323"/>
    </row>
    <row r="416" spans="16:19" x14ac:dyDescent="0.2">
      <c r="P416" s="323"/>
      <c r="Q416" s="323"/>
      <c r="R416" s="323"/>
      <c r="S416" s="323"/>
    </row>
    <row r="417" spans="16:19" x14ac:dyDescent="0.2">
      <c r="P417" s="323"/>
      <c r="Q417" s="323"/>
      <c r="R417" s="323"/>
      <c r="S417" s="323"/>
    </row>
    <row r="418" spans="16:19" x14ac:dyDescent="0.2">
      <c r="P418" s="323"/>
      <c r="Q418" s="323"/>
      <c r="R418" s="323"/>
      <c r="S418" s="323"/>
    </row>
    <row r="419" spans="16:19" x14ac:dyDescent="0.2">
      <c r="P419" s="323"/>
      <c r="Q419" s="323"/>
      <c r="R419" s="323"/>
      <c r="S419" s="323"/>
    </row>
    <row r="420" spans="16:19" x14ac:dyDescent="0.2">
      <c r="P420" s="323"/>
      <c r="Q420" s="323"/>
      <c r="R420" s="323"/>
      <c r="S420" s="323"/>
    </row>
    <row r="421" spans="16:19" x14ac:dyDescent="0.2">
      <c r="P421" s="323"/>
      <c r="Q421" s="323"/>
      <c r="R421" s="323"/>
      <c r="S421" s="323"/>
    </row>
    <row r="422" spans="16:19" x14ac:dyDescent="0.2">
      <c r="P422" s="323"/>
      <c r="Q422" s="323"/>
      <c r="R422" s="323"/>
      <c r="S422" s="323"/>
    </row>
    <row r="423" spans="16:19" x14ac:dyDescent="0.2">
      <c r="P423" s="323"/>
      <c r="Q423" s="323"/>
      <c r="R423" s="323"/>
      <c r="S423" s="323"/>
    </row>
    <row r="424" spans="16:19" x14ac:dyDescent="0.2">
      <c r="P424" s="323"/>
      <c r="Q424" s="323"/>
      <c r="R424" s="323"/>
      <c r="S424" s="323"/>
    </row>
    <row r="425" spans="16:19" x14ac:dyDescent="0.2">
      <c r="P425" s="323"/>
      <c r="Q425" s="323"/>
      <c r="R425" s="323"/>
      <c r="S425" s="323"/>
    </row>
    <row r="426" spans="16:19" x14ac:dyDescent="0.2">
      <c r="P426" s="323"/>
      <c r="Q426" s="323"/>
      <c r="R426" s="323"/>
      <c r="S426" s="323"/>
    </row>
    <row r="427" spans="16:19" x14ac:dyDescent="0.2">
      <c r="P427" s="323"/>
      <c r="Q427" s="323"/>
      <c r="R427" s="323"/>
      <c r="S427" s="323"/>
    </row>
    <row r="428" spans="16:19" x14ac:dyDescent="0.2">
      <c r="P428" s="323"/>
      <c r="Q428" s="323"/>
      <c r="R428" s="323"/>
      <c r="S428" s="323"/>
    </row>
    <row r="429" spans="16:19" x14ac:dyDescent="0.2">
      <c r="P429" s="323"/>
      <c r="Q429" s="323"/>
      <c r="R429" s="323"/>
      <c r="S429" s="323"/>
    </row>
    <row r="430" spans="16:19" x14ac:dyDescent="0.2">
      <c r="P430" s="323"/>
      <c r="Q430" s="323"/>
      <c r="R430" s="323"/>
      <c r="S430" s="323"/>
    </row>
    <row r="431" spans="16:19" x14ac:dyDescent="0.2">
      <c r="P431" s="323"/>
      <c r="Q431" s="323"/>
      <c r="R431" s="323"/>
      <c r="S431" s="323"/>
    </row>
    <row r="432" spans="16:19" x14ac:dyDescent="0.2">
      <c r="P432" s="323"/>
      <c r="Q432" s="323"/>
      <c r="R432" s="323"/>
      <c r="S432" s="323"/>
    </row>
    <row r="433" spans="16:19" x14ac:dyDescent="0.2">
      <c r="P433" s="323"/>
      <c r="Q433" s="323"/>
      <c r="R433" s="323"/>
      <c r="S433" s="323"/>
    </row>
    <row r="434" spans="16:19" x14ac:dyDescent="0.2">
      <c r="P434" s="323"/>
      <c r="Q434" s="323"/>
      <c r="R434" s="323"/>
      <c r="S434" s="323"/>
    </row>
    <row r="435" spans="16:19" x14ac:dyDescent="0.2">
      <c r="P435" s="323"/>
      <c r="Q435" s="323"/>
      <c r="R435" s="323"/>
      <c r="S435" s="323"/>
    </row>
    <row r="436" spans="16:19" x14ac:dyDescent="0.2">
      <c r="P436" s="323"/>
      <c r="Q436" s="323"/>
      <c r="R436" s="323"/>
      <c r="S436" s="323"/>
    </row>
    <row r="437" spans="16:19" x14ac:dyDescent="0.2">
      <c r="P437" s="323"/>
      <c r="Q437" s="323"/>
      <c r="R437" s="323"/>
      <c r="S437" s="323"/>
    </row>
    <row r="438" spans="16:19" x14ac:dyDescent="0.2">
      <c r="P438" s="323"/>
      <c r="Q438" s="323"/>
      <c r="R438" s="323"/>
      <c r="S438" s="323"/>
    </row>
    <row r="439" spans="16:19" x14ac:dyDescent="0.2">
      <c r="P439" s="323"/>
      <c r="Q439" s="323"/>
      <c r="R439" s="323"/>
      <c r="S439" s="323"/>
    </row>
    <row r="440" spans="16:19" x14ac:dyDescent="0.2">
      <c r="P440" s="323"/>
      <c r="Q440" s="323"/>
      <c r="R440" s="323"/>
      <c r="S440" s="323"/>
    </row>
    <row r="441" spans="16:19" x14ac:dyDescent="0.2">
      <c r="P441" s="323"/>
      <c r="Q441" s="323"/>
      <c r="R441" s="323"/>
      <c r="S441" s="323"/>
    </row>
    <row r="442" spans="16:19" x14ac:dyDescent="0.2">
      <c r="P442" s="323"/>
      <c r="Q442" s="323"/>
      <c r="R442" s="323"/>
      <c r="S442" s="323"/>
    </row>
    <row r="443" spans="16:19" x14ac:dyDescent="0.2">
      <c r="P443" s="323"/>
      <c r="Q443" s="323"/>
      <c r="R443" s="323"/>
      <c r="S443" s="323"/>
    </row>
    <row r="444" spans="16:19" x14ac:dyDescent="0.2">
      <c r="P444" s="323"/>
      <c r="Q444" s="323"/>
      <c r="R444" s="323"/>
      <c r="S444" s="323"/>
    </row>
    <row r="445" spans="16:19" x14ac:dyDescent="0.2">
      <c r="P445" s="323"/>
      <c r="Q445" s="323"/>
      <c r="R445" s="323"/>
      <c r="S445" s="323"/>
    </row>
    <row r="446" spans="16:19" x14ac:dyDescent="0.2">
      <c r="P446" s="323"/>
      <c r="Q446" s="323"/>
      <c r="R446" s="323"/>
      <c r="S446" s="323"/>
    </row>
    <row r="447" spans="16:19" x14ac:dyDescent="0.2">
      <c r="P447" s="323"/>
      <c r="Q447" s="323"/>
      <c r="R447" s="323"/>
      <c r="S447" s="323"/>
    </row>
    <row r="448" spans="16:19" x14ac:dyDescent="0.2">
      <c r="P448" s="323"/>
      <c r="Q448" s="323"/>
      <c r="R448" s="323"/>
      <c r="S448" s="323"/>
    </row>
    <row r="449" spans="16:19" x14ac:dyDescent="0.2">
      <c r="P449" s="323"/>
      <c r="Q449" s="323"/>
      <c r="R449" s="323"/>
      <c r="S449" s="323"/>
    </row>
    <row r="450" spans="16:19" x14ac:dyDescent="0.2">
      <c r="P450" s="323"/>
      <c r="Q450" s="323"/>
      <c r="R450" s="323"/>
      <c r="S450" s="323"/>
    </row>
    <row r="451" spans="16:19" x14ac:dyDescent="0.2">
      <c r="P451" s="323"/>
      <c r="Q451" s="323"/>
      <c r="R451" s="323"/>
      <c r="S451" s="323"/>
    </row>
    <row r="452" spans="16:19" x14ac:dyDescent="0.2">
      <c r="P452" s="323"/>
      <c r="Q452" s="323"/>
      <c r="R452" s="323"/>
      <c r="S452" s="323"/>
    </row>
    <row r="453" spans="16:19" x14ac:dyDescent="0.2">
      <c r="P453" s="323"/>
      <c r="Q453" s="323"/>
      <c r="R453" s="323"/>
      <c r="S453" s="323"/>
    </row>
    <row r="454" spans="16:19" x14ac:dyDescent="0.2">
      <c r="P454" s="323"/>
      <c r="Q454" s="323"/>
      <c r="R454" s="323"/>
      <c r="S454" s="323"/>
    </row>
    <row r="455" spans="16:19" x14ac:dyDescent="0.2">
      <c r="P455" s="323"/>
      <c r="Q455" s="323"/>
      <c r="R455" s="323"/>
      <c r="S455" s="323"/>
    </row>
    <row r="456" spans="16:19" x14ac:dyDescent="0.2">
      <c r="P456" s="323"/>
      <c r="Q456" s="323"/>
      <c r="R456" s="323"/>
      <c r="S456" s="323"/>
    </row>
    <row r="457" spans="16:19" x14ac:dyDescent="0.2">
      <c r="P457" s="323"/>
      <c r="Q457" s="323"/>
      <c r="R457" s="323"/>
      <c r="S457" s="323"/>
    </row>
    <row r="458" spans="16:19" x14ac:dyDescent="0.2">
      <c r="P458" s="323"/>
      <c r="Q458" s="323"/>
      <c r="R458" s="323"/>
      <c r="S458" s="323"/>
    </row>
    <row r="459" spans="16:19" x14ac:dyDescent="0.2">
      <c r="P459" s="323"/>
      <c r="Q459" s="323"/>
      <c r="R459" s="323"/>
      <c r="S459" s="323"/>
    </row>
    <row r="460" spans="16:19" x14ac:dyDescent="0.2">
      <c r="P460" s="323"/>
      <c r="Q460" s="323"/>
      <c r="R460" s="323"/>
      <c r="S460" s="323"/>
    </row>
    <row r="461" spans="16:19" x14ac:dyDescent="0.2">
      <c r="P461" s="323"/>
    </row>
    <row r="462" spans="16:19" x14ac:dyDescent="0.2">
      <c r="P462" s="323"/>
    </row>
    <row r="463" spans="16:19" x14ac:dyDescent="0.2">
      <c r="P463" s="323"/>
    </row>
    <row r="464" spans="16:19" x14ac:dyDescent="0.2">
      <c r="P464" s="323"/>
    </row>
    <row r="465" spans="16:16" x14ac:dyDescent="0.2">
      <c r="P465" s="323"/>
    </row>
    <row r="466" spans="16:16" x14ac:dyDescent="0.2">
      <c r="P466" s="323"/>
    </row>
    <row r="467" spans="16:16" x14ac:dyDescent="0.2">
      <c r="P467" s="323"/>
    </row>
    <row r="468" spans="16:16" x14ac:dyDescent="0.2">
      <c r="P468" s="323"/>
    </row>
    <row r="469" spans="16:16" x14ac:dyDescent="0.2">
      <c r="P469" s="323"/>
    </row>
    <row r="470" spans="16:16" x14ac:dyDescent="0.2">
      <c r="P470" s="323"/>
    </row>
    <row r="471" spans="16:16" x14ac:dyDescent="0.2">
      <c r="P471" s="323"/>
    </row>
    <row r="472" spans="16:16" x14ac:dyDescent="0.2">
      <c r="P472" s="323"/>
    </row>
    <row r="473" spans="16:16" x14ac:dyDescent="0.2">
      <c r="P473" s="323"/>
    </row>
    <row r="474" spans="16:16" x14ac:dyDescent="0.2">
      <c r="P474" s="323"/>
    </row>
    <row r="475" spans="16:16" x14ac:dyDescent="0.2">
      <c r="P475" s="323"/>
    </row>
    <row r="476" spans="16:16" x14ac:dyDescent="0.2">
      <c r="P476" s="323"/>
    </row>
    <row r="477" spans="16:16" x14ac:dyDescent="0.2">
      <c r="P477" s="323"/>
    </row>
    <row r="478" spans="16:16" x14ac:dyDescent="0.2">
      <c r="P478" s="323"/>
    </row>
    <row r="479" spans="16:16" x14ac:dyDescent="0.2">
      <c r="P479" s="323"/>
    </row>
    <row r="480" spans="16:16" x14ac:dyDescent="0.2">
      <c r="P480" s="323"/>
    </row>
    <row r="481" spans="16:16" x14ac:dyDescent="0.2">
      <c r="P481" s="323"/>
    </row>
    <row r="482" spans="16:16" x14ac:dyDescent="0.2">
      <c r="P482" s="323"/>
    </row>
    <row r="483" spans="16:16" x14ac:dyDescent="0.2">
      <c r="P483" s="323"/>
    </row>
    <row r="484" spans="16:16" x14ac:dyDescent="0.2">
      <c r="P484" s="323"/>
    </row>
    <row r="485" spans="16:16" x14ac:dyDescent="0.2">
      <c r="P485" s="323"/>
    </row>
    <row r="486" spans="16:16" x14ac:dyDescent="0.2">
      <c r="P486" s="323"/>
    </row>
    <row r="487" spans="16:16" x14ac:dyDescent="0.2">
      <c r="P487" s="323"/>
    </row>
    <row r="488" spans="16:16" x14ac:dyDescent="0.2">
      <c r="P488" s="323"/>
    </row>
    <row r="489" spans="16:16" x14ac:dyDescent="0.2">
      <c r="P489" s="323"/>
    </row>
    <row r="490" spans="16:16" x14ac:dyDescent="0.2">
      <c r="P490" s="323"/>
    </row>
    <row r="491" spans="16:16" x14ac:dyDescent="0.2">
      <c r="P491" s="323"/>
    </row>
    <row r="492" spans="16:16" x14ac:dyDescent="0.2">
      <c r="P492" s="323"/>
    </row>
    <row r="493" spans="16:16" x14ac:dyDescent="0.2">
      <c r="P493" s="323"/>
    </row>
    <row r="494" spans="16:16" x14ac:dyDescent="0.2">
      <c r="P494" s="323"/>
    </row>
    <row r="495" spans="16:16" x14ac:dyDescent="0.2">
      <c r="P495" s="323"/>
    </row>
    <row r="496" spans="16:16" x14ac:dyDescent="0.2">
      <c r="P496" s="323"/>
    </row>
    <row r="497" spans="16:16" x14ac:dyDescent="0.2">
      <c r="P497" s="323"/>
    </row>
    <row r="498" spans="16:16" x14ac:dyDescent="0.2">
      <c r="P498" s="323"/>
    </row>
    <row r="499" spans="16:16" x14ac:dyDescent="0.2">
      <c r="P499" s="323"/>
    </row>
    <row r="500" spans="16:16" x14ac:dyDescent="0.2">
      <c r="P500" s="323"/>
    </row>
    <row r="501" spans="16:16" x14ac:dyDescent="0.2">
      <c r="P501" s="323"/>
    </row>
    <row r="502" spans="16:16" x14ac:dyDescent="0.2">
      <c r="P502" s="323"/>
    </row>
    <row r="503" spans="16:16" x14ac:dyDescent="0.2">
      <c r="P503" s="323"/>
    </row>
    <row r="504" spans="16:16" x14ac:dyDescent="0.2">
      <c r="P504" s="323"/>
    </row>
  </sheetData>
  <phoneticPr fontId="0" type="noConversion"/>
  <pageMargins left="0.78740157480314965" right="0.59055118110236227" top="0.78740157480314965" bottom="0.59055118110236227" header="0.19685039370078741" footer="0.19685039370078741"/>
  <pageSetup paperSize="9" scale="80" orientation="landscape" r:id="rId1"/>
  <headerFooter alignWithMargins="0">
    <oddHeader>&amp;R&amp;"Arial Narrow,Obyčejné"&amp;8Ústav pro informace ve vzdělávání
&amp;"Arial Narrow,Tučné"PŘIHLÁŠENÍ A PŘIJATÍ NA VŠ A VOŠ &amp;"Arial Narrow,Obyčejné"(podzim 2011)
Část VOŠ
jen pro vnitřní potřebu MŠMT</oddHeader>
    <oddFooter>&amp;C&amp;P / &amp;N</oddFooter>
  </headerFooter>
  <ignoredErrors>
    <ignoredError sqref="W54:Z54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48"/>
  <sheetViews>
    <sheetView zoomScale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B6" sqref="AB6"/>
    </sheetView>
  </sheetViews>
  <sheetFormatPr defaultRowHeight="12.75" x14ac:dyDescent="0.2"/>
  <sheetData>
    <row r="1" spans="1:28" x14ac:dyDescent="0.2">
      <c r="A1" s="610" t="s">
        <v>49</v>
      </c>
      <c r="B1" s="610"/>
      <c r="C1" s="610" t="s">
        <v>122</v>
      </c>
      <c r="D1" s="610"/>
      <c r="E1" s="610"/>
      <c r="F1" s="610"/>
      <c r="G1" s="610"/>
      <c r="H1" s="610"/>
      <c r="W1" t="s">
        <v>49</v>
      </c>
      <c r="X1" t="s">
        <v>49</v>
      </c>
      <c r="Y1" t="s">
        <v>122</v>
      </c>
    </row>
    <row r="2" spans="1:28" x14ac:dyDescent="0.2">
      <c r="A2" s="610"/>
      <c r="B2" s="610"/>
      <c r="C2" s="610" t="s">
        <v>123</v>
      </c>
      <c r="D2" s="610"/>
      <c r="E2" s="610"/>
      <c r="F2" s="610" t="s">
        <v>124</v>
      </c>
      <c r="G2" s="610"/>
      <c r="H2" s="610"/>
      <c r="Y2" t="s">
        <v>123</v>
      </c>
      <c r="Z2" t="s">
        <v>124</v>
      </c>
    </row>
    <row r="3" spans="1:28" x14ac:dyDescent="0.2">
      <c r="A3" s="610"/>
      <c r="B3" s="610"/>
      <c r="C3" t="s">
        <v>125</v>
      </c>
      <c r="D3" t="s">
        <v>126</v>
      </c>
      <c r="E3" t="s">
        <v>127</v>
      </c>
      <c r="F3" t="s">
        <v>125</v>
      </c>
      <c r="G3" t="s">
        <v>126</v>
      </c>
      <c r="H3" t="s">
        <v>127</v>
      </c>
      <c r="Y3" t="s">
        <v>126</v>
      </c>
      <c r="Z3" t="s">
        <v>126</v>
      </c>
    </row>
    <row r="4" spans="1:28" x14ac:dyDescent="0.2">
      <c r="A4" s="610"/>
      <c r="B4" s="610"/>
      <c r="C4" t="s">
        <v>128</v>
      </c>
      <c r="D4" t="s">
        <v>128</v>
      </c>
      <c r="E4" t="s">
        <v>128</v>
      </c>
      <c r="F4" t="s">
        <v>128</v>
      </c>
      <c r="G4" t="s">
        <v>128</v>
      </c>
      <c r="H4" t="s">
        <v>128</v>
      </c>
      <c r="Y4" t="s">
        <v>130</v>
      </c>
      <c r="Z4" t="s">
        <v>130</v>
      </c>
    </row>
    <row r="5" spans="1:28" x14ac:dyDescent="0.2">
      <c r="A5" s="610" t="s">
        <v>129</v>
      </c>
      <c r="B5">
        <v>17</v>
      </c>
      <c r="C5">
        <v>0</v>
      </c>
      <c r="D5">
        <v>0</v>
      </c>
      <c r="E5">
        <v>0</v>
      </c>
      <c r="F5">
        <v>8.4955205437133138E-4</v>
      </c>
      <c r="G5">
        <v>1.0595261028703527E-3</v>
      </c>
      <c r="H5">
        <v>1.122460433269727E-3</v>
      </c>
      <c r="I5">
        <v>17</v>
      </c>
      <c r="P5">
        <f>$B5*C5</f>
        <v>0</v>
      </c>
      <c r="Q5">
        <f t="shared" ref="Q5:U20" si="0">$B5*D5</f>
        <v>0</v>
      </c>
      <c r="R5">
        <f t="shared" si="0"/>
        <v>0</v>
      </c>
      <c r="S5">
        <f t="shared" si="0"/>
        <v>1.4442384924312634E-2</v>
      </c>
      <c r="T5">
        <f t="shared" si="0"/>
        <v>1.8011943748795996E-2</v>
      </c>
      <c r="U5">
        <f t="shared" si="0"/>
        <v>1.908182736558536E-2</v>
      </c>
      <c r="W5" t="s">
        <v>129</v>
      </c>
      <c r="X5">
        <v>17</v>
      </c>
      <c r="Y5" t="s">
        <v>73</v>
      </c>
      <c r="Z5">
        <v>0</v>
      </c>
    </row>
    <row r="6" spans="1:28" x14ac:dyDescent="0.2">
      <c r="A6" s="610"/>
      <c r="B6">
        <v>18</v>
      </c>
      <c r="C6">
        <v>2.0559210526315791E-4</v>
      </c>
      <c r="D6">
        <v>2.8860028860028855E-4</v>
      </c>
      <c r="E6">
        <v>3.1776294884016521E-4</v>
      </c>
      <c r="F6">
        <v>4.1705282669138085E-3</v>
      </c>
      <c r="G6">
        <v>3.9491427470622238E-3</v>
      </c>
      <c r="H6">
        <v>4.040857559771017E-3</v>
      </c>
      <c r="I6">
        <v>18</v>
      </c>
      <c r="J6">
        <f t="shared" ref="J6:O6" si="1">+C5+C6</f>
        <v>2.0559210526315791E-4</v>
      </c>
      <c r="K6">
        <f t="shared" si="1"/>
        <v>2.8860028860028855E-4</v>
      </c>
      <c r="L6">
        <f t="shared" si="1"/>
        <v>3.1776294884016521E-4</v>
      </c>
      <c r="M6">
        <f t="shared" si="1"/>
        <v>5.0200803212851397E-3</v>
      </c>
      <c r="N6">
        <f t="shared" si="1"/>
        <v>5.0086688499325766E-3</v>
      </c>
      <c r="O6">
        <f t="shared" si="1"/>
        <v>5.163317993040744E-3</v>
      </c>
      <c r="P6">
        <f t="shared" ref="P6:P47" si="2">$B6*C6</f>
        <v>3.7006578947368423E-3</v>
      </c>
      <c r="Q6">
        <f t="shared" si="0"/>
        <v>5.1948051948051939E-3</v>
      </c>
      <c r="R6">
        <f t="shared" si="0"/>
        <v>5.7197330791229741E-3</v>
      </c>
      <c r="S6">
        <f t="shared" si="0"/>
        <v>7.5069508804448556E-2</v>
      </c>
      <c r="T6">
        <f t="shared" si="0"/>
        <v>7.1084569447120022E-2</v>
      </c>
      <c r="U6">
        <f t="shared" si="0"/>
        <v>7.2735436075878304E-2</v>
      </c>
      <c r="X6">
        <v>18</v>
      </c>
      <c r="Y6">
        <v>2</v>
      </c>
      <c r="Z6">
        <v>52</v>
      </c>
      <c r="AB6">
        <f>+Z5+Z6</f>
        <v>52</v>
      </c>
    </row>
    <row r="7" spans="1:28" x14ac:dyDescent="0.2">
      <c r="A7" s="610"/>
      <c r="B7">
        <v>19</v>
      </c>
      <c r="C7">
        <v>4.8519736842105268E-2</v>
      </c>
      <c r="D7">
        <v>4.2135642135642123E-2</v>
      </c>
      <c r="E7">
        <v>3.8767079758500161E-2</v>
      </c>
      <c r="F7">
        <v>0.43751930800123573</v>
      </c>
      <c r="G7">
        <v>0.43257561163552311</v>
      </c>
      <c r="H7">
        <v>0.42327982938601411</v>
      </c>
      <c r="I7">
        <v>19</v>
      </c>
      <c r="J7">
        <f>+C7</f>
        <v>4.8519736842105268E-2</v>
      </c>
      <c r="K7">
        <f t="shared" ref="K7:O17" si="3">+D7</f>
        <v>4.2135642135642123E-2</v>
      </c>
      <c r="L7">
        <f t="shared" si="3"/>
        <v>3.8767079758500161E-2</v>
      </c>
      <c r="M7">
        <f t="shared" si="3"/>
        <v>0.43751930800123573</v>
      </c>
      <c r="N7">
        <f t="shared" si="3"/>
        <v>0.43257561163552311</v>
      </c>
      <c r="O7">
        <f t="shared" si="3"/>
        <v>0.42327982938601411</v>
      </c>
      <c r="P7">
        <f t="shared" si="2"/>
        <v>0.92187500000000011</v>
      </c>
      <c r="Q7">
        <f t="shared" si="0"/>
        <v>0.80057720057720039</v>
      </c>
      <c r="R7">
        <f t="shared" si="0"/>
        <v>0.73657451541150309</v>
      </c>
      <c r="S7">
        <f t="shared" si="0"/>
        <v>8.312866852023479</v>
      </c>
      <c r="T7">
        <f t="shared" si="0"/>
        <v>8.2189366210749384</v>
      </c>
      <c r="U7">
        <f t="shared" si="0"/>
        <v>8.0423167583342678</v>
      </c>
      <c r="X7">
        <v>19</v>
      </c>
      <c r="Y7">
        <v>125</v>
      </c>
      <c r="Z7">
        <v>4491</v>
      </c>
      <c r="AB7">
        <f>+Z7</f>
        <v>4491</v>
      </c>
    </row>
    <row r="8" spans="1:28" x14ac:dyDescent="0.2">
      <c r="A8" s="610"/>
      <c r="B8">
        <v>20</v>
      </c>
      <c r="C8">
        <v>7.0723684210526314E-2</v>
      </c>
      <c r="D8">
        <v>5.9163059163059153E-2</v>
      </c>
      <c r="E8">
        <v>5.7197330791229746E-2</v>
      </c>
      <c r="F8">
        <v>0.28336422613531048</v>
      </c>
      <c r="G8">
        <v>0.28867270275476792</v>
      </c>
      <c r="H8">
        <v>0.28869682343697378</v>
      </c>
      <c r="I8">
        <v>20</v>
      </c>
      <c r="J8">
        <f t="shared" ref="J8:J17" si="4">+C8</f>
        <v>7.0723684210526314E-2</v>
      </c>
      <c r="K8">
        <f t="shared" si="3"/>
        <v>5.9163059163059153E-2</v>
      </c>
      <c r="L8">
        <f t="shared" si="3"/>
        <v>5.7197330791229746E-2</v>
      </c>
      <c r="M8">
        <f t="shared" si="3"/>
        <v>0.28336422613531048</v>
      </c>
      <c r="N8">
        <f t="shared" si="3"/>
        <v>0.28867270275476792</v>
      </c>
      <c r="O8">
        <f t="shared" si="3"/>
        <v>0.28869682343697378</v>
      </c>
      <c r="P8">
        <f t="shared" si="2"/>
        <v>1.4144736842105263</v>
      </c>
      <c r="Q8">
        <f t="shared" si="0"/>
        <v>1.183261183261183</v>
      </c>
      <c r="R8">
        <f t="shared" si="0"/>
        <v>1.143946615824595</v>
      </c>
      <c r="S8">
        <f t="shared" si="0"/>
        <v>5.6672845227062094</v>
      </c>
      <c r="T8">
        <f t="shared" si="0"/>
        <v>5.7734540550953586</v>
      </c>
      <c r="U8">
        <f t="shared" si="0"/>
        <v>5.7739364687394756</v>
      </c>
      <c r="X8">
        <v>20</v>
      </c>
      <c r="Y8">
        <v>287</v>
      </c>
      <c r="Z8">
        <v>2997</v>
      </c>
      <c r="AB8">
        <f t="shared" ref="AB8:AB17" si="5">+Z8</f>
        <v>2997</v>
      </c>
    </row>
    <row r="9" spans="1:28" x14ac:dyDescent="0.2">
      <c r="A9" s="610"/>
      <c r="B9">
        <v>21</v>
      </c>
      <c r="C9">
        <v>7.5246710526315791E-2</v>
      </c>
      <c r="D9">
        <v>7.417027417027415E-2</v>
      </c>
      <c r="E9">
        <v>7.3085478233238008E-2</v>
      </c>
      <c r="F9">
        <v>0.12557924003707135</v>
      </c>
      <c r="G9">
        <v>0.12637256790599116</v>
      </c>
      <c r="H9">
        <v>0.13211359299584688</v>
      </c>
      <c r="I9">
        <v>21</v>
      </c>
      <c r="J9">
        <f t="shared" si="4"/>
        <v>7.5246710526315791E-2</v>
      </c>
      <c r="K9">
        <f t="shared" si="3"/>
        <v>7.417027417027415E-2</v>
      </c>
      <c r="L9">
        <f t="shared" si="3"/>
        <v>7.3085478233238008E-2</v>
      </c>
      <c r="M9">
        <f t="shared" si="3"/>
        <v>0.12557924003707135</v>
      </c>
      <c r="N9">
        <f t="shared" si="3"/>
        <v>0.12637256790599116</v>
      </c>
      <c r="O9">
        <f t="shared" si="3"/>
        <v>0.13211359299584688</v>
      </c>
      <c r="P9">
        <f t="shared" si="2"/>
        <v>1.5801809210526316</v>
      </c>
      <c r="Q9">
        <f t="shared" si="0"/>
        <v>1.5575757575757572</v>
      </c>
      <c r="R9">
        <f t="shared" si="0"/>
        <v>1.5347950428979982</v>
      </c>
      <c r="S9">
        <f t="shared" si="0"/>
        <v>2.6371640407784986</v>
      </c>
      <c r="T9">
        <f t="shared" si="0"/>
        <v>2.6538239260258143</v>
      </c>
      <c r="U9">
        <f t="shared" si="0"/>
        <v>2.7743854529127843</v>
      </c>
      <c r="X9">
        <v>21</v>
      </c>
      <c r="Y9">
        <v>253</v>
      </c>
      <c r="Z9">
        <v>1312</v>
      </c>
      <c r="AB9">
        <f t="shared" si="5"/>
        <v>1312</v>
      </c>
    </row>
    <row r="10" spans="1:28" x14ac:dyDescent="0.2">
      <c r="A10" s="610"/>
      <c r="B10">
        <v>22</v>
      </c>
      <c r="C10">
        <v>7.2779605263157895E-2</v>
      </c>
      <c r="D10">
        <v>7.1572871572871552E-2</v>
      </c>
      <c r="E10">
        <v>7.1496663489037188E-2</v>
      </c>
      <c r="F10">
        <v>6.1631139944392954E-2</v>
      </c>
      <c r="G10">
        <v>6.1741475630899642E-2</v>
      </c>
      <c r="H10">
        <v>6.0949601526546174E-2</v>
      </c>
      <c r="I10">
        <v>22</v>
      </c>
      <c r="J10">
        <f t="shared" si="4"/>
        <v>7.2779605263157895E-2</v>
      </c>
      <c r="K10">
        <f t="shared" si="3"/>
        <v>7.1572871572871552E-2</v>
      </c>
      <c r="L10">
        <f t="shared" si="3"/>
        <v>7.1496663489037188E-2</v>
      </c>
      <c r="M10">
        <f t="shared" si="3"/>
        <v>6.1631139944392954E-2</v>
      </c>
      <c r="N10">
        <f t="shared" si="3"/>
        <v>6.1741475630899642E-2</v>
      </c>
      <c r="O10">
        <f t="shared" si="3"/>
        <v>6.0949601526546174E-2</v>
      </c>
      <c r="P10">
        <f t="shared" si="2"/>
        <v>1.6011513157894737</v>
      </c>
      <c r="Q10">
        <f t="shared" si="0"/>
        <v>1.5746031746031741</v>
      </c>
      <c r="R10">
        <f t="shared" si="0"/>
        <v>1.5729265967588182</v>
      </c>
      <c r="S10">
        <f t="shared" si="0"/>
        <v>1.355885078776645</v>
      </c>
      <c r="T10">
        <f t="shared" si="0"/>
        <v>1.3583124638797921</v>
      </c>
      <c r="U10">
        <f t="shared" si="0"/>
        <v>1.3408912335840157</v>
      </c>
      <c r="X10">
        <v>22</v>
      </c>
      <c r="Y10">
        <v>245</v>
      </c>
      <c r="Z10">
        <v>641</v>
      </c>
      <c r="AB10">
        <f t="shared" si="5"/>
        <v>641</v>
      </c>
    </row>
    <row r="11" spans="1:28" x14ac:dyDescent="0.2">
      <c r="A11" s="610"/>
      <c r="B11">
        <v>23</v>
      </c>
      <c r="C11">
        <v>6.7845394736842105E-2</v>
      </c>
      <c r="D11">
        <v>6.7243867243867231E-2</v>
      </c>
      <c r="E11">
        <v>6.7365745154115031E-2</v>
      </c>
      <c r="F11">
        <v>3.3673154155081868E-2</v>
      </c>
      <c r="G11">
        <v>3.4482758620689662E-2</v>
      </c>
      <c r="H11">
        <v>3.5918733864631264E-2</v>
      </c>
      <c r="I11">
        <v>23</v>
      </c>
      <c r="J11">
        <f t="shared" si="4"/>
        <v>6.7845394736842105E-2</v>
      </c>
      <c r="K11">
        <f t="shared" si="3"/>
        <v>6.7243867243867231E-2</v>
      </c>
      <c r="L11">
        <f t="shared" si="3"/>
        <v>6.7365745154115031E-2</v>
      </c>
      <c r="M11">
        <f t="shared" si="3"/>
        <v>3.3673154155081868E-2</v>
      </c>
      <c r="N11">
        <f t="shared" si="3"/>
        <v>3.4482758620689662E-2</v>
      </c>
      <c r="O11">
        <f t="shared" si="3"/>
        <v>3.5918733864631264E-2</v>
      </c>
      <c r="P11">
        <f t="shared" si="2"/>
        <v>1.5604440789473684</v>
      </c>
      <c r="Q11">
        <f t="shared" si="0"/>
        <v>1.5466089466089463</v>
      </c>
      <c r="R11">
        <f t="shared" si="0"/>
        <v>1.5494121385446458</v>
      </c>
      <c r="S11">
        <f t="shared" si="0"/>
        <v>0.77448254556688301</v>
      </c>
      <c r="T11">
        <f t="shared" si="0"/>
        <v>0.79310344827586221</v>
      </c>
      <c r="U11">
        <f t="shared" si="0"/>
        <v>0.82613087888651904</v>
      </c>
      <c r="X11">
        <v>23</v>
      </c>
      <c r="Y11">
        <v>187</v>
      </c>
      <c r="Z11">
        <v>358</v>
      </c>
      <c r="AB11">
        <f t="shared" si="5"/>
        <v>358</v>
      </c>
    </row>
    <row r="12" spans="1:28" x14ac:dyDescent="0.2">
      <c r="A12" s="610"/>
      <c r="B12">
        <v>24</v>
      </c>
      <c r="C12">
        <v>5.5509868421052627E-2</v>
      </c>
      <c r="D12">
        <v>5.6854256854256838E-2</v>
      </c>
      <c r="E12">
        <v>5.5290753098188754E-2</v>
      </c>
      <c r="F12">
        <v>2.0389249304911955E-2</v>
      </c>
      <c r="G12">
        <v>1.9649393180504723E-2</v>
      </c>
      <c r="H12">
        <v>2.1102256145470868E-2</v>
      </c>
      <c r="I12">
        <v>24</v>
      </c>
      <c r="J12">
        <f t="shared" si="4"/>
        <v>5.5509868421052627E-2</v>
      </c>
      <c r="K12">
        <f t="shared" si="3"/>
        <v>5.6854256854256838E-2</v>
      </c>
      <c r="L12">
        <f t="shared" si="3"/>
        <v>5.5290753098188754E-2</v>
      </c>
      <c r="M12">
        <f t="shared" si="3"/>
        <v>2.0389249304911955E-2</v>
      </c>
      <c r="N12">
        <f t="shared" si="3"/>
        <v>1.9649393180504723E-2</v>
      </c>
      <c r="O12">
        <f t="shared" si="3"/>
        <v>2.1102256145470868E-2</v>
      </c>
      <c r="P12">
        <f t="shared" si="2"/>
        <v>1.3322368421052631</v>
      </c>
      <c r="Q12">
        <f t="shared" si="0"/>
        <v>1.3645021645021642</v>
      </c>
      <c r="R12">
        <f t="shared" si="0"/>
        <v>1.32697807435653</v>
      </c>
      <c r="S12">
        <f t="shared" si="0"/>
        <v>0.48934198331788692</v>
      </c>
      <c r="T12">
        <f t="shared" si="0"/>
        <v>0.47158543633211336</v>
      </c>
      <c r="U12">
        <f t="shared" si="0"/>
        <v>0.5064541474913008</v>
      </c>
      <c r="X12">
        <v>24</v>
      </c>
      <c r="Y12">
        <v>175</v>
      </c>
      <c r="Z12">
        <v>204</v>
      </c>
      <c r="AB12">
        <f t="shared" si="5"/>
        <v>204</v>
      </c>
    </row>
    <row r="13" spans="1:28" x14ac:dyDescent="0.2">
      <c r="A13" s="610"/>
      <c r="B13">
        <v>25</v>
      </c>
      <c r="C13">
        <v>4.2146381578947373E-2</v>
      </c>
      <c r="D13">
        <v>3.7518037518037513E-2</v>
      </c>
      <c r="E13">
        <v>3.8767079758500161E-2</v>
      </c>
      <c r="F13">
        <v>1.0580784677170219E-2</v>
      </c>
      <c r="G13">
        <v>1.0691581583509923E-2</v>
      </c>
      <c r="H13">
        <v>1.122460433269727E-2</v>
      </c>
      <c r="I13">
        <v>25</v>
      </c>
      <c r="J13">
        <f t="shared" si="4"/>
        <v>4.2146381578947373E-2</v>
      </c>
      <c r="K13">
        <f t="shared" si="3"/>
        <v>3.7518037518037513E-2</v>
      </c>
      <c r="L13">
        <f t="shared" si="3"/>
        <v>3.8767079758500161E-2</v>
      </c>
      <c r="M13">
        <f t="shared" si="3"/>
        <v>1.0580784677170219E-2</v>
      </c>
      <c r="N13">
        <f t="shared" si="3"/>
        <v>1.0691581583509923E-2</v>
      </c>
      <c r="O13">
        <f t="shared" si="3"/>
        <v>1.122460433269727E-2</v>
      </c>
      <c r="P13">
        <f t="shared" si="2"/>
        <v>1.0536595394736843</v>
      </c>
      <c r="Q13">
        <f t="shared" si="0"/>
        <v>0.93795093795093787</v>
      </c>
      <c r="R13">
        <f t="shared" si="0"/>
        <v>0.96917699396250401</v>
      </c>
      <c r="S13">
        <f t="shared" si="0"/>
        <v>0.26451961692925546</v>
      </c>
      <c r="T13">
        <f t="shared" si="0"/>
        <v>0.26728953958774809</v>
      </c>
      <c r="U13">
        <f t="shared" si="0"/>
        <v>0.28061510831743175</v>
      </c>
      <c r="X13">
        <v>25</v>
      </c>
      <c r="Y13">
        <v>154</v>
      </c>
      <c r="Z13">
        <v>111</v>
      </c>
      <c r="AB13">
        <f t="shared" si="5"/>
        <v>111</v>
      </c>
    </row>
    <row r="14" spans="1:28" x14ac:dyDescent="0.2">
      <c r="A14" s="610"/>
      <c r="B14">
        <v>26</v>
      </c>
      <c r="C14">
        <v>4.0912828947368425E-2</v>
      </c>
      <c r="D14">
        <v>4.0404040404040401E-2</v>
      </c>
      <c r="E14">
        <v>4.1309183349221484E-2</v>
      </c>
      <c r="F14">
        <v>2.8575841828853876E-3</v>
      </c>
      <c r="G14">
        <v>2.6969755345790797E-3</v>
      </c>
      <c r="H14">
        <v>2.6939050398473445E-3</v>
      </c>
      <c r="I14">
        <v>26</v>
      </c>
      <c r="J14">
        <f t="shared" si="4"/>
        <v>4.0912828947368425E-2</v>
      </c>
      <c r="K14">
        <f t="shared" si="3"/>
        <v>4.0404040404040401E-2</v>
      </c>
      <c r="L14">
        <f t="shared" si="3"/>
        <v>4.1309183349221484E-2</v>
      </c>
      <c r="M14">
        <f t="shared" si="3"/>
        <v>2.8575841828853876E-3</v>
      </c>
      <c r="N14">
        <f t="shared" si="3"/>
        <v>2.6969755345790797E-3</v>
      </c>
      <c r="O14">
        <f t="shared" si="3"/>
        <v>2.6939050398473445E-3</v>
      </c>
      <c r="P14">
        <f t="shared" si="2"/>
        <v>1.063733552631579</v>
      </c>
      <c r="Q14">
        <f t="shared" si="0"/>
        <v>1.0505050505050504</v>
      </c>
      <c r="R14">
        <f t="shared" si="0"/>
        <v>1.0740387670797586</v>
      </c>
      <c r="S14">
        <f t="shared" si="0"/>
        <v>7.4297188755020074E-2</v>
      </c>
      <c r="T14">
        <f t="shared" si="0"/>
        <v>7.0121363899056072E-2</v>
      </c>
      <c r="U14">
        <f t="shared" si="0"/>
        <v>7.004153103603096E-2</v>
      </c>
      <c r="X14">
        <v>26</v>
      </c>
      <c r="Y14">
        <v>125</v>
      </c>
      <c r="Z14">
        <v>28</v>
      </c>
      <c r="AB14">
        <f t="shared" si="5"/>
        <v>28</v>
      </c>
    </row>
    <row r="15" spans="1:28" x14ac:dyDescent="0.2">
      <c r="A15" s="610"/>
      <c r="B15">
        <v>27</v>
      </c>
      <c r="C15">
        <v>3.5567434210526314E-2</v>
      </c>
      <c r="D15">
        <v>3.8095238095238085E-2</v>
      </c>
      <c r="E15">
        <v>3.8449316809659996E-2</v>
      </c>
      <c r="F15">
        <v>1.3901760889712697E-3</v>
      </c>
      <c r="G15">
        <v>9.6320554806395703E-4</v>
      </c>
      <c r="H15">
        <v>1.0102143899427542E-3</v>
      </c>
      <c r="I15">
        <v>27</v>
      </c>
      <c r="J15">
        <f t="shared" si="4"/>
        <v>3.5567434210526314E-2</v>
      </c>
      <c r="K15">
        <f t="shared" si="3"/>
        <v>3.8095238095238085E-2</v>
      </c>
      <c r="L15">
        <f t="shared" si="3"/>
        <v>3.8449316809659996E-2</v>
      </c>
      <c r="M15">
        <f t="shared" si="3"/>
        <v>1.3901760889712697E-3</v>
      </c>
      <c r="N15">
        <f t="shared" si="3"/>
        <v>9.6320554806395703E-4</v>
      </c>
      <c r="O15">
        <f t="shared" si="3"/>
        <v>1.0102143899427542E-3</v>
      </c>
      <c r="P15">
        <f t="shared" si="2"/>
        <v>0.96032072368421051</v>
      </c>
      <c r="Q15">
        <f t="shared" si="0"/>
        <v>1.0285714285714282</v>
      </c>
      <c r="R15">
        <f t="shared" si="0"/>
        <v>1.0381315538608198</v>
      </c>
      <c r="S15">
        <f t="shared" si="0"/>
        <v>3.7534754402224285E-2</v>
      </c>
      <c r="T15">
        <f t="shared" si="0"/>
        <v>2.600654979772684E-2</v>
      </c>
      <c r="U15">
        <f t="shared" si="0"/>
        <v>2.7275788528454366E-2</v>
      </c>
      <c r="X15">
        <v>27</v>
      </c>
      <c r="Y15">
        <v>133</v>
      </c>
      <c r="Z15">
        <v>10</v>
      </c>
      <c r="AB15">
        <f t="shared" si="5"/>
        <v>10</v>
      </c>
    </row>
    <row r="16" spans="1:28" x14ac:dyDescent="0.2">
      <c r="A16" s="610"/>
      <c r="B16">
        <v>28</v>
      </c>
      <c r="C16">
        <v>2.6521381578947366E-2</v>
      </c>
      <c r="D16">
        <v>2.5685425685425679E-2</v>
      </c>
      <c r="E16">
        <v>2.5738798856053381E-2</v>
      </c>
      <c r="F16">
        <v>1.004016064257028E-3</v>
      </c>
      <c r="G16">
        <v>9.6320554806395703E-4</v>
      </c>
      <c r="H16">
        <v>1.0102143899427542E-3</v>
      </c>
      <c r="I16">
        <v>28</v>
      </c>
      <c r="J16">
        <f t="shared" si="4"/>
        <v>2.6521381578947366E-2</v>
      </c>
      <c r="K16">
        <f t="shared" si="3"/>
        <v>2.5685425685425679E-2</v>
      </c>
      <c r="L16">
        <f t="shared" si="3"/>
        <v>2.5738798856053381E-2</v>
      </c>
      <c r="M16">
        <f t="shared" si="3"/>
        <v>1.004016064257028E-3</v>
      </c>
      <c r="N16">
        <f t="shared" si="3"/>
        <v>9.6320554806395703E-4</v>
      </c>
      <c r="O16">
        <f t="shared" si="3"/>
        <v>1.0102143899427542E-3</v>
      </c>
      <c r="P16">
        <f t="shared" si="2"/>
        <v>0.74259868421052622</v>
      </c>
      <c r="Q16">
        <f t="shared" si="0"/>
        <v>0.71919191919191905</v>
      </c>
      <c r="R16">
        <f t="shared" si="0"/>
        <v>0.7206863679694947</v>
      </c>
      <c r="S16">
        <f t="shared" si="0"/>
        <v>2.8112449799196783E-2</v>
      </c>
      <c r="T16">
        <f t="shared" si="0"/>
        <v>2.6969755345790797E-2</v>
      </c>
      <c r="U16">
        <f t="shared" si="0"/>
        <v>2.828600291839712E-2</v>
      </c>
      <c r="X16">
        <v>28</v>
      </c>
      <c r="Y16">
        <v>114</v>
      </c>
      <c r="Z16">
        <v>10</v>
      </c>
      <c r="AB16">
        <f t="shared" si="5"/>
        <v>10</v>
      </c>
    </row>
    <row r="17" spans="1:28" x14ac:dyDescent="0.2">
      <c r="A17" s="610"/>
      <c r="B17">
        <v>29</v>
      </c>
      <c r="C17">
        <v>2.4465460526315787E-2</v>
      </c>
      <c r="D17">
        <v>2.3088023088023081E-2</v>
      </c>
      <c r="E17">
        <v>2.3832221163012392E-2</v>
      </c>
      <c r="F17">
        <v>2.008032128514056E-3</v>
      </c>
      <c r="G17">
        <v>2.0227316509343098E-3</v>
      </c>
      <c r="H17">
        <v>2.0204287798855085E-3</v>
      </c>
      <c r="I17">
        <v>29</v>
      </c>
      <c r="J17">
        <f t="shared" si="4"/>
        <v>2.4465460526315787E-2</v>
      </c>
      <c r="K17">
        <f t="shared" si="3"/>
        <v>2.3088023088023081E-2</v>
      </c>
      <c r="L17">
        <f t="shared" si="3"/>
        <v>2.3832221163012392E-2</v>
      </c>
      <c r="M17">
        <f t="shared" si="3"/>
        <v>2.008032128514056E-3</v>
      </c>
      <c r="N17">
        <f t="shared" si="3"/>
        <v>2.0227316509343098E-3</v>
      </c>
      <c r="O17">
        <f t="shared" si="3"/>
        <v>2.0204287798855085E-3</v>
      </c>
      <c r="P17">
        <f t="shared" si="2"/>
        <v>0.70949835526315785</v>
      </c>
      <c r="Q17">
        <f t="shared" si="0"/>
        <v>0.66955266955266934</v>
      </c>
      <c r="R17">
        <f t="shared" si="0"/>
        <v>0.6911344137273594</v>
      </c>
      <c r="S17">
        <f t="shared" si="0"/>
        <v>5.8232931726907626E-2</v>
      </c>
      <c r="T17">
        <f t="shared" si="0"/>
        <v>5.865921787709498E-2</v>
      </c>
      <c r="U17">
        <f t="shared" si="0"/>
        <v>5.8592434616679748E-2</v>
      </c>
      <c r="X17">
        <v>29</v>
      </c>
      <c r="Y17">
        <v>103</v>
      </c>
      <c r="Z17">
        <v>21</v>
      </c>
      <c r="AB17">
        <f t="shared" si="5"/>
        <v>21</v>
      </c>
    </row>
    <row r="18" spans="1:28" x14ac:dyDescent="0.2">
      <c r="A18" s="610"/>
      <c r="B18">
        <v>30</v>
      </c>
      <c r="C18">
        <v>2.7960526315789474E-2</v>
      </c>
      <c r="D18">
        <v>2.8571428571428564E-2</v>
      </c>
      <c r="E18">
        <v>2.9551954242135366E-2</v>
      </c>
      <c r="F18">
        <v>1.3901760889712697E-3</v>
      </c>
      <c r="G18">
        <v>1.0595261028703527E-3</v>
      </c>
      <c r="H18">
        <v>1.2347064765966997E-3</v>
      </c>
      <c r="I18">
        <v>30</v>
      </c>
      <c r="J18">
        <f t="shared" ref="J18:O18" si="6">SUM(C18:C47)</f>
        <v>0.43955592105263169</v>
      </c>
      <c r="K18">
        <f t="shared" si="6"/>
        <v>0.46378066378066357</v>
      </c>
      <c r="L18">
        <f t="shared" si="6"/>
        <v>0.4683825865904036</v>
      </c>
      <c r="M18">
        <f t="shared" si="6"/>
        <v>1.4905776953969723E-2</v>
      </c>
      <c r="N18">
        <f t="shared" si="6"/>
        <v>1.4159121556540168E-2</v>
      </c>
      <c r="O18">
        <f t="shared" si="6"/>
        <v>1.4816477719160392E-2</v>
      </c>
      <c r="P18">
        <f t="shared" si="2"/>
        <v>0.83881578947368418</v>
      </c>
      <c r="Q18">
        <f t="shared" si="0"/>
        <v>0.85714285714285687</v>
      </c>
      <c r="R18">
        <f t="shared" si="0"/>
        <v>0.88655862726406098</v>
      </c>
      <c r="S18">
        <f t="shared" si="0"/>
        <v>4.1705282669138088E-2</v>
      </c>
      <c r="T18">
        <f t="shared" si="0"/>
        <v>3.1785783086110582E-2</v>
      </c>
      <c r="U18">
        <f t="shared" si="0"/>
        <v>3.7041194297900995E-2</v>
      </c>
      <c r="X18">
        <v>30</v>
      </c>
      <c r="Y18">
        <v>93</v>
      </c>
      <c r="Z18">
        <v>11</v>
      </c>
      <c r="AB18">
        <v>147</v>
      </c>
    </row>
    <row r="19" spans="1:28" x14ac:dyDescent="0.2">
      <c r="A19" s="610"/>
      <c r="B19">
        <v>31</v>
      </c>
      <c r="C19">
        <v>2.6932565789473686E-2</v>
      </c>
      <c r="D19">
        <v>2.51082251082251E-2</v>
      </c>
      <c r="E19">
        <v>2.5103272958373054E-2</v>
      </c>
      <c r="F19">
        <v>6.1785603954278654E-4</v>
      </c>
      <c r="G19">
        <v>5.7792332883837422E-4</v>
      </c>
      <c r="H19">
        <v>6.7347625996183613E-4</v>
      </c>
      <c r="I19">
        <v>31</v>
      </c>
      <c r="P19">
        <f t="shared" si="2"/>
        <v>0.83490953947368429</v>
      </c>
      <c r="Q19">
        <f t="shared" si="0"/>
        <v>0.77835497835497813</v>
      </c>
      <c r="R19">
        <f t="shared" si="0"/>
        <v>0.77820146170956472</v>
      </c>
      <c r="S19">
        <f t="shared" si="0"/>
        <v>1.9153537225826384E-2</v>
      </c>
      <c r="T19">
        <f t="shared" si="0"/>
        <v>1.7915623193989601E-2</v>
      </c>
      <c r="U19">
        <f t="shared" si="0"/>
        <v>2.087776405881692E-2</v>
      </c>
      <c r="X19">
        <v>31</v>
      </c>
      <c r="Y19">
        <v>117</v>
      </c>
    </row>
    <row r="20" spans="1:28" x14ac:dyDescent="0.2">
      <c r="A20" s="610"/>
      <c r="B20">
        <v>32</v>
      </c>
      <c r="C20">
        <v>2.9399671052631578E-2</v>
      </c>
      <c r="D20">
        <v>3.1457431457431448E-2</v>
      </c>
      <c r="E20">
        <v>3.0505243088655862E-2</v>
      </c>
      <c r="F20">
        <v>8.4955205437133138E-4</v>
      </c>
      <c r="G20">
        <v>7.7056443845116562E-4</v>
      </c>
      <c r="H20">
        <v>8.9796834661578161E-4</v>
      </c>
      <c r="I20">
        <v>32</v>
      </c>
      <c r="P20">
        <f t="shared" si="2"/>
        <v>0.94078947368421051</v>
      </c>
      <c r="Q20">
        <f t="shared" si="0"/>
        <v>1.0066378066378063</v>
      </c>
      <c r="R20">
        <f t="shared" si="0"/>
        <v>0.97616777883698758</v>
      </c>
      <c r="S20">
        <f t="shared" si="0"/>
        <v>2.7185665739882604E-2</v>
      </c>
      <c r="T20">
        <f t="shared" si="0"/>
        <v>2.46580620304373E-2</v>
      </c>
      <c r="U20">
        <f t="shared" si="0"/>
        <v>2.8734987091705012E-2</v>
      </c>
      <c r="X20">
        <v>32</v>
      </c>
      <c r="Y20">
        <v>119</v>
      </c>
    </row>
    <row r="21" spans="1:28" x14ac:dyDescent="0.2">
      <c r="A21" s="610"/>
      <c r="B21">
        <v>33</v>
      </c>
      <c r="C21">
        <v>3.6800986842105261E-2</v>
      </c>
      <c r="D21">
        <v>3.8961038961038953E-2</v>
      </c>
      <c r="E21">
        <v>4.0991420400381312E-2</v>
      </c>
      <c r="F21">
        <v>1.3901760889712697E-3</v>
      </c>
      <c r="G21">
        <v>1.3484877672895398E-3</v>
      </c>
      <c r="H21">
        <v>1.3469525199236723E-3</v>
      </c>
      <c r="I21">
        <v>33</v>
      </c>
      <c r="P21">
        <f t="shared" si="2"/>
        <v>1.2144325657894737</v>
      </c>
      <c r="Q21">
        <f t="shared" ref="Q21:Q47" si="7">$B21*D21</f>
        <v>1.2857142857142854</v>
      </c>
      <c r="R21">
        <f t="shared" ref="R21:R47" si="8">$B21*E21</f>
        <v>1.3527168732125834</v>
      </c>
      <c r="S21">
        <f t="shared" ref="S21:S47" si="9">$B21*F21</f>
        <v>4.5875810936051899E-2</v>
      </c>
      <c r="T21">
        <f t="shared" ref="T21:T47" si="10">$B21*G21</f>
        <v>4.4500096320554815E-2</v>
      </c>
      <c r="U21">
        <f t="shared" ref="U21:U47" si="11">$B21*H21</f>
        <v>4.4449433157481184E-2</v>
      </c>
      <c r="X21">
        <v>33</v>
      </c>
      <c r="Y21">
        <v>93</v>
      </c>
    </row>
    <row r="22" spans="1:28" x14ac:dyDescent="0.2">
      <c r="A22" s="610"/>
      <c r="B22">
        <v>34</v>
      </c>
      <c r="C22">
        <v>3.1455592105263157E-2</v>
      </c>
      <c r="D22">
        <v>2.9148629148629143E-2</v>
      </c>
      <c r="E22">
        <v>2.9869717190975531E-2</v>
      </c>
      <c r="F22">
        <v>1.2357120790855731E-3</v>
      </c>
      <c r="G22">
        <v>1.0595261028703527E-3</v>
      </c>
      <c r="H22">
        <v>1.122460433269727E-3</v>
      </c>
      <c r="I22">
        <v>34</v>
      </c>
      <c r="P22">
        <f t="shared" si="2"/>
        <v>1.0694901315789473</v>
      </c>
      <c r="Q22">
        <f t="shared" si="7"/>
        <v>0.99105339105339085</v>
      </c>
      <c r="R22">
        <f t="shared" si="8"/>
        <v>1.0155703844931681</v>
      </c>
      <c r="S22">
        <f t="shared" si="9"/>
        <v>4.2014210688909481E-2</v>
      </c>
      <c r="T22">
        <f t="shared" si="10"/>
        <v>3.6023887497591993E-2</v>
      </c>
      <c r="U22">
        <f t="shared" si="11"/>
        <v>3.8163654731170719E-2</v>
      </c>
      <c r="X22">
        <v>34</v>
      </c>
      <c r="Y22">
        <v>102</v>
      </c>
    </row>
    <row r="23" spans="1:28" x14ac:dyDescent="0.2">
      <c r="A23" s="610"/>
      <c r="B23">
        <v>35</v>
      </c>
      <c r="C23">
        <v>3.2483552631578948E-2</v>
      </c>
      <c r="D23">
        <v>3.3477633477633467E-2</v>
      </c>
      <c r="E23">
        <v>3.336510962821735E-2</v>
      </c>
      <c r="F23">
        <v>1.1584800741427249E-3</v>
      </c>
      <c r="G23">
        <v>1.2521672124831439E-3</v>
      </c>
      <c r="H23">
        <v>1.3469525199236723E-3</v>
      </c>
      <c r="I23">
        <v>35</v>
      </c>
      <c r="P23">
        <f t="shared" si="2"/>
        <v>1.1369243421052633</v>
      </c>
      <c r="Q23">
        <f t="shared" si="7"/>
        <v>1.1717171717171713</v>
      </c>
      <c r="R23">
        <f t="shared" si="8"/>
        <v>1.1677788369876072</v>
      </c>
      <c r="S23">
        <f t="shared" si="9"/>
        <v>4.0546802594995372E-2</v>
      </c>
      <c r="T23">
        <f t="shared" si="10"/>
        <v>4.3825852436910034E-2</v>
      </c>
      <c r="U23">
        <f t="shared" si="11"/>
        <v>4.7143338197328528E-2</v>
      </c>
      <c r="X23">
        <v>35</v>
      </c>
      <c r="Y23">
        <v>116</v>
      </c>
    </row>
    <row r="24" spans="1:28" x14ac:dyDescent="0.2">
      <c r="A24" s="610"/>
      <c r="B24">
        <v>36</v>
      </c>
      <c r="C24">
        <v>3.3100328947368418E-2</v>
      </c>
      <c r="D24">
        <v>3.4632034632034625E-2</v>
      </c>
      <c r="E24">
        <v>3.6542739116619004E-2</v>
      </c>
      <c r="F24">
        <v>1.2357120790855731E-3</v>
      </c>
      <c r="G24">
        <v>1.3484877672895398E-3</v>
      </c>
      <c r="H24">
        <v>1.4591985632506452E-3</v>
      </c>
      <c r="I24">
        <v>36</v>
      </c>
      <c r="P24">
        <f t="shared" si="2"/>
        <v>1.1916118421052631</v>
      </c>
      <c r="Q24">
        <f t="shared" si="7"/>
        <v>1.2467532467532465</v>
      </c>
      <c r="R24">
        <f t="shared" si="8"/>
        <v>1.3155386081982841</v>
      </c>
      <c r="S24">
        <f t="shared" si="9"/>
        <v>4.4485634847080631E-2</v>
      </c>
      <c r="T24">
        <f t="shared" si="10"/>
        <v>4.8545559622423434E-2</v>
      </c>
      <c r="U24">
        <f t="shared" si="11"/>
        <v>5.253114827702323E-2</v>
      </c>
      <c r="X24">
        <v>36</v>
      </c>
      <c r="Y24">
        <v>90</v>
      </c>
    </row>
    <row r="25" spans="1:28" x14ac:dyDescent="0.2">
      <c r="A25" s="610"/>
      <c r="B25">
        <v>37</v>
      </c>
      <c r="C25">
        <v>2.8782894736842105E-2</v>
      </c>
      <c r="D25">
        <v>2.9725829725829721E-2</v>
      </c>
      <c r="E25">
        <v>3.0505243088655862E-2</v>
      </c>
      <c r="F25">
        <v>7.7232004942848318E-4</v>
      </c>
      <c r="G25">
        <v>7.7056443845116562E-4</v>
      </c>
      <c r="H25">
        <v>8.9796834661578161E-4</v>
      </c>
      <c r="I25">
        <v>37</v>
      </c>
      <c r="P25">
        <f t="shared" si="2"/>
        <v>1.064967105263158</v>
      </c>
      <c r="Q25">
        <f t="shared" si="7"/>
        <v>1.0998556998556996</v>
      </c>
      <c r="R25">
        <f t="shared" si="8"/>
        <v>1.128693994280267</v>
      </c>
      <c r="S25">
        <f t="shared" si="9"/>
        <v>2.8575841828853879E-2</v>
      </c>
      <c r="T25">
        <f t="shared" si="10"/>
        <v>2.8510884222693128E-2</v>
      </c>
      <c r="U25">
        <f t="shared" si="11"/>
        <v>3.322482882478392E-2</v>
      </c>
      <c r="X25">
        <v>37</v>
      </c>
      <c r="Y25">
        <v>124</v>
      </c>
    </row>
    <row r="26" spans="1:28" x14ac:dyDescent="0.2">
      <c r="A26" s="610"/>
      <c r="B26">
        <v>38</v>
      </c>
      <c r="C26">
        <v>2.754934210526316E-2</v>
      </c>
      <c r="D26">
        <v>3.1746031746031737E-2</v>
      </c>
      <c r="E26">
        <v>2.9869717190975531E-2</v>
      </c>
      <c r="F26">
        <v>1.0812480691998764E-3</v>
      </c>
      <c r="G26">
        <v>1.1558466576767484E-3</v>
      </c>
      <c r="H26">
        <v>1.2347064765966997E-3</v>
      </c>
      <c r="I26">
        <v>38</v>
      </c>
      <c r="P26">
        <f t="shared" si="2"/>
        <v>1.046875</v>
      </c>
      <c r="Q26">
        <f t="shared" si="7"/>
        <v>1.2063492063492061</v>
      </c>
      <c r="R26">
        <f t="shared" si="8"/>
        <v>1.1350492532570702</v>
      </c>
      <c r="S26">
        <f t="shared" si="9"/>
        <v>4.1087426629595303E-2</v>
      </c>
      <c r="T26">
        <f t="shared" si="10"/>
        <v>4.3922172991716441E-2</v>
      </c>
      <c r="U26">
        <f t="shared" si="11"/>
        <v>4.6918846110674588E-2</v>
      </c>
      <c r="X26">
        <v>38</v>
      </c>
      <c r="Y26">
        <v>94</v>
      </c>
    </row>
    <row r="27" spans="1:28" x14ac:dyDescent="0.2">
      <c r="A27" s="610"/>
      <c r="B27">
        <v>39</v>
      </c>
      <c r="C27">
        <v>2.0970394736842105E-2</v>
      </c>
      <c r="D27">
        <v>2.3376623376623371E-2</v>
      </c>
      <c r="E27">
        <v>2.4149984111852558E-2</v>
      </c>
      <c r="F27">
        <v>6.9508804448563486E-4</v>
      </c>
      <c r="G27">
        <v>6.7424388364476992E-4</v>
      </c>
      <c r="H27">
        <v>6.7347625996183613E-4</v>
      </c>
      <c r="I27">
        <v>39</v>
      </c>
      <c r="P27">
        <f t="shared" si="2"/>
        <v>0.81784539473684204</v>
      </c>
      <c r="Q27">
        <f t="shared" si="7"/>
        <v>0.91168831168831144</v>
      </c>
      <c r="R27">
        <f t="shared" si="8"/>
        <v>0.94184938036224974</v>
      </c>
      <c r="S27">
        <f t="shared" si="9"/>
        <v>2.710843373493976E-2</v>
      </c>
      <c r="T27">
        <f t="shared" si="10"/>
        <v>2.6295511462146027E-2</v>
      </c>
      <c r="U27">
        <f t="shared" si="11"/>
        <v>2.6265574138511608E-2</v>
      </c>
      <c r="X27">
        <v>39</v>
      </c>
      <c r="Y27">
        <v>78</v>
      </c>
    </row>
    <row r="28" spans="1:28" x14ac:dyDescent="0.2">
      <c r="A28" s="610"/>
      <c r="B28">
        <v>40</v>
      </c>
      <c r="C28">
        <v>1.7269736842105265E-2</v>
      </c>
      <c r="D28">
        <v>1.9047619047619042E-2</v>
      </c>
      <c r="E28">
        <v>1.8430251032729585E-2</v>
      </c>
      <c r="F28">
        <v>7.7232004942848318E-4</v>
      </c>
      <c r="G28">
        <v>6.7424388364476992E-4</v>
      </c>
      <c r="H28">
        <v>6.7347625996183613E-4</v>
      </c>
      <c r="I28">
        <v>40</v>
      </c>
      <c r="P28">
        <f t="shared" si="2"/>
        <v>0.69078947368421062</v>
      </c>
      <c r="Q28">
        <f t="shared" si="7"/>
        <v>0.76190476190476164</v>
      </c>
      <c r="R28">
        <f t="shared" si="8"/>
        <v>0.73721004130918333</v>
      </c>
      <c r="S28">
        <f t="shared" si="9"/>
        <v>3.0892801977139325E-2</v>
      </c>
      <c r="T28">
        <f t="shared" si="10"/>
        <v>2.6969755345790797E-2</v>
      </c>
      <c r="U28">
        <f t="shared" si="11"/>
        <v>2.6939050398473444E-2</v>
      </c>
      <c r="X28">
        <v>40</v>
      </c>
      <c r="Y28">
        <v>64</v>
      </c>
    </row>
    <row r="29" spans="1:28" x14ac:dyDescent="0.2">
      <c r="A29" s="610"/>
      <c r="B29">
        <v>41</v>
      </c>
      <c r="C29">
        <v>1.8297697368421052E-2</v>
      </c>
      <c r="D29">
        <v>1.9913419913419907E-2</v>
      </c>
      <c r="E29">
        <v>2.0336828725770573E-2</v>
      </c>
      <c r="F29">
        <v>9.2678405931417981E-4</v>
      </c>
      <c r="G29">
        <v>1.0595261028703527E-3</v>
      </c>
      <c r="H29">
        <v>1.0102143899427542E-3</v>
      </c>
      <c r="I29">
        <v>41</v>
      </c>
      <c r="P29">
        <f t="shared" si="2"/>
        <v>0.75020559210526316</v>
      </c>
      <c r="Q29">
        <f t="shared" si="7"/>
        <v>0.8164502164502162</v>
      </c>
      <c r="R29">
        <f t="shared" si="8"/>
        <v>0.83380997775659349</v>
      </c>
      <c r="S29">
        <f t="shared" si="9"/>
        <v>3.7998146431881374E-2</v>
      </c>
      <c r="T29">
        <f t="shared" si="10"/>
        <v>4.3440570217684465E-2</v>
      </c>
      <c r="U29">
        <f t="shared" si="11"/>
        <v>4.1418789987652922E-2</v>
      </c>
      <c r="X29">
        <v>41</v>
      </c>
      <c r="Y29">
        <v>58</v>
      </c>
    </row>
    <row r="30" spans="1:28" x14ac:dyDescent="0.2">
      <c r="A30" s="610"/>
      <c r="B30">
        <v>42</v>
      </c>
      <c r="C30">
        <v>1.7680921052631578E-2</v>
      </c>
      <c r="D30">
        <v>1.9913419913419907E-2</v>
      </c>
      <c r="E30">
        <v>1.9065776930409915E-2</v>
      </c>
      <c r="F30">
        <v>4.6339202965708991E-4</v>
      </c>
      <c r="G30">
        <v>4.8160277403197851E-4</v>
      </c>
      <c r="H30">
        <v>4.4898417330789081E-4</v>
      </c>
      <c r="I30">
        <v>42</v>
      </c>
      <c r="P30">
        <f t="shared" si="2"/>
        <v>0.74259868421052633</v>
      </c>
      <c r="Q30">
        <f t="shared" si="7"/>
        <v>0.83636363636363609</v>
      </c>
      <c r="R30">
        <f t="shared" si="8"/>
        <v>0.80076263107721646</v>
      </c>
      <c r="S30">
        <f t="shared" si="9"/>
        <v>1.9462465245597776E-2</v>
      </c>
      <c r="T30">
        <f t="shared" si="10"/>
        <v>2.0227316509343098E-2</v>
      </c>
      <c r="U30">
        <f t="shared" si="11"/>
        <v>1.8857335278931416E-2</v>
      </c>
      <c r="X30">
        <v>42</v>
      </c>
      <c r="Y30">
        <v>55</v>
      </c>
    </row>
    <row r="31" spans="1:28" x14ac:dyDescent="0.2">
      <c r="A31" s="610"/>
      <c r="B31">
        <v>43</v>
      </c>
      <c r="C31">
        <v>1.4802631578947369E-2</v>
      </c>
      <c r="D31">
        <v>1.6161616161616158E-2</v>
      </c>
      <c r="E31">
        <v>1.6205910390848427E-2</v>
      </c>
      <c r="F31">
        <v>4.6339202965708991E-4</v>
      </c>
      <c r="G31">
        <v>3.8528221922558281E-4</v>
      </c>
      <c r="H31">
        <v>3.3673812998091806E-4</v>
      </c>
      <c r="I31">
        <v>43</v>
      </c>
      <c r="P31">
        <f t="shared" si="2"/>
        <v>0.63651315789473684</v>
      </c>
      <c r="Q31">
        <f t="shared" si="7"/>
        <v>0.69494949494949476</v>
      </c>
      <c r="R31">
        <f t="shared" si="8"/>
        <v>0.69685414680648239</v>
      </c>
      <c r="S31">
        <f t="shared" si="9"/>
        <v>1.9925857275254866E-2</v>
      </c>
      <c r="T31">
        <f t="shared" si="10"/>
        <v>1.6567135426700061E-2</v>
      </c>
      <c r="U31">
        <f t="shared" si="11"/>
        <v>1.4479739589179476E-2</v>
      </c>
      <c r="X31">
        <v>43</v>
      </c>
      <c r="Y31">
        <v>60</v>
      </c>
    </row>
    <row r="32" spans="1:28" x14ac:dyDescent="0.2">
      <c r="A32" s="610"/>
      <c r="B32">
        <v>44</v>
      </c>
      <c r="C32">
        <v>1.5830592105263157E-2</v>
      </c>
      <c r="D32">
        <v>1.8470418470418467E-2</v>
      </c>
      <c r="E32">
        <v>1.874801398156975E-2</v>
      </c>
      <c r="F32">
        <v>3.0892801977139327E-4</v>
      </c>
      <c r="G32">
        <v>2.8896166441918711E-4</v>
      </c>
      <c r="H32">
        <v>2.244920866539454E-4</v>
      </c>
      <c r="I32">
        <v>44</v>
      </c>
      <c r="P32">
        <f t="shared" si="2"/>
        <v>0.69654605263157887</v>
      </c>
      <c r="Q32">
        <f t="shared" si="7"/>
        <v>0.81269841269841259</v>
      </c>
      <c r="R32">
        <f t="shared" si="8"/>
        <v>0.824912615189069</v>
      </c>
      <c r="S32">
        <f t="shared" si="9"/>
        <v>1.3592832869941304E-2</v>
      </c>
      <c r="T32">
        <f t="shared" si="10"/>
        <v>1.2714313234444233E-2</v>
      </c>
      <c r="U32">
        <f t="shared" si="11"/>
        <v>9.8776518127735979E-3</v>
      </c>
      <c r="X32">
        <v>44</v>
      </c>
      <c r="Y32">
        <v>42</v>
      </c>
    </row>
    <row r="33" spans="1:25" x14ac:dyDescent="0.2">
      <c r="A33" s="610"/>
      <c r="B33">
        <v>45</v>
      </c>
      <c r="C33">
        <v>1.1101973684210526E-2</v>
      </c>
      <c r="D33">
        <v>1.01010101010101E-2</v>
      </c>
      <c r="E33">
        <v>9.5328884652049577E-3</v>
      </c>
      <c r="F33">
        <v>3.8616002471424159E-4</v>
      </c>
      <c r="G33">
        <v>3.8528221922558281E-4</v>
      </c>
      <c r="H33">
        <v>4.4898417330789081E-4</v>
      </c>
      <c r="I33">
        <v>45</v>
      </c>
      <c r="P33">
        <f t="shared" si="2"/>
        <v>0.49958881578947367</v>
      </c>
      <c r="Q33">
        <f t="shared" si="7"/>
        <v>0.45454545454545453</v>
      </c>
      <c r="R33">
        <f t="shared" si="8"/>
        <v>0.42897998093422307</v>
      </c>
      <c r="S33">
        <f t="shared" si="9"/>
        <v>1.7377201112140871E-2</v>
      </c>
      <c r="T33">
        <f t="shared" si="10"/>
        <v>1.7337699865151227E-2</v>
      </c>
      <c r="U33">
        <f t="shared" si="11"/>
        <v>2.0204287798855088E-2</v>
      </c>
      <c r="X33">
        <v>45</v>
      </c>
      <c r="Y33">
        <v>38</v>
      </c>
    </row>
    <row r="34" spans="1:25" x14ac:dyDescent="0.2">
      <c r="A34" s="610"/>
      <c r="B34">
        <v>46</v>
      </c>
      <c r="C34">
        <v>1.0279605263157894E-2</v>
      </c>
      <c r="D34">
        <v>9.8124098124098107E-3</v>
      </c>
      <c r="E34">
        <v>9.8506514140451213E-3</v>
      </c>
      <c r="F34">
        <v>0</v>
      </c>
      <c r="G34">
        <v>0</v>
      </c>
      <c r="H34">
        <v>0</v>
      </c>
      <c r="I34">
        <v>46</v>
      </c>
      <c r="P34">
        <f t="shared" si="2"/>
        <v>0.47286184210526311</v>
      </c>
      <c r="Q34">
        <f t="shared" si="7"/>
        <v>0.45137085137085131</v>
      </c>
      <c r="R34">
        <f t="shared" si="8"/>
        <v>0.45312996504607556</v>
      </c>
      <c r="S34">
        <f t="shared" si="9"/>
        <v>0</v>
      </c>
      <c r="T34">
        <f t="shared" si="10"/>
        <v>0</v>
      </c>
      <c r="U34">
        <f t="shared" si="11"/>
        <v>0</v>
      </c>
      <c r="X34">
        <v>46</v>
      </c>
      <c r="Y34">
        <v>39</v>
      </c>
    </row>
    <row r="35" spans="1:25" x14ac:dyDescent="0.2">
      <c r="A35" s="610"/>
      <c r="B35">
        <v>47</v>
      </c>
      <c r="C35">
        <v>1.0279605263157894E-2</v>
      </c>
      <c r="D35">
        <v>1.183261183261183E-2</v>
      </c>
      <c r="E35">
        <v>1.2392755004766444E-2</v>
      </c>
      <c r="F35">
        <v>2.3169601482854495E-4</v>
      </c>
      <c r="G35">
        <v>1.9264110961279141E-4</v>
      </c>
      <c r="H35">
        <v>2.244920866539454E-4</v>
      </c>
      <c r="I35">
        <v>47</v>
      </c>
      <c r="P35">
        <f t="shared" si="2"/>
        <v>0.48314144736842102</v>
      </c>
      <c r="Q35">
        <f t="shared" si="7"/>
        <v>0.55613275613275603</v>
      </c>
      <c r="R35">
        <f t="shared" si="8"/>
        <v>0.58245948522402291</v>
      </c>
      <c r="S35">
        <f t="shared" si="9"/>
        <v>1.0889712696941613E-2</v>
      </c>
      <c r="T35">
        <f t="shared" si="10"/>
        <v>9.0541321518011961E-3</v>
      </c>
      <c r="U35">
        <f t="shared" si="11"/>
        <v>1.0551128072735434E-2</v>
      </c>
      <c r="X35">
        <v>47</v>
      </c>
      <c r="Y35">
        <v>46</v>
      </c>
    </row>
    <row r="36" spans="1:25" x14ac:dyDescent="0.2">
      <c r="A36" s="610"/>
      <c r="B36">
        <v>48</v>
      </c>
      <c r="C36">
        <v>7.6069078947368415E-3</v>
      </c>
      <c r="D36">
        <v>8.6580086580086563E-3</v>
      </c>
      <c r="E36">
        <v>8.8973625675246269E-3</v>
      </c>
      <c r="F36">
        <v>3.8616002471424159E-4</v>
      </c>
      <c r="G36">
        <v>2.8896166441918711E-4</v>
      </c>
      <c r="H36">
        <v>1.122460433269727E-4</v>
      </c>
      <c r="I36">
        <v>48</v>
      </c>
      <c r="P36">
        <f t="shared" si="2"/>
        <v>0.36513157894736836</v>
      </c>
      <c r="Q36">
        <f t="shared" si="7"/>
        <v>0.4155844155844155</v>
      </c>
      <c r="R36">
        <f t="shared" si="8"/>
        <v>0.42707340324118209</v>
      </c>
      <c r="S36">
        <f t="shared" si="9"/>
        <v>1.8535681186283598E-2</v>
      </c>
      <c r="T36">
        <f t="shared" si="10"/>
        <v>1.3870159892120981E-2</v>
      </c>
      <c r="U36">
        <f t="shared" si="11"/>
        <v>5.3878100796946899E-3</v>
      </c>
      <c r="X36">
        <v>48</v>
      </c>
      <c r="Y36">
        <v>29</v>
      </c>
    </row>
    <row r="37" spans="1:25" x14ac:dyDescent="0.2">
      <c r="A37" s="610"/>
      <c r="B37">
        <v>49</v>
      </c>
      <c r="C37">
        <v>6.5789473684210531E-3</v>
      </c>
      <c r="D37">
        <v>6.6378066378066361E-3</v>
      </c>
      <c r="E37">
        <v>6.6730219256434693E-3</v>
      </c>
      <c r="F37">
        <v>1.5446400988569664E-4</v>
      </c>
      <c r="G37">
        <v>9.6320554806395703E-5</v>
      </c>
      <c r="H37">
        <v>1.122460433269727E-4</v>
      </c>
      <c r="I37">
        <v>49</v>
      </c>
      <c r="P37">
        <f t="shared" si="2"/>
        <v>0.32236842105263158</v>
      </c>
      <c r="Q37">
        <f t="shared" si="7"/>
        <v>0.32525252525252518</v>
      </c>
      <c r="R37">
        <f t="shared" si="8"/>
        <v>0.32697807435652998</v>
      </c>
      <c r="S37">
        <f t="shared" si="9"/>
        <v>7.5687364843991349E-3</v>
      </c>
      <c r="T37">
        <f t="shared" si="10"/>
        <v>4.7197071855133894E-3</v>
      </c>
      <c r="U37">
        <f t="shared" si="11"/>
        <v>5.500056123021662E-3</v>
      </c>
      <c r="X37">
        <v>49</v>
      </c>
      <c r="Y37">
        <v>21</v>
      </c>
    </row>
    <row r="38" spans="1:25" x14ac:dyDescent="0.2">
      <c r="A38" s="610"/>
      <c r="B38">
        <v>50</v>
      </c>
      <c r="C38">
        <v>3.4950657894736842E-3</v>
      </c>
      <c r="D38">
        <v>4.0404040404040395E-3</v>
      </c>
      <c r="E38">
        <v>3.8131553860819827E-3</v>
      </c>
      <c r="F38">
        <v>7.7232004942848318E-5</v>
      </c>
      <c r="I38">
        <v>50</v>
      </c>
      <c r="P38">
        <f t="shared" si="2"/>
        <v>0.17475328947368421</v>
      </c>
      <c r="Q38">
        <f t="shared" si="7"/>
        <v>0.20202020202020199</v>
      </c>
      <c r="R38">
        <f t="shared" si="8"/>
        <v>0.19065776930409914</v>
      </c>
      <c r="S38">
        <f t="shared" si="9"/>
        <v>3.8616002471424157E-3</v>
      </c>
      <c r="T38">
        <f t="shared" si="10"/>
        <v>0</v>
      </c>
      <c r="U38">
        <f t="shared" si="11"/>
        <v>0</v>
      </c>
      <c r="X38">
        <v>50</v>
      </c>
      <c r="Y38">
        <v>20</v>
      </c>
    </row>
    <row r="39" spans="1:25" x14ac:dyDescent="0.2">
      <c r="A39" s="610"/>
      <c r="B39">
        <v>51</v>
      </c>
      <c r="C39">
        <v>2.0559210526315788E-3</v>
      </c>
      <c r="D39">
        <v>2.8860028860028851E-3</v>
      </c>
      <c r="E39">
        <v>3.1776294884016524E-3</v>
      </c>
      <c r="F39">
        <v>0</v>
      </c>
      <c r="G39">
        <v>0</v>
      </c>
      <c r="H39">
        <v>0</v>
      </c>
      <c r="I39">
        <v>51</v>
      </c>
      <c r="P39">
        <f t="shared" si="2"/>
        <v>0.10485197368421052</v>
      </c>
      <c r="Q39">
        <f t="shared" si="7"/>
        <v>0.14718614718614714</v>
      </c>
      <c r="R39">
        <f t="shared" si="8"/>
        <v>0.16205910390848427</v>
      </c>
      <c r="S39">
        <f t="shared" si="9"/>
        <v>0</v>
      </c>
      <c r="T39">
        <f t="shared" si="10"/>
        <v>0</v>
      </c>
      <c r="U39">
        <f t="shared" si="11"/>
        <v>0</v>
      </c>
      <c r="X39">
        <v>51</v>
      </c>
      <c r="Y39">
        <v>16</v>
      </c>
    </row>
    <row r="40" spans="1:25" x14ac:dyDescent="0.2">
      <c r="A40" s="610"/>
      <c r="B40">
        <v>52</v>
      </c>
      <c r="C40">
        <v>2.0559210526315788E-3</v>
      </c>
      <c r="D40">
        <v>2.3088023088023084E-3</v>
      </c>
      <c r="E40">
        <v>2.5421035907213217E-3</v>
      </c>
      <c r="F40">
        <v>7.7232004942848318E-5</v>
      </c>
      <c r="G40">
        <v>9.6320554806395703E-5</v>
      </c>
      <c r="H40">
        <v>1.122460433269727E-4</v>
      </c>
      <c r="I40">
        <v>52</v>
      </c>
      <c r="P40">
        <f t="shared" si="2"/>
        <v>0.1069078947368421</v>
      </c>
      <c r="Q40">
        <f t="shared" si="7"/>
        <v>0.12005772005772003</v>
      </c>
      <c r="R40">
        <f t="shared" si="8"/>
        <v>0.13218938671750874</v>
      </c>
      <c r="S40">
        <f t="shared" si="9"/>
        <v>4.0160642570281121E-3</v>
      </c>
      <c r="T40">
        <f t="shared" si="10"/>
        <v>5.0086688499325766E-3</v>
      </c>
      <c r="U40">
        <f t="shared" si="11"/>
        <v>5.8367942530025809E-3</v>
      </c>
      <c r="X40">
        <v>52</v>
      </c>
      <c r="Y40">
        <v>12</v>
      </c>
    </row>
    <row r="41" spans="1:25" x14ac:dyDescent="0.2">
      <c r="A41" s="610"/>
      <c r="B41">
        <v>53</v>
      </c>
      <c r="C41">
        <v>2.4671052631578946E-3</v>
      </c>
      <c r="D41">
        <v>2.8860028860028851E-3</v>
      </c>
      <c r="E41">
        <v>2.859866539561487E-3</v>
      </c>
      <c r="F41">
        <v>0</v>
      </c>
      <c r="G41">
        <v>0</v>
      </c>
      <c r="H41">
        <v>0</v>
      </c>
      <c r="I41">
        <v>53</v>
      </c>
      <c r="P41">
        <f t="shared" si="2"/>
        <v>0.13075657894736842</v>
      </c>
      <c r="Q41">
        <f t="shared" si="7"/>
        <v>0.1529581529581529</v>
      </c>
      <c r="R41">
        <f t="shared" si="8"/>
        <v>0.15157292659675881</v>
      </c>
      <c r="S41">
        <f t="shared" si="9"/>
        <v>0</v>
      </c>
      <c r="T41">
        <f t="shared" si="10"/>
        <v>0</v>
      </c>
      <c r="U41">
        <f t="shared" si="11"/>
        <v>0</v>
      </c>
      <c r="X41">
        <v>53</v>
      </c>
      <c r="Y41">
        <v>4</v>
      </c>
    </row>
    <row r="42" spans="1:25" x14ac:dyDescent="0.2">
      <c r="A42" s="610"/>
      <c r="B42">
        <v>54</v>
      </c>
      <c r="C42">
        <v>2.4671052631578946E-3</v>
      </c>
      <c r="D42">
        <v>2.5974025974025965E-3</v>
      </c>
      <c r="E42">
        <v>2.859866539561487E-3</v>
      </c>
      <c r="F42">
        <v>7.7232004942848318E-5</v>
      </c>
      <c r="G42">
        <v>9.6320554806395703E-5</v>
      </c>
      <c r="H42">
        <v>1.122460433269727E-4</v>
      </c>
      <c r="I42">
        <v>54</v>
      </c>
      <c r="P42">
        <f t="shared" si="2"/>
        <v>0.1332236842105263</v>
      </c>
      <c r="Q42">
        <f t="shared" si="7"/>
        <v>0.14025974025974022</v>
      </c>
      <c r="R42">
        <f t="shared" si="8"/>
        <v>0.1544327931363203</v>
      </c>
      <c r="S42">
        <f t="shared" si="9"/>
        <v>4.1705282669138094E-3</v>
      </c>
      <c r="T42">
        <f t="shared" si="10"/>
        <v>5.201309959545368E-3</v>
      </c>
      <c r="U42">
        <f t="shared" si="11"/>
        <v>6.0612863396565259E-3</v>
      </c>
      <c r="X42">
        <v>54</v>
      </c>
      <c r="Y42">
        <v>4</v>
      </c>
    </row>
    <row r="43" spans="1:25" x14ac:dyDescent="0.2">
      <c r="A43" s="610"/>
      <c r="B43">
        <v>55</v>
      </c>
      <c r="C43">
        <v>6.1677631578947365E-4</v>
      </c>
      <c r="D43">
        <v>5.7720057720057709E-4</v>
      </c>
      <c r="E43">
        <v>6.3552589768033042E-4</v>
      </c>
      <c r="F43">
        <v>1.5446400988569664E-4</v>
      </c>
      <c r="G43">
        <v>9.6320554806395703E-5</v>
      </c>
      <c r="H43">
        <v>1.122460433269727E-4</v>
      </c>
      <c r="I43">
        <v>55</v>
      </c>
      <c r="P43">
        <f t="shared" si="2"/>
        <v>3.3922697368421052E-2</v>
      </c>
      <c r="Q43">
        <f t="shared" si="7"/>
        <v>3.1746031746031737E-2</v>
      </c>
      <c r="R43">
        <f t="shared" si="8"/>
        <v>3.495392437241817E-2</v>
      </c>
      <c r="S43">
        <f t="shared" si="9"/>
        <v>8.4955205437133152E-3</v>
      </c>
      <c r="T43">
        <f t="shared" si="10"/>
        <v>5.2976305143517637E-3</v>
      </c>
      <c r="U43">
        <f t="shared" si="11"/>
        <v>6.1735323829834989E-3</v>
      </c>
      <c r="X43">
        <v>55</v>
      </c>
      <c r="Y43">
        <v>2</v>
      </c>
    </row>
    <row r="44" spans="1:25" x14ac:dyDescent="0.2">
      <c r="A44" s="610"/>
      <c r="B44">
        <v>56</v>
      </c>
      <c r="C44">
        <v>6.1677631578947365E-4</v>
      </c>
      <c r="D44">
        <v>8.6580086580086558E-4</v>
      </c>
      <c r="E44">
        <v>9.5328884652049568E-4</v>
      </c>
      <c r="F44">
        <v>0</v>
      </c>
      <c r="G44">
        <v>0</v>
      </c>
      <c r="H44">
        <v>0</v>
      </c>
      <c r="I44">
        <v>56</v>
      </c>
      <c r="P44">
        <f t="shared" si="2"/>
        <v>3.4539473684210523E-2</v>
      </c>
      <c r="Q44">
        <f t="shared" si="7"/>
        <v>4.8484848484848471E-2</v>
      </c>
      <c r="R44">
        <f t="shared" si="8"/>
        <v>5.3384175405147755E-2</v>
      </c>
      <c r="S44">
        <f t="shared" si="9"/>
        <v>0</v>
      </c>
      <c r="T44">
        <f t="shared" si="10"/>
        <v>0</v>
      </c>
      <c r="U44">
        <f t="shared" si="11"/>
        <v>0</v>
      </c>
      <c r="X44">
        <v>56</v>
      </c>
      <c r="Y44">
        <v>1</v>
      </c>
    </row>
    <row r="45" spans="1:25" x14ac:dyDescent="0.2">
      <c r="A45" s="610"/>
      <c r="B45">
        <v>57</v>
      </c>
      <c r="C45">
        <v>4.1118421052631582E-4</v>
      </c>
      <c r="D45">
        <v>5.7720057720057709E-4</v>
      </c>
      <c r="E45">
        <v>6.3552589768033042E-4</v>
      </c>
      <c r="F45">
        <v>0</v>
      </c>
      <c r="G45">
        <v>0</v>
      </c>
      <c r="H45">
        <v>0</v>
      </c>
      <c r="I45">
        <v>57</v>
      </c>
      <c r="P45">
        <f t="shared" si="2"/>
        <v>2.3437500000000003E-2</v>
      </c>
      <c r="Q45">
        <f t="shared" si="7"/>
        <v>3.2900432900432895E-2</v>
      </c>
      <c r="R45">
        <f t="shared" si="8"/>
        <v>3.6224976167778832E-2</v>
      </c>
      <c r="S45">
        <f t="shared" si="9"/>
        <v>0</v>
      </c>
      <c r="T45">
        <f t="shared" si="10"/>
        <v>0</v>
      </c>
      <c r="U45">
        <f t="shared" si="11"/>
        <v>0</v>
      </c>
      <c r="X45">
        <v>57</v>
      </c>
      <c r="Y45">
        <v>1</v>
      </c>
    </row>
    <row r="46" spans="1:25" x14ac:dyDescent="0.2">
      <c r="A46" s="610"/>
      <c r="B46">
        <v>62</v>
      </c>
      <c r="C46">
        <v>2.0559210526315791E-4</v>
      </c>
      <c r="D46">
        <v>2.8860028860028855E-4</v>
      </c>
      <c r="E46">
        <v>3.1776294884016521E-4</v>
      </c>
      <c r="F46">
        <v>0</v>
      </c>
      <c r="G46">
        <v>0</v>
      </c>
      <c r="H46">
        <v>0</v>
      </c>
      <c r="I46">
        <v>62</v>
      </c>
      <c r="P46">
        <f t="shared" si="2"/>
        <v>1.2746710526315791E-2</v>
      </c>
      <c r="Q46">
        <f t="shared" si="7"/>
        <v>1.7893217893217891E-2</v>
      </c>
      <c r="R46">
        <f t="shared" si="8"/>
        <v>1.9701302828090243E-2</v>
      </c>
      <c r="S46">
        <f t="shared" si="9"/>
        <v>0</v>
      </c>
      <c r="T46">
        <f t="shared" si="10"/>
        <v>0</v>
      </c>
      <c r="U46">
        <f t="shared" si="11"/>
        <v>0</v>
      </c>
      <c r="X46">
        <v>62</v>
      </c>
      <c r="Y46">
        <v>1</v>
      </c>
    </row>
    <row r="47" spans="1:25" x14ac:dyDescent="0.2">
      <c r="A47" s="610"/>
      <c r="B47">
        <v>65</v>
      </c>
      <c r="F47">
        <v>0</v>
      </c>
      <c r="G47">
        <v>0</v>
      </c>
      <c r="H47">
        <v>0</v>
      </c>
      <c r="I47">
        <v>65</v>
      </c>
      <c r="P47">
        <f t="shared" si="2"/>
        <v>0</v>
      </c>
      <c r="Q47">
        <f t="shared" si="7"/>
        <v>0</v>
      </c>
      <c r="R47">
        <f t="shared" si="8"/>
        <v>0</v>
      </c>
      <c r="S47">
        <f t="shared" si="9"/>
        <v>0</v>
      </c>
      <c r="T47">
        <f t="shared" si="10"/>
        <v>0</v>
      </c>
      <c r="U47">
        <f t="shared" si="11"/>
        <v>0</v>
      </c>
      <c r="X47">
        <v>65</v>
      </c>
      <c r="Y47">
        <v>1</v>
      </c>
    </row>
    <row r="48" spans="1:25" x14ac:dyDescent="0.2">
      <c r="P48">
        <f t="shared" ref="P48:U48" si="12">SUM(P5:P47)</f>
        <v>29.51541940789474</v>
      </c>
      <c r="Q48">
        <f t="shared" si="12"/>
        <v>30.012121212121201</v>
      </c>
      <c r="R48">
        <f t="shared" si="12"/>
        <v>30.108992691452176</v>
      </c>
      <c r="S48">
        <f t="shared" si="12"/>
        <v>20.343759654000614</v>
      </c>
      <c r="T48">
        <f t="shared" si="12"/>
        <v>20.333750722404158</v>
      </c>
      <c r="U48">
        <f t="shared" si="12"/>
        <v>20.367381299809189</v>
      </c>
    </row>
  </sheetData>
  <mergeCells count="5">
    <mergeCell ref="A5:A47"/>
    <mergeCell ref="A1:B4"/>
    <mergeCell ref="C1:H1"/>
    <mergeCell ref="C2:E2"/>
    <mergeCell ref="F2:H2"/>
  </mergeCells>
  <phoneticPr fontId="1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9</vt:i4>
      </vt:variant>
    </vt:vector>
  </HeadingPairs>
  <TitlesOfParts>
    <vt:vector size="18" baseType="lpstr">
      <vt:lpstr>voš_obsah</vt:lpstr>
      <vt:lpstr>voš_vše </vt:lpstr>
      <vt:lpstr>voš_druh studia </vt:lpstr>
      <vt:lpstr>voš_zřizovatel</vt:lpstr>
      <vt:lpstr>voš_obory </vt:lpstr>
      <vt:lpstr>voš_sex </vt:lpstr>
      <vt:lpstr>voš_věk x dfst </vt:lpstr>
      <vt:lpstr>voš_věk </vt:lpstr>
      <vt:lpstr>List1</vt:lpstr>
      <vt:lpstr>'voš_obory '!Názvy_tisku</vt:lpstr>
      <vt:lpstr>'voš_druh studia '!Oblast_tisku</vt:lpstr>
      <vt:lpstr>'voš_obory '!Oblast_tisku</vt:lpstr>
      <vt:lpstr>voš_obsah!Oblast_tisku</vt:lpstr>
      <vt:lpstr>'voš_sex '!Oblast_tisku</vt:lpstr>
      <vt:lpstr>'voš_věk '!Oblast_tisku</vt:lpstr>
      <vt:lpstr>'voš_věk x dfst '!Oblast_tisku</vt:lpstr>
      <vt:lpstr>'voš_vše '!Oblast_tisku</vt:lpstr>
      <vt:lpstr>voš_zřizovatel!Oblast_tisku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KLEŇHOVÁ</dc:creator>
  <cp:lastModifiedBy>Hulík Vladimír</cp:lastModifiedBy>
  <cp:lastPrinted>2013-01-04T13:53:19Z</cp:lastPrinted>
  <dcterms:created xsi:type="dcterms:W3CDTF">2002-01-04T13:49:23Z</dcterms:created>
  <dcterms:modified xsi:type="dcterms:W3CDTF">2022-09-22T09:49:21Z</dcterms:modified>
</cp:coreProperties>
</file>