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O:\Sekce_V\52_odbor_senovazne\521\OMDV\SVODKY\svodky2023\uchazeč\"/>
    </mc:Choice>
  </mc:AlternateContent>
  <xr:revisionPtr revIDLastSave="0" documentId="13_ncr:1_{176FA36F-E4AF-4B0B-BEA6-2286C09FEF59}" xr6:coauthVersionLast="47" xr6:coauthVersionMax="47" xr10:uidLastSave="{00000000-0000-0000-0000-000000000000}"/>
  <bookViews>
    <workbookView xWindow="-120" yWindow="-120" windowWidth="29040" windowHeight="15720" tabRatio="754" activeTab="1" xr2:uid="{00000000-000D-0000-FFFF-FFFF00000000}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'!$A$1:$K$84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'!$A$1:$O$78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'!$A$1:$P$95</definedName>
    <definedName name="_xlnm.Print_Area" localSheetId="3">voš_zřizovatel!$A$1:$I$88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3" i="4" l="1"/>
  <c r="AB54" i="20"/>
  <c r="AB48" i="20"/>
  <c r="AB49" i="20"/>
  <c r="AB50" i="20"/>
  <c r="AB51" i="20"/>
  <c r="AB52" i="20"/>
  <c r="AB53" i="20"/>
  <c r="AB47" i="20"/>
  <c r="O77" i="7"/>
  <c r="N77" i="7"/>
  <c r="M77" i="7"/>
  <c r="J77" i="7"/>
  <c r="F77" i="7"/>
  <c r="D77" i="7"/>
  <c r="O76" i="7"/>
  <c r="N76" i="7"/>
  <c r="M76" i="7"/>
  <c r="J76" i="7"/>
  <c r="F76" i="7"/>
  <c r="D76" i="7"/>
  <c r="Z111" i="6"/>
  <c r="Z118" i="6" s="1"/>
  <c r="Z63" i="6"/>
  <c r="Z86" i="6"/>
  <c r="Z75" i="6"/>
  <c r="Z50" i="6"/>
  <c r="Z27" i="6"/>
  <c r="Z31" i="6" s="1"/>
  <c r="Z123" i="6"/>
  <c r="Z85" i="6"/>
  <c r="Z84" i="6"/>
  <c r="Z83" i="6"/>
  <c r="Z82" i="6"/>
  <c r="Z81" i="6"/>
  <c r="Z80" i="6"/>
  <c r="Z79" i="6"/>
  <c r="Z78" i="6"/>
  <c r="Z77" i="6"/>
  <c r="Z49" i="6"/>
  <c r="Z48" i="6"/>
  <c r="Z47" i="6"/>
  <c r="Z46" i="6"/>
  <c r="Z45" i="6"/>
  <c r="Z44" i="6"/>
  <c r="Z43" i="6"/>
  <c r="Z42" i="6"/>
  <c r="Z41" i="6"/>
  <c r="Z15" i="6"/>
  <c r="G128" i="5"/>
  <c r="F128" i="5"/>
  <c r="E128" i="5"/>
  <c r="C128" i="5"/>
  <c r="D128" i="5" s="1"/>
  <c r="B128" i="5"/>
  <c r="I127" i="5"/>
  <c r="H127" i="5"/>
  <c r="D127" i="5"/>
  <c r="I126" i="5"/>
  <c r="H126" i="5"/>
  <c r="D126" i="5"/>
  <c r="I125" i="5"/>
  <c r="H125" i="5"/>
  <c r="D125" i="5"/>
  <c r="Z29" i="3"/>
  <c r="Y29" i="3"/>
  <c r="Z26" i="3"/>
  <c r="I103" i="4"/>
  <c r="H103" i="4"/>
  <c r="K103" i="4" s="1"/>
  <c r="B103" i="4"/>
  <c r="I99" i="4"/>
  <c r="Y111" i="6" s="1"/>
  <c r="H99" i="4"/>
  <c r="F123" i="5" s="1"/>
  <c r="C99" i="4"/>
  <c r="B99" i="4"/>
  <c r="F99" i="4" s="1"/>
  <c r="F103" i="4"/>
  <c r="K102" i="4"/>
  <c r="J102" i="4"/>
  <c r="F102" i="4"/>
  <c r="D102" i="4"/>
  <c r="K101" i="4"/>
  <c r="J101" i="4"/>
  <c r="F101" i="4"/>
  <c r="D101" i="4"/>
  <c r="K93" i="3"/>
  <c r="J93" i="3"/>
  <c r="I93" i="3"/>
  <c r="H93" i="3"/>
  <c r="G93" i="3"/>
  <c r="F93" i="3"/>
  <c r="E93" i="3"/>
  <c r="D93" i="3"/>
  <c r="C93" i="3"/>
  <c r="B93" i="3"/>
  <c r="A94" i="3"/>
  <c r="A93" i="3"/>
  <c r="A64" i="3"/>
  <c r="M64" i="3"/>
  <c r="L64" i="3"/>
  <c r="Y26" i="3"/>
  <c r="Y33" i="3"/>
  <c r="Y32" i="3"/>
  <c r="Y15" i="3"/>
  <c r="Y16" i="3" s="1"/>
  <c r="Y13" i="3"/>
  <c r="Y12" i="3"/>
  <c r="Y14" i="3" s="1"/>
  <c r="Z12" i="3"/>
  <c r="Z14" i="3" s="1"/>
  <c r="AA54" i="20"/>
  <c r="AA48" i="20"/>
  <c r="AA49" i="20"/>
  <c r="AA50" i="20"/>
  <c r="AA51" i="20"/>
  <c r="AA52" i="20"/>
  <c r="AA53" i="20"/>
  <c r="AA47" i="20"/>
  <c r="O74" i="7"/>
  <c r="N74" i="7"/>
  <c r="M74" i="7"/>
  <c r="O73" i="7"/>
  <c r="N73" i="7"/>
  <c r="M73" i="7"/>
  <c r="J74" i="7"/>
  <c r="J73" i="7"/>
  <c r="F74" i="7"/>
  <c r="F73" i="7"/>
  <c r="D74" i="7"/>
  <c r="D73" i="7"/>
  <c r="Y77" i="6"/>
  <c r="X77" i="6"/>
  <c r="Y85" i="6"/>
  <c r="Y84" i="6"/>
  <c r="Y83" i="6"/>
  <c r="Y82" i="6"/>
  <c r="Y81" i="6"/>
  <c r="Y80" i="6"/>
  <c r="Y79" i="6"/>
  <c r="Y78" i="6"/>
  <c r="Y63" i="6"/>
  <c r="Y49" i="6"/>
  <c r="Y48" i="6"/>
  <c r="Y47" i="6"/>
  <c r="Y46" i="6"/>
  <c r="Y45" i="6"/>
  <c r="Y44" i="6"/>
  <c r="Y43" i="6"/>
  <c r="Y42" i="6"/>
  <c r="Y41" i="6"/>
  <c r="Y15" i="6"/>
  <c r="I122" i="5"/>
  <c r="H122" i="5"/>
  <c r="I121" i="5"/>
  <c r="H121" i="5"/>
  <c r="I120" i="5"/>
  <c r="H120" i="5"/>
  <c r="E123" i="5"/>
  <c r="D122" i="5"/>
  <c r="D121" i="5"/>
  <c r="D120" i="5"/>
  <c r="Z33" i="3"/>
  <c r="Z32" i="3"/>
  <c r="X29" i="3"/>
  <c r="X26" i="3"/>
  <c r="W29" i="3"/>
  <c r="W26" i="3"/>
  <c r="K98" i="4"/>
  <c r="J98" i="4"/>
  <c r="K97" i="4"/>
  <c r="J97" i="4"/>
  <c r="F98" i="4"/>
  <c r="F97" i="4"/>
  <c r="D98" i="4"/>
  <c r="D97" i="4"/>
  <c r="Y27" i="6"/>
  <c r="L65" i="3"/>
  <c r="M65" i="3"/>
  <c r="E94" i="3" s="1"/>
  <c r="A65" i="3"/>
  <c r="Z15" i="3"/>
  <c r="Z16" i="3" s="1"/>
  <c r="Z54" i="20"/>
  <c r="Z48" i="20"/>
  <c r="Z49" i="20"/>
  <c r="Z50" i="20"/>
  <c r="Z51" i="20"/>
  <c r="Z52" i="20"/>
  <c r="Z53" i="20"/>
  <c r="Z47" i="20"/>
  <c r="Y54" i="20"/>
  <c r="Y50" i="20"/>
  <c r="Y51" i="20"/>
  <c r="Y52" i="20"/>
  <c r="Y53" i="20"/>
  <c r="Y49" i="20"/>
  <c r="Y48" i="20"/>
  <c r="Y47" i="20"/>
  <c r="O71" i="7"/>
  <c r="N71" i="7"/>
  <c r="M71" i="7"/>
  <c r="J71" i="7"/>
  <c r="F71" i="7"/>
  <c r="D71" i="7"/>
  <c r="O70" i="7"/>
  <c r="N70" i="7"/>
  <c r="M70" i="7"/>
  <c r="J70" i="7"/>
  <c r="F70" i="7"/>
  <c r="D70" i="7"/>
  <c r="X41" i="6"/>
  <c r="T41" i="6"/>
  <c r="W86" i="6"/>
  <c r="W85" i="6"/>
  <c r="W84" i="6"/>
  <c r="W83" i="6"/>
  <c r="W82" i="6"/>
  <c r="W81" i="6"/>
  <c r="W80" i="6"/>
  <c r="W79" i="6"/>
  <c r="W78" i="6"/>
  <c r="X63" i="6"/>
  <c r="W63" i="6"/>
  <c r="W50" i="6"/>
  <c r="W49" i="6"/>
  <c r="W48" i="6"/>
  <c r="W47" i="6"/>
  <c r="W46" i="6"/>
  <c r="W45" i="6"/>
  <c r="W44" i="6"/>
  <c r="W43" i="6"/>
  <c r="W42" i="6"/>
  <c r="W15" i="6"/>
  <c r="V15" i="6"/>
  <c r="V41" i="6"/>
  <c r="V42" i="6"/>
  <c r="V43" i="6"/>
  <c r="V44" i="6"/>
  <c r="V45" i="6"/>
  <c r="V46" i="6"/>
  <c r="V47" i="6"/>
  <c r="V48" i="6"/>
  <c r="V49" i="6"/>
  <c r="V50" i="6"/>
  <c r="V63" i="6"/>
  <c r="V77" i="6"/>
  <c r="V78" i="6"/>
  <c r="V79" i="6"/>
  <c r="V80" i="6"/>
  <c r="V81" i="6"/>
  <c r="V82" i="6"/>
  <c r="V83" i="6"/>
  <c r="V84" i="6"/>
  <c r="V85" i="6"/>
  <c r="V86" i="6"/>
  <c r="E118" i="5"/>
  <c r="I117" i="5"/>
  <c r="H117" i="5"/>
  <c r="D117" i="5"/>
  <c r="I116" i="5"/>
  <c r="H116" i="5"/>
  <c r="D116" i="5"/>
  <c r="I115" i="5"/>
  <c r="H115" i="5"/>
  <c r="D115" i="5"/>
  <c r="I95" i="4"/>
  <c r="G118" i="5" s="1"/>
  <c r="H95" i="4"/>
  <c r="K95" i="4" s="1"/>
  <c r="C95" i="4"/>
  <c r="X27" i="6" s="1"/>
  <c r="B95" i="4"/>
  <c r="F95" i="4" s="1"/>
  <c r="I91" i="4"/>
  <c r="W111" i="6" s="1"/>
  <c r="W121" i="6" s="1"/>
  <c r="H91" i="4"/>
  <c r="W75" i="6" s="1"/>
  <c r="C91" i="4"/>
  <c r="W27" i="6" s="1"/>
  <c r="B91" i="4"/>
  <c r="K94" i="4"/>
  <c r="J94" i="4"/>
  <c r="F94" i="4"/>
  <c r="D94" i="4"/>
  <c r="K93" i="4"/>
  <c r="J93" i="4"/>
  <c r="F93" i="4"/>
  <c r="D93" i="4"/>
  <c r="L62" i="3"/>
  <c r="M62" i="3"/>
  <c r="K91" i="3" s="1"/>
  <c r="A62" i="3"/>
  <c r="A91" i="3" s="1"/>
  <c r="T25" i="3"/>
  <c r="U25" i="3"/>
  <c r="V25" i="3"/>
  <c r="W33" i="3"/>
  <c r="W32" i="3"/>
  <c r="W15" i="3"/>
  <c r="W17" i="3" s="1"/>
  <c r="W12" i="3"/>
  <c r="W14" i="3" s="1"/>
  <c r="Z116" i="6" l="1"/>
  <c r="Z113" i="6"/>
  <c r="Z87" i="6"/>
  <c r="Z93" i="6"/>
  <c r="Z96" i="6"/>
  <c r="Z98" i="6"/>
  <c r="Z90" i="6"/>
  <c r="Z95" i="6"/>
  <c r="Z37" i="6"/>
  <c r="Z34" i="6"/>
  <c r="Z39" i="6"/>
  <c r="Z51" i="6"/>
  <c r="Z36" i="6"/>
  <c r="Z29" i="6"/>
  <c r="Z30" i="6"/>
  <c r="Z38" i="6"/>
  <c r="Z89" i="6"/>
  <c r="Z97" i="6"/>
  <c r="Z117" i="6"/>
  <c r="Z32" i="6"/>
  <c r="Z91" i="6"/>
  <c r="Z99" i="6"/>
  <c r="Z119" i="6"/>
  <c r="Z33" i="6"/>
  <c r="Z92" i="6"/>
  <c r="Z120" i="6"/>
  <c r="Z121" i="6"/>
  <c r="Z35" i="6"/>
  <c r="Z94" i="6"/>
  <c r="Z114" i="6"/>
  <c r="Z122" i="6"/>
  <c r="Z115" i="6"/>
  <c r="I128" i="5"/>
  <c r="H128" i="5"/>
  <c r="Y31" i="3"/>
  <c r="Z27" i="3"/>
  <c r="Z28" i="3"/>
  <c r="D103" i="4"/>
  <c r="J103" i="4"/>
  <c r="Y27" i="3"/>
  <c r="Y17" i="3"/>
  <c r="Z31" i="3"/>
  <c r="F94" i="3"/>
  <c r="G94" i="3"/>
  <c r="Y28" i="3"/>
  <c r="Z30" i="3"/>
  <c r="Y30" i="3"/>
  <c r="Y51" i="6"/>
  <c r="Y33" i="6"/>
  <c r="Y32" i="6"/>
  <c r="Y39" i="6"/>
  <c r="Y31" i="6"/>
  <c r="Y38" i="6"/>
  <c r="Y30" i="6"/>
  <c r="Y37" i="6"/>
  <c r="Y29" i="6"/>
  <c r="Y36" i="6"/>
  <c r="Y35" i="6"/>
  <c r="Y34" i="6"/>
  <c r="I123" i="5"/>
  <c r="Y119" i="6"/>
  <c r="Y118" i="6"/>
  <c r="Y117" i="6"/>
  <c r="Y116" i="6"/>
  <c r="Y123" i="6"/>
  <c r="Y115" i="6"/>
  <c r="Y122" i="6"/>
  <c r="Y114" i="6"/>
  <c r="Y121" i="6"/>
  <c r="Y113" i="6"/>
  <c r="Y120" i="6"/>
  <c r="B123" i="5"/>
  <c r="G123" i="5"/>
  <c r="C123" i="5"/>
  <c r="H123" i="5" s="1"/>
  <c r="Y75" i="6"/>
  <c r="J99" i="4"/>
  <c r="H94" i="3"/>
  <c r="D99" i="4"/>
  <c r="I94" i="3"/>
  <c r="B94" i="3"/>
  <c r="J94" i="3"/>
  <c r="C94" i="3"/>
  <c r="K94" i="3"/>
  <c r="K99" i="4"/>
  <c r="D94" i="3"/>
  <c r="Z17" i="3"/>
  <c r="W37" i="6"/>
  <c r="W33" i="6"/>
  <c r="W51" i="6"/>
  <c r="W38" i="6"/>
  <c r="W34" i="6"/>
  <c r="W117" i="6"/>
  <c r="W122" i="6"/>
  <c r="Z13" i="3"/>
  <c r="W118" i="6"/>
  <c r="J91" i="3"/>
  <c r="B118" i="5"/>
  <c r="C118" i="5"/>
  <c r="W94" i="6"/>
  <c r="W90" i="6"/>
  <c r="W93" i="6"/>
  <c r="W92" i="6"/>
  <c r="W91" i="6"/>
  <c r="W89" i="6"/>
  <c r="W87" i="6"/>
  <c r="W99" i="6"/>
  <c r="W98" i="6"/>
  <c r="W97" i="6"/>
  <c r="W96" i="6"/>
  <c r="W95" i="6"/>
  <c r="W39" i="6"/>
  <c r="W123" i="6"/>
  <c r="C91" i="3"/>
  <c r="B91" i="3"/>
  <c r="X111" i="6"/>
  <c r="D91" i="3"/>
  <c r="E91" i="3"/>
  <c r="F91" i="3"/>
  <c r="W29" i="6"/>
  <c r="W113" i="6"/>
  <c r="W28" i="3"/>
  <c r="G91" i="3"/>
  <c r="W30" i="6"/>
  <c r="W114" i="6"/>
  <c r="W31" i="3"/>
  <c r="H91" i="3"/>
  <c r="F118" i="5"/>
  <c r="I118" i="5" s="1"/>
  <c r="W31" i="6"/>
  <c r="W115" i="6"/>
  <c r="I91" i="3"/>
  <c r="W32" i="6"/>
  <c r="W116" i="6"/>
  <c r="W35" i="6"/>
  <c r="W119" i="6"/>
  <c r="W36" i="6"/>
  <c r="W120" i="6"/>
  <c r="X75" i="6"/>
  <c r="J95" i="4"/>
  <c r="D95" i="4"/>
  <c r="W30" i="3"/>
  <c r="W27" i="3"/>
  <c r="W13" i="3"/>
  <c r="W16" i="3"/>
  <c r="X54" i="20"/>
  <c r="X53" i="20"/>
  <c r="X52" i="20"/>
  <c r="X51" i="20"/>
  <c r="X50" i="20"/>
  <c r="X49" i="20"/>
  <c r="X48" i="20"/>
  <c r="X47" i="20"/>
  <c r="W54" i="20"/>
  <c r="W53" i="20"/>
  <c r="W52" i="20"/>
  <c r="W51" i="20"/>
  <c r="W50" i="20"/>
  <c r="W49" i="20"/>
  <c r="W48" i="20"/>
  <c r="W47" i="20"/>
  <c r="O68" i="7"/>
  <c r="N68" i="7"/>
  <c r="M68" i="7"/>
  <c r="J68" i="7"/>
  <c r="F68" i="7"/>
  <c r="D68" i="7"/>
  <c r="O67" i="7"/>
  <c r="N67" i="7"/>
  <c r="M67" i="7"/>
  <c r="J67" i="7"/>
  <c r="F67" i="7"/>
  <c r="D67" i="7"/>
  <c r="X86" i="6"/>
  <c r="X85" i="6"/>
  <c r="X84" i="6"/>
  <c r="X83" i="6"/>
  <c r="X82" i="6"/>
  <c r="X81" i="6"/>
  <c r="X80" i="6"/>
  <c r="X79" i="6"/>
  <c r="X78" i="6"/>
  <c r="X50" i="6"/>
  <c r="X49" i="6"/>
  <c r="X48" i="6"/>
  <c r="X47" i="6"/>
  <c r="X46" i="6"/>
  <c r="X45" i="6"/>
  <c r="X44" i="6"/>
  <c r="X43" i="6"/>
  <c r="X42" i="6"/>
  <c r="X15" i="6"/>
  <c r="E113" i="5"/>
  <c r="I112" i="5"/>
  <c r="H112" i="5"/>
  <c r="D112" i="5"/>
  <c r="I111" i="5"/>
  <c r="H111" i="5"/>
  <c r="D111" i="5"/>
  <c r="I110" i="5"/>
  <c r="H110" i="5"/>
  <c r="D110" i="5"/>
  <c r="L63" i="3"/>
  <c r="M63" i="3"/>
  <c r="I92" i="3" s="1"/>
  <c r="A63" i="3"/>
  <c r="A92" i="3" s="1"/>
  <c r="V29" i="3"/>
  <c r="U29" i="3"/>
  <c r="V26" i="3"/>
  <c r="U26" i="3"/>
  <c r="X33" i="3"/>
  <c r="X32" i="3"/>
  <c r="K90" i="4"/>
  <c r="J90" i="4"/>
  <c r="K89" i="4"/>
  <c r="J89" i="4"/>
  <c r="G113" i="5"/>
  <c r="K91" i="4"/>
  <c r="F90" i="4"/>
  <c r="F89" i="4"/>
  <c r="D90" i="4"/>
  <c r="D89" i="4"/>
  <c r="F91" i="4"/>
  <c r="X15" i="3"/>
  <c r="X16" i="3" s="1"/>
  <c r="X12" i="3"/>
  <c r="X14" i="3" s="1"/>
  <c r="D123" i="5" l="1"/>
  <c r="Y99" i="6"/>
  <c r="Y91" i="6"/>
  <c r="Y98" i="6"/>
  <c r="Y90" i="6"/>
  <c r="Y97" i="6"/>
  <c r="Y89" i="6"/>
  <c r="Y96" i="6"/>
  <c r="Y95" i="6"/>
  <c r="Y94" i="6"/>
  <c r="Y87" i="6"/>
  <c r="Y93" i="6"/>
  <c r="Y92" i="6"/>
  <c r="D118" i="5"/>
  <c r="H118" i="5"/>
  <c r="B92" i="3"/>
  <c r="J92" i="3"/>
  <c r="D92" i="3"/>
  <c r="C92" i="3"/>
  <c r="K92" i="3"/>
  <c r="E92" i="3"/>
  <c r="F92" i="3"/>
  <c r="G92" i="3"/>
  <c r="H92" i="3"/>
  <c r="X17" i="3"/>
  <c r="X98" i="6"/>
  <c r="C113" i="5"/>
  <c r="X38" i="6"/>
  <c r="X30" i="6"/>
  <c r="X36" i="6"/>
  <c r="X35" i="6"/>
  <c r="X34" i="6"/>
  <c r="X37" i="6"/>
  <c r="X29" i="6"/>
  <c r="X33" i="6"/>
  <c r="X32" i="6"/>
  <c r="X39" i="6"/>
  <c r="X31" i="6"/>
  <c r="F113" i="5"/>
  <c r="I113" i="5" s="1"/>
  <c r="X51" i="6"/>
  <c r="B113" i="5"/>
  <c r="D91" i="4"/>
  <c r="X28" i="3"/>
  <c r="J91" i="4"/>
  <c r="X31" i="3"/>
  <c r="X27" i="3"/>
  <c r="X30" i="3"/>
  <c r="X13" i="3"/>
  <c r="O65" i="7"/>
  <c r="N65" i="7"/>
  <c r="M65" i="7"/>
  <c r="J65" i="7"/>
  <c r="F65" i="7"/>
  <c r="D65" i="7"/>
  <c r="O64" i="7"/>
  <c r="N64" i="7"/>
  <c r="M64" i="7"/>
  <c r="J64" i="7"/>
  <c r="F64" i="7"/>
  <c r="D64" i="7"/>
  <c r="E108" i="5"/>
  <c r="I107" i="5"/>
  <c r="H107" i="5"/>
  <c r="D107" i="5"/>
  <c r="I106" i="5"/>
  <c r="H106" i="5"/>
  <c r="D106" i="5"/>
  <c r="I105" i="5"/>
  <c r="H105" i="5"/>
  <c r="D105" i="5"/>
  <c r="I87" i="4"/>
  <c r="V111" i="6" s="1"/>
  <c r="H87" i="4"/>
  <c r="C87" i="4"/>
  <c r="V27" i="6" s="1"/>
  <c r="B87" i="4"/>
  <c r="F87" i="4" s="1"/>
  <c r="B83" i="4"/>
  <c r="F83" i="4" s="1"/>
  <c r="C83" i="4"/>
  <c r="U27" i="6" s="1"/>
  <c r="H83" i="4"/>
  <c r="U75" i="6" s="1"/>
  <c r="U89" i="6" s="1"/>
  <c r="I83" i="4"/>
  <c r="G103" i="5" s="1"/>
  <c r="K86" i="4"/>
  <c r="J86" i="4"/>
  <c r="E86" i="4"/>
  <c r="K85" i="4"/>
  <c r="J85" i="4"/>
  <c r="F85" i="4"/>
  <c r="D85" i="4"/>
  <c r="L61" i="3"/>
  <c r="L60" i="3"/>
  <c r="L59" i="3"/>
  <c r="A61" i="3"/>
  <c r="A90" i="3" s="1"/>
  <c r="A60" i="3"/>
  <c r="A89" i="3" s="1"/>
  <c r="M60" i="3"/>
  <c r="C89" i="3" s="1"/>
  <c r="V11" i="3"/>
  <c r="T11" i="3"/>
  <c r="U11" i="3"/>
  <c r="T12" i="3"/>
  <c r="T14" i="3" s="1"/>
  <c r="U12" i="3"/>
  <c r="U14" i="3" s="1"/>
  <c r="T15" i="3"/>
  <c r="T16" i="3" s="1"/>
  <c r="U15" i="3"/>
  <c r="U16" i="3" s="1"/>
  <c r="T26" i="3"/>
  <c r="T29" i="3"/>
  <c r="T32" i="3"/>
  <c r="U32" i="3"/>
  <c r="T33" i="3"/>
  <c r="U33" i="3"/>
  <c r="V33" i="3"/>
  <c r="V32" i="3"/>
  <c r="V15" i="3"/>
  <c r="V12" i="3"/>
  <c r="V13" i="3" s="1"/>
  <c r="O62" i="7"/>
  <c r="N62" i="7"/>
  <c r="M62" i="7"/>
  <c r="J62" i="7"/>
  <c r="F62" i="7"/>
  <c r="D62" i="7"/>
  <c r="O61" i="7"/>
  <c r="N61" i="7"/>
  <c r="M61" i="7"/>
  <c r="J61" i="7"/>
  <c r="F61" i="7"/>
  <c r="D61" i="7"/>
  <c r="U63" i="6"/>
  <c r="U85" i="6"/>
  <c r="U84" i="6"/>
  <c r="U83" i="6"/>
  <c r="U82" i="6"/>
  <c r="U81" i="6"/>
  <c r="U80" i="6"/>
  <c r="U79" i="6"/>
  <c r="U78" i="6"/>
  <c r="U49" i="6"/>
  <c r="U48" i="6"/>
  <c r="U47" i="6"/>
  <c r="U46" i="6"/>
  <c r="U45" i="6"/>
  <c r="U44" i="6"/>
  <c r="U43" i="6"/>
  <c r="U42" i="6"/>
  <c r="U15" i="6"/>
  <c r="E103" i="5"/>
  <c r="I102" i="5"/>
  <c r="H102" i="5"/>
  <c r="D102" i="5"/>
  <c r="I101" i="5"/>
  <c r="H101" i="5"/>
  <c r="D101" i="5"/>
  <c r="I100" i="5"/>
  <c r="H100" i="5"/>
  <c r="D100" i="5"/>
  <c r="K82" i="4"/>
  <c r="J82" i="4"/>
  <c r="E82" i="4"/>
  <c r="K81" i="4"/>
  <c r="J81" i="4"/>
  <c r="F81" i="4"/>
  <c r="D81" i="4"/>
  <c r="M61" i="3"/>
  <c r="H90" i="3" s="1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 s="1"/>
  <c r="C173" i="9"/>
  <c r="V52" i="20" s="1"/>
  <c r="C172" i="9"/>
  <c r="V51" i="20" s="1"/>
  <c r="C171" i="9"/>
  <c r="V50" i="20" s="1"/>
  <c r="C170" i="9"/>
  <c r="V49" i="20" s="1"/>
  <c r="C169" i="9"/>
  <c r="V48" i="20" s="1"/>
  <c r="C168" i="9"/>
  <c r="V47" i="20" s="1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63" i="6"/>
  <c r="T86" i="6"/>
  <c r="T85" i="6"/>
  <c r="T84" i="6"/>
  <c r="T83" i="6"/>
  <c r="T82" i="6"/>
  <c r="T81" i="6"/>
  <c r="T80" i="6"/>
  <c r="T79" i="6"/>
  <c r="T78" i="6"/>
  <c r="T77" i="6"/>
  <c r="T50" i="6"/>
  <c r="T49" i="6"/>
  <c r="T48" i="6"/>
  <c r="T47" i="6"/>
  <c r="T46" i="6"/>
  <c r="T45" i="6"/>
  <c r="T44" i="6"/>
  <c r="T43" i="6"/>
  <c r="T42" i="6"/>
  <c r="T15" i="6"/>
  <c r="E98" i="5"/>
  <c r="I97" i="5"/>
  <c r="H97" i="5"/>
  <c r="D97" i="5"/>
  <c r="I96" i="5"/>
  <c r="H96" i="5"/>
  <c r="D96" i="5"/>
  <c r="I95" i="5"/>
  <c r="H95" i="5"/>
  <c r="D95" i="5"/>
  <c r="I79" i="4"/>
  <c r="G98" i="5" s="1"/>
  <c r="H79" i="4"/>
  <c r="F98" i="5" s="1"/>
  <c r="C79" i="4"/>
  <c r="T27" i="6" s="1"/>
  <c r="B79" i="4"/>
  <c r="B78" i="4" s="1"/>
  <c r="D78" i="4" s="1"/>
  <c r="K78" i="4"/>
  <c r="J78" i="4"/>
  <c r="E78" i="4"/>
  <c r="K77" i="4"/>
  <c r="J77" i="4"/>
  <c r="F77" i="4"/>
  <c r="D77" i="4"/>
  <c r="A59" i="3"/>
  <c r="A88" i="3" s="1"/>
  <c r="M59" i="3"/>
  <c r="B88" i="3" s="1"/>
  <c r="S12" i="3"/>
  <c r="S13" i="3" s="1"/>
  <c r="S15" i="3"/>
  <c r="S17" i="3" s="1"/>
  <c r="S26" i="3"/>
  <c r="S29" i="3"/>
  <c r="S32" i="3"/>
  <c r="S33" i="3"/>
  <c r="K150" i="9"/>
  <c r="S3" i="20" s="1"/>
  <c r="K156" i="9"/>
  <c r="S9" i="20" s="1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 s="1"/>
  <c r="K161" i="9"/>
  <c r="S14" i="20" s="1"/>
  <c r="K160" i="9"/>
  <c r="S13" i="20" s="1"/>
  <c r="K159" i="9"/>
  <c r="S12" i="20" s="1"/>
  <c r="K158" i="9"/>
  <c r="K157" i="9"/>
  <c r="S10" i="20" s="1"/>
  <c r="K155" i="9"/>
  <c r="S8" i="20" s="1"/>
  <c r="K154" i="9"/>
  <c r="U51" i="20" s="1"/>
  <c r="K153" i="9"/>
  <c r="U50" i="20" s="1"/>
  <c r="K152" i="9"/>
  <c r="U49" i="20" s="1"/>
  <c r="K151" i="9"/>
  <c r="U48" i="20" s="1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116" i="6" s="1"/>
  <c r="S75" i="6"/>
  <c r="S89" i="6" s="1"/>
  <c r="S63" i="6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E93" i="5"/>
  <c r="I92" i="5"/>
  <c r="H92" i="5"/>
  <c r="D92" i="5"/>
  <c r="I91" i="5"/>
  <c r="H91" i="5"/>
  <c r="D91" i="5"/>
  <c r="I90" i="5"/>
  <c r="H90" i="5"/>
  <c r="D90" i="5"/>
  <c r="C75" i="4"/>
  <c r="B75" i="4"/>
  <c r="B93" i="5" s="1"/>
  <c r="K75" i="4"/>
  <c r="K74" i="4"/>
  <c r="J74" i="4"/>
  <c r="E74" i="4"/>
  <c r="K73" i="4"/>
  <c r="J73" i="4"/>
  <c r="F73" i="4"/>
  <c r="D73" i="4"/>
  <c r="L58" i="3"/>
  <c r="M58" i="3"/>
  <c r="B87" i="3" s="1"/>
  <c r="R29" i="3"/>
  <c r="R26" i="3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C156" i="9"/>
  <c r="T53" i="20" s="1"/>
  <c r="C155" i="9"/>
  <c r="T52" i="20" s="1"/>
  <c r="C154" i="9"/>
  <c r="T51" i="20" s="1"/>
  <c r="C153" i="9"/>
  <c r="T50" i="20" s="1"/>
  <c r="C152" i="9"/>
  <c r="T49" i="20" s="1"/>
  <c r="C151" i="9"/>
  <c r="T48" i="20" s="1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15" i="6" s="1"/>
  <c r="R86" i="6"/>
  <c r="R75" i="6"/>
  <c r="R89" i="6" s="1"/>
  <c r="R63" i="6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E88" i="5"/>
  <c r="I87" i="5"/>
  <c r="H87" i="5"/>
  <c r="I86" i="5"/>
  <c r="H86" i="5"/>
  <c r="I85" i="5"/>
  <c r="H85" i="5"/>
  <c r="E70" i="4"/>
  <c r="C71" i="4"/>
  <c r="R27" i="6" s="1"/>
  <c r="C67" i="4"/>
  <c r="Q27" i="6" s="1"/>
  <c r="Q31" i="6" s="1"/>
  <c r="B71" i="4"/>
  <c r="F71" i="4" s="1"/>
  <c r="B67" i="4"/>
  <c r="K71" i="4"/>
  <c r="K70" i="4"/>
  <c r="J70" i="4"/>
  <c r="K69" i="4"/>
  <c r="J69" i="4"/>
  <c r="F69" i="4"/>
  <c r="D69" i="4"/>
  <c r="M56" i="3"/>
  <c r="I85" i="3" s="1"/>
  <c r="M57" i="3"/>
  <c r="I86" i="3" s="1"/>
  <c r="L56" i="3"/>
  <c r="Q29" i="3"/>
  <c r="P29" i="3"/>
  <c r="O29" i="3"/>
  <c r="Q26" i="3"/>
  <c r="P26" i="3"/>
  <c r="O26" i="3"/>
  <c r="Q33" i="3"/>
  <c r="Q32" i="3"/>
  <c r="Q15" i="3"/>
  <c r="Q12" i="3"/>
  <c r="Q13" i="3" s="1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 s="1"/>
  <c r="K144" i="9"/>
  <c r="K143" i="9"/>
  <c r="K142" i="9"/>
  <c r="K141" i="9"/>
  <c r="K140" i="9"/>
  <c r="K139" i="9"/>
  <c r="K138" i="9"/>
  <c r="S53" i="20" s="1"/>
  <c r="K136" i="9"/>
  <c r="S51" i="20" s="1"/>
  <c r="K135" i="9"/>
  <c r="S50" i="20" s="1"/>
  <c r="K134" i="9"/>
  <c r="S49" i="20" s="1"/>
  <c r="K133" i="9"/>
  <c r="S48" i="20" s="1"/>
  <c r="K132" i="9"/>
  <c r="S47" i="20" s="1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19" i="6" s="1"/>
  <c r="Q75" i="6"/>
  <c r="Q92" i="6" s="1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84" i="3"/>
  <c r="J84" i="3"/>
  <c r="I84" i="3"/>
  <c r="H84" i="3"/>
  <c r="G84" i="3"/>
  <c r="F84" i="3"/>
  <c r="E84" i="3"/>
  <c r="D84" i="3"/>
  <c r="C84" i="3"/>
  <c r="B84" i="3"/>
  <c r="L57" i="3"/>
  <c r="R33" i="3"/>
  <c r="R32" i="3"/>
  <c r="R15" i="3"/>
  <c r="R12" i="3"/>
  <c r="R14" i="3" s="1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C138" i="9"/>
  <c r="R53" i="20" s="1"/>
  <c r="C137" i="9"/>
  <c r="R52" i="20" s="1"/>
  <c r="C136" i="9"/>
  <c r="R51" i="20" s="1"/>
  <c r="C135" i="9"/>
  <c r="R50" i="20" s="1"/>
  <c r="C134" i="9"/>
  <c r="R49" i="20" s="1"/>
  <c r="C133" i="9"/>
  <c r="R48" i="20" s="1"/>
  <c r="C132" i="9"/>
  <c r="R47" i="20" s="1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P111" i="6" s="1"/>
  <c r="P113" i="6" s="1"/>
  <c r="H63" i="4"/>
  <c r="F78" i="5" s="1"/>
  <c r="F62" i="4"/>
  <c r="F61" i="4"/>
  <c r="D62" i="4"/>
  <c r="D61" i="4"/>
  <c r="C63" i="4"/>
  <c r="B63" i="4"/>
  <c r="B78" i="5" s="1"/>
  <c r="L54" i="3"/>
  <c r="O33" i="3"/>
  <c r="O32" i="3"/>
  <c r="O15" i="3"/>
  <c r="O12" i="3"/>
  <c r="O14" i="3" s="1"/>
  <c r="P33" i="3"/>
  <c r="N33" i="3"/>
  <c r="M33" i="3"/>
  <c r="M28" i="3" s="1"/>
  <c r="L33" i="3"/>
  <c r="L28" i="3" s="1"/>
  <c r="K33" i="3"/>
  <c r="J33" i="3"/>
  <c r="I33" i="3"/>
  <c r="H33" i="3"/>
  <c r="G33" i="3"/>
  <c r="P32" i="3"/>
  <c r="N32" i="3"/>
  <c r="N27" i="3" s="1"/>
  <c r="M32" i="3"/>
  <c r="L32" i="3"/>
  <c r="L30" i="3" s="1"/>
  <c r="K32" i="3"/>
  <c r="J32" i="3"/>
  <c r="I32" i="3"/>
  <c r="H32" i="3"/>
  <c r="G32" i="3"/>
  <c r="O111" i="6"/>
  <c r="O118" i="6" s="1"/>
  <c r="O75" i="6"/>
  <c r="O90" i="6" s="1"/>
  <c r="O63" i="6"/>
  <c r="O27" i="6"/>
  <c r="O31" i="6" s="1"/>
  <c r="F73" i="5"/>
  <c r="G73" i="5"/>
  <c r="E73" i="5"/>
  <c r="C73" i="5"/>
  <c r="D73" i="5" s="1"/>
  <c r="P15" i="3"/>
  <c r="P17" i="3" s="1"/>
  <c r="P12" i="3"/>
  <c r="P14" i="3" s="1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82" i="3"/>
  <c r="J82" i="3"/>
  <c r="I82" i="3"/>
  <c r="H82" i="3"/>
  <c r="G82" i="3"/>
  <c r="F82" i="3"/>
  <c r="E82" i="3"/>
  <c r="D82" i="3"/>
  <c r="C82" i="3"/>
  <c r="B82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83" i="3"/>
  <c r="J83" i="3"/>
  <c r="I83" i="3"/>
  <c r="H83" i="3"/>
  <c r="G83" i="3"/>
  <c r="F83" i="3"/>
  <c r="E83" i="3"/>
  <c r="D83" i="3"/>
  <c r="C83" i="3"/>
  <c r="B83" i="3"/>
  <c r="O15" i="20"/>
  <c r="AB8" i="21"/>
  <c r="O5" i="20"/>
  <c r="AB9" i="21"/>
  <c r="O6" i="20" s="1"/>
  <c r="AB10" i="21"/>
  <c r="O7" i="20"/>
  <c r="AB11" i="21"/>
  <c r="O8" i="20" s="1"/>
  <c r="AB12" i="21"/>
  <c r="O9" i="20" s="1"/>
  <c r="AB13" i="21"/>
  <c r="O10" i="20" s="1"/>
  <c r="AB14" i="21"/>
  <c r="O11" i="20" s="1"/>
  <c r="AB15" i="21"/>
  <c r="O12" i="20" s="1"/>
  <c r="AB16" i="21"/>
  <c r="O13" i="20"/>
  <c r="AB17" i="21"/>
  <c r="O14" i="20" s="1"/>
  <c r="AB7" i="21"/>
  <c r="O4" i="20" s="1"/>
  <c r="Q5" i="21"/>
  <c r="R5" i="21"/>
  <c r="S5" i="21"/>
  <c r="T5" i="21"/>
  <c r="U5" i="21"/>
  <c r="Q6" i="21"/>
  <c r="R6" i="21"/>
  <c r="S6" i="21"/>
  <c r="T6" i="21"/>
  <c r="U6" i="21"/>
  <c r="Q7" i="21"/>
  <c r="R7" i="21"/>
  <c r="S7" i="21"/>
  <c r="T7" i="21"/>
  <c r="U7" i="21"/>
  <c r="Q8" i="21"/>
  <c r="R8" i="21"/>
  <c r="S8" i="21"/>
  <c r="T8" i="21"/>
  <c r="U8" i="21"/>
  <c r="Q9" i="21"/>
  <c r="R9" i="21"/>
  <c r="R48" i="21" s="1"/>
  <c r="O127" i="9" s="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 s="1"/>
  <c r="M6" i="21"/>
  <c r="J114" i="9" s="1"/>
  <c r="N6" i="21"/>
  <c r="K114" i="9"/>
  <c r="Q47" i="20" s="1"/>
  <c r="O6" i="21"/>
  <c r="L114" i="9" s="1"/>
  <c r="K7" i="21"/>
  <c r="N115" i="9"/>
  <c r="L7" i="21"/>
  <c r="O115" i="9" s="1"/>
  <c r="M7" i="21"/>
  <c r="J115" i="9" s="1"/>
  <c r="N7" i="21"/>
  <c r="K115" i="9" s="1"/>
  <c r="Q48" i="20" s="1"/>
  <c r="O7" i="21"/>
  <c r="L115" i="9" s="1"/>
  <c r="K8" i="21"/>
  <c r="N116" i="9" s="1"/>
  <c r="L8" i="21"/>
  <c r="O116" i="9" s="1"/>
  <c r="M8" i="21"/>
  <c r="J116" i="9" s="1"/>
  <c r="N8" i="21"/>
  <c r="K116" i="9"/>
  <c r="Q49" i="20" s="1"/>
  <c r="O8" i="21"/>
  <c r="L116" i="9"/>
  <c r="K9" i="21"/>
  <c r="N117" i="9" s="1"/>
  <c r="L9" i="21"/>
  <c r="O117" i="9" s="1"/>
  <c r="M9" i="21"/>
  <c r="J117" i="9" s="1"/>
  <c r="N9" i="21"/>
  <c r="K117" i="9" s="1"/>
  <c r="Q50" i="20" s="1"/>
  <c r="O9" i="21"/>
  <c r="L117" i="9" s="1"/>
  <c r="K10" i="21"/>
  <c r="N118" i="9"/>
  <c r="L10" i="21"/>
  <c r="O118" i="9" s="1"/>
  <c r="M10" i="21"/>
  <c r="J118" i="9"/>
  <c r="N10" i="21"/>
  <c r="K118" i="9" s="1"/>
  <c r="Q51" i="20" s="1"/>
  <c r="O10" i="21"/>
  <c r="L118" i="9" s="1"/>
  <c r="K11" i="21"/>
  <c r="N119" i="9" s="1"/>
  <c r="L11" i="21"/>
  <c r="O119" i="9" s="1"/>
  <c r="M11" i="21"/>
  <c r="J119" i="9" s="1"/>
  <c r="N11" i="21"/>
  <c r="K119" i="9"/>
  <c r="Q52" i="20" s="1"/>
  <c r="O11" i="21"/>
  <c r="L119" i="9" s="1"/>
  <c r="K12" i="21"/>
  <c r="N120" i="9" s="1"/>
  <c r="L12" i="21"/>
  <c r="O120" i="9"/>
  <c r="M12" i="21"/>
  <c r="J120" i="9" s="1"/>
  <c r="N12" i="21"/>
  <c r="K120" i="9"/>
  <c r="Q53" i="20"/>
  <c r="O12" i="21"/>
  <c r="L120" i="9" s="1"/>
  <c r="K13" i="21"/>
  <c r="N121" i="9"/>
  <c r="L13" i="21"/>
  <c r="O121" i="9" s="1"/>
  <c r="M13" i="21"/>
  <c r="J121" i="9"/>
  <c r="N13" i="21"/>
  <c r="K121" i="9" s="1"/>
  <c r="O13" i="21"/>
  <c r="L121" i="9" s="1"/>
  <c r="K14" i="21"/>
  <c r="N122" i="9" s="1"/>
  <c r="L14" i="21"/>
  <c r="O122" i="9"/>
  <c r="M14" i="21"/>
  <c r="J122" i="9" s="1"/>
  <c r="N14" i="21"/>
  <c r="K122" i="9" s="1"/>
  <c r="O14" i="21"/>
  <c r="L122" i="9" s="1"/>
  <c r="K15" i="21"/>
  <c r="N123" i="9" s="1"/>
  <c r="L15" i="21"/>
  <c r="O123" i="9" s="1"/>
  <c r="M15" i="21"/>
  <c r="J123" i="9" s="1"/>
  <c r="N15" i="21"/>
  <c r="K123" i="9" s="1"/>
  <c r="O15" i="21"/>
  <c r="L123" i="9" s="1"/>
  <c r="K16" i="21"/>
  <c r="N124" i="9" s="1"/>
  <c r="L16" i="21"/>
  <c r="O124" i="9" s="1"/>
  <c r="M16" i="21"/>
  <c r="J124" i="9" s="1"/>
  <c r="N16" i="21"/>
  <c r="K124" i="9" s="1"/>
  <c r="O16" i="21"/>
  <c r="L124" i="9" s="1"/>
  <c r="K17" i="21"/>
  <c r="N125" i="9" s="1"/>
  <c r="L17" i="21"/>
  <c r="O125" i="9"/>
  <c r="M17" i="21"/>
  <c r="J125" i="9" s="1"/>
  <c r="N17" i="21"/>
  <c r="K125" i="9" s="1"/>
  <c r="O17" i="21"/>
  <c r="L125" i="9" s="1"/>
  <c r="K18" i="21"/>
  <c r="N126" i="9" s="1"/>
  <c r="L18" i="21"/>
  <c r="O126" i="9" s="1"/>
  <c r="M18" i="21"/>
  <c r="J126" i="9" s="1"/>
  <c r="N18" i="21"/>
  <c r="K126" i="9" s="1"/>
  <c r="O18" i="21"/>
  <c r="L126" i="9"/>
  <c r="J18" i="21"/>
  <c r="M126" i="9" s="1"/>
  <c r="J17" i="21"/>
  <c r="M125" i="9" s="1"/>
  <c r="J16" i="21"/>
  <c r="M124" i="9" s="1"/>
  <c r="J15" i="21"/>
  <c r="M123" i="9" s="1"/>
  <c r="J14" i="21"/>
  <c r="M122" i="9" s="1"/>
  <c r="J13" i="21"/>
  <c r="M121" i="9"/>
  <c r="J12" i="21"/>
  <c r="M120" i="9" s="1"/>
  <c r="J11" i="21"/>
  <c r="M119" i="9"/>
  <c r="J10" i="21"/>
  <c r="M118" i="9" s="1"/>
  <c r="J9" i="21"/>
  <c r="M117" i="9" s="1"/>
  <c r="J8" i="21"/>
  <c r="M116" i="9" s="1"/>
  <c r="J7" i="21"/>
  <c r="M115" i="9" s="1"/>
  <c r="J6" i="21"/>
  <c r="M114" i="9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E55" i="4"/>
  <c r="F55" i="4" s="1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P13" i="3"/>
  <c r="F87" i="3"/>
  <c r="U30" i="3"/>
  <c r="M31" i="3"/>
  <c r="N30" i="3"/>
  <c r="U13" i="3" l="1"/>
  <c r="T13" i="3"/>
  <c r="O113" i="6"/>
  <c r="S120" i="6"/>
  <c r="S123" i="6"/>
  <c r="S119" i="6"/>
  <c r="S113" i="6"/>
  <c r="O114" i="6"/>
  <c r="S115" i="6"/>
  <c r="G87" i="3"/>
  <c r="D87" i="3"/>
  <c r="V14" i="3"/>
  <c r="K90" i="3"/>
  <c r="G90" i="3"/>
  <c r="E90" i="3"/>
  <c r="B90" i="3"/>
  <c r="I90" i="3"/>
  <c r="H85" i="3"/>
  <c r="C90" i="3"/>
  <c r="K85" i="3"/>
  <c r="J90" i="3"/>
  <c r="K87" i="3"/>
  <c r="S16" i="3"/>
  <c r="J87" i="3"/>
  <c r="D90" i="3"/>
  <c r="I87" i="3"/>
  <c r="F90" i="3"/>
  <c r="E87" i="3"/>
  <c r="U17" i="3"/>
  <c r="O13" i="3"/>
  <c r="L31" i="3"/>
  <c r="Q54" i="20"/>
  <c r="P16" i="3"/>
  <c r="P48" i="21"/>
  <c r="M127" i="9" s="1"/>
  <c r="V29" i="6"/>
  <c r="V36" i="6"/>
  <c r="V39" i="6"/>
  <c r="V34" i="6"/>
  <c r="V51" i="6"/>
  <c r="V33" i="6"/>
  <c r="V32" i="6"/>
  <c r="V31" i="6"/>
  <c r="V38" i="6"/>
  <c r="V37" i="6"/>
  <c r="V30" i="6"/>
  <c r="V35" i="6"/>
  <c r="K87" i="4"/>
  <c r="V75" i="6"/>
  <c r="V117" i="6"/>
  <c r="V123" i="6"/>
  <c r="V116" i="6"/>
  <c r="V120" i="6"/>
  <c r="V118" i="6"/>
  <c r="V115" i="6"/>
  <c r="V122" i="6"/>
  <c r="V114" i="6"/>
  <c r="V113" i="6"/>
  <c r="V119" i="6"/>
  <c r="V121" i="6"/>
  <c r="D89" i="3"/>
  <c r="U27" i="3"/>
  <c r="U52" i="20"/>
  <c r="U48" i="21"/>
  <c r="L127" i="9" s="1"/>
  <c r="T48" i="21"/>
  <c r="K127" i="9" s="1"/>
  <c r="S6" i="20"/>
  <c r="R114" i="6"/>
  <c r="D113" i="5"/>
  <c r="S87" i="6"/>
  <c r="R120" i="6"/>
  <c r="R119" i="6"/>
  <c r="R113" i="6"/>
  <c r="R117" i="6"/>
  <c r="S28" i="3"/>
  <c r="K89" i="3"/>
  <c r="X91" i="6"/>
  <c r="X95" i="6"/>
  <c r="X96" i="6"/>
  <c r="X97" i="6"/>
  <c r="X92" i="6"/>
  <c r="X89" i="6"/>
  <c r="X99" i="6"/>
  <c r="X90" i="6"/>
  <c r="X94" i="6"/>
  <c r="X93" i="6"/>
  <c r="X87" i="6"/>
  <c r="Q14" i="3"/>
  <c r="X119" i="6"/>
  <c r="X118" i="6"/>
  <c r="X115" i="6"/>
  <c r="X117" i="6"/>
  <c r="X114" i="6"/>
  <c r="X116" i="6"/>
  <c r="X123" i="6"/>
  <c r="X122" i="6"/>
  <c r="X121" i="6"/>
  <c r="X113" i="6"/>
  <c r="X120" i="6"/>
  <c r="H113" i="5"/>
  <c r="S14" i="3"/>
  <c r="L27" i="3"/>
  <c r="T17" i="3"/>
  <c r="R28" i="3"/>
  <c r="S31" i="3"/>
  <c r="T111" i="6"/>
  <c r="T118" i="6" s="1"/>
  <c r="R31" i="3"/>
  <c r="I93" i="5"/>
  <c r="H73" i="5"/>
  <c r="B82" i="4"/>
  <c r="D82" i="4" s="1"/>
  <c r="Q31" i="3"/>
  <c r="S30" i="3"/>
  <c r="T54" i="20"/>
  <c r="V54" i="20"/>
  <c r="S54" i="20"/>
  <c r="S98" i="6"/>
  <c r="O37" i="6"/>
  <c r="S90" i="6"/>
  <c r="O39" i="6"/>
  <c r="I83" i="5"/>
  <c r="R30" i="6"/>
  <c r="R34" i="6"/>
  <c r="O32" i="6"/>
  <c r="I78" i="5"/>
  <c r="D67" i="4"/>
  <c r="O36" i="6"/>
  <c r="Q116" i="6"/>
  <c r="Q121" i="6"/>
  <c r="J71" i="4"/>
  <c r="U111" i="6"/>
  <c r="U118" i="6" s="1"/>
  <c r="S5" i="20"/>
  <c r="R54" i="20"/>
  <c r="U28" i="3"/>
  <c r="S4" i="20"/>
  <c r="Q34" i="6"/>
  <c r="O30" i="6"/>
  <c r="C88" i="5"/>
  <c r="H88" i="5" s="1"/>
  <c r="Q37" i="6"/>
  <c r="Q29" i="6"/>
  <c r="S94" i="6"/>
  <c r="O119" i="6"/>
  <c r="Q118" i="6"/>
  <c r="O120" i="6"/>
  <c r="O121" i="6"/>
  <c r="Q117" i="6"/>
  <c r="Q115" i="6"/>
  <c r="O30" i="3"/>
  <c r="Q120" i="6"/>
  <c r="D71" i="4"/>
  <c r="S96" i="6"/>
  <c r="U47" i="20"/>
  <c r="I88" i="5"/>
  <c r="R122" i="6"/>
  <c r="J67" i="4"/>
  <c r="C83" i="5"/>
  <c r="H83" i="5" s="1"/>
  <c r="D63" i="4"/>
  <c r="Q36" i="6"/>
  <c r="Q95" i="6"/>
  <c r="S93" i="6"/>
  <c r="O115" i="6"/>
  <c r="Q32" i="6"/>
  <c r="Q30" i="6"/>
  <c r="Q51" i="6"/>
  <c r="Q39" i="6"/>
  <c r="K63" i="4"/>
  <c r="S99" i="6"/>
  <c r="U53" i="20"/>
  <c r="R121" i="6"/>
  <c r="O117" i="6"/>
  <c r="O116" i="6"/>
  <c r="R123" i="6"/>
  <c r="Q113" i="6"/>
  <c r="Q33" i="6"/>
  <c r="S91" i="6"/>
  <c r="Q114" i="6"/>
  <c r="I73" i="5"/>
  <c r="S97" i="6"/>
  <c r="Q123" i="6"/>
  <c r="S7" i="20"/>
  <c r="Q35" i="6"/>
  <c r="Q87" i="6"/>
  <c r="S95" i="6"/>
  <c r="S92" i="6"/>
  <c r="P75" i="6"/>
  <c r="P92" i="6" s="1"/>
  <c r="R118" i="6"/>
  <c r="O123" i="6"/>
  <c r="R116" i="6"/>
  <c r="B70" i="4"/>
  <c r="F70" i="4" s="1"/>
  <c r="T32" i="6"/>
  <c r="T34" i="6"/>
  <c r="T39" i="6"/>
  <c r="T51" i="6"/>
  <c r="T31" i="6"/>
  <c r="T33" i="6"/>
  <c r="T38" i="6"/>
  <c r="T29" i="6"/>
  <c r="T30" i="6"/>
  <c r="T36" i="6"/>
  <c r="T35" i="6"/>
  <c r="T37" i="6"/>
  <c r="U31" i="6"/>
  <c r="U32" i="6"/>
  <c r="R37" i="6"/>
  <c r="R32" i="6"/>
  <c r="J63" i="4"/>
  <c r="B103" i="5"/>
  <c r="C103" i="5"/>
  <c r="B88" i="5"/>
  <c r="B86" i="4"/>
  <c r="D86" i="4" s="1"/>
  <c r="C98" i="5"/>
  <c r="H98" i="5" s="1"/>
  <c r="R29" i="6"/>
  <c r="K86" i="3"/>
  <c r="F86" i="3"/>
  <c r="F85" i="3"/>
  <c r="K83" i="4"/>
  <c r="H86" i="3"/>
  <c r="U36" i="6"/>
  <c r="U34" i="6"/>
  <c r="B85" i="3"/>
  <c r="R13" i="3"/>
  <c r="C87" i="3"/>
  <c r="Q28" i="3"/>
  <c r="F103" i="5"/>
  <c r="I103" i="5" s="1"/>
  <c r="C86" i="3"/>
  <c r="F75" i="4"/>
  <c r="R27" i="3"/>
  <c r="E86" i="3"/>
  <c r="D85" i="3"/>
  <c r="T27" i="3"/>
  <c r="D75" i="4"/>
  <c r="D86" i="3"/>
  <c r="R51" i="6"/>
  <c r="U37" i="6"/>
  <c r="E85" i="3"/>
  <c r="G86" i="3"/>
  <c r="O31" i="3"/>
  <c r="H87" i="3"/>
  <c r="R33" i="6"/>
  <c r="U39" i="6"/>
  <c r="B86" i="3"/>
  <c r="C93" i="5"/>
  <c r="D93" i="5" s="1"/>
  <c r="B74" i="4"/>
  <c r="J86" i="3"/>
  <c r="R30" i="3"/>
  <c r="J83" i="4"/>
  <c r="S27" i="3"/>
  <c r="P30" i="3"/>
  <c r="T31" i="3"/>
  <c r="D83" i="4"/>
  <c r="F108" i="5"/>
  <c r="I108" i="5" s="1"/>
  <c r="U51" i="6"/>
  <c r="V27" i="3"/>
  <c r="T28" i="3"/>
  <c r="D87" i="4"/>
  <c r="F63" i="4"/>
  <c r="P27" i="3"/>
  <c r="J75" i="4"/>
  <c r="I88" i="3"/>
  <c r="P123" i="6"/>
  <c r="O99" i="6"/>
  <c r="O89" i="6"/>
  <c r="O97" i="6"/>
  <c r="O93" i="6"/>
  <c r="O91" i="6"/>
  <c r="O94" i="6"/>
  <c r="O95" i="6"/>
  <c r="O92" i="6"/>
  <c r="P28" i="3"/>
  <c r="P31" i="3"/>
  <c r="V17" i="3"/>
  <c r="V16" i="3"/>
  <c r="F78" i="4"/>
  <c r="R94" i="6"/>
  <c r="K79" i="4"/>
  <c r="T75" i="6"/>
  <c r="J79" i="4"/>
  <c r="U91" i="6"/>
  <c r="U96" i="6"/>
  <c r="U90" i="6"/>
  <c r="U99" i="6"/>
  <c r="U98" i="6"/>
  <c r="U95" i="6"/>
  <c r="U94" i="6"/>
  <c r="U93" i="6"/>
  <c r="U87" i="6"/>
  <c r="U92" i="6"/>
  <c r="O96" i="6"/>
  <c r="G78" i="5"/>
  <c r="O87" i="6"/>
  <c r="U97" i="6"/>
  <c r="R17" i="3"/>
  <c r="R16" i="3"/>
  <c r="V31" i="3"/>
  <c r="V30" i="3"/>
  <c r="F79" i="4"/>
  <c r="B98" i="5"/>
  <c r="D79" i="4"/>
  <c r="I98" i="5"/>
  <c r="O17" i="3"/>
  <c r="O16" i="3"/>
  <c r="P114" i="6"/>
  <c r="P115" i="6"/>
  <c r="P116" i="6"/>
  <c r="P121" i="6"/>
  <c r="P118" i="6"/>
  <c r="P117" i="6"/>
  <c r="P120" i="6"/>
  <c r="P119" i="6"/>
  <c r="R97" i="6"/>
  <c r="R99" i="6"/>
  <c r="R91" i="6"/>
  <c r="R95" i="6"/>
  <c r="R92" i="6"/>
  <c r="R98" i="6"/>
  <c r="R96" i="6"/>
  <c r="R93" i="6"/>
  <c r="R87" i="6"/>
  <c r="R90" i="6"/>
  <c r="S11" i="20"/>
  <c r="U54" i="20"/>
  <c r="H88" i="3"/>
  <c r="J88" i="3"/>
  <c r="K88" i="3"/>
  <c r="F88" i="3"/>
  <c r="D88" i="3"/>
  <c r="G88" i="3"/>
  <c r="C88" i="3"/>
  <c r="E88" i="3"/>
  <c r="U31" i="3"/>
  <c r="R36" i="6"/>
  <c r="R31" i="6"/>
  <c r="R38" i="6"/>
  <c r="U29" i="6"/>
  <c r="U38" i="6"/>
  <c r="U33" i="6"/>
  <c r="Q89" i="6"/>
  <c r="S27" i="6"/>
  <c r="T30" i="3"/>
  <c r="S48" i="21"/>
  <c r="J127" i="9" s="1"/>
  <c r="O35" i="6"/>
  <c r="O51" i="6"/>
  <c r="O34" i="6"/>
  <c r="O33" i="6"/>
  <c r="O29" i="6"/>
  <c r="C78" i="5"/>
  <c r="H78" i="5" s="1"/>
  <c r="P27" i="6"/>
  <c r="Q16" i="3"/>
  <c r="Q17" i="3"/>
  <c r="J89" i="3"/>
  <c r="F89" i="3"/>
  <c r="B89" i="3"/>
  <c r="I89" i="3"/>
  <c r="E89" i="3"/>
  <c r="G89" i="3"/>
  <c r="J87" i="4"/>
  <c r="B108" i="5"/>
  <c r="Q96" i="6"/>
  <c r="Q99" i="6"/>
  <c r="Q93" i="6"/>
  <c r="Q90" i="6"/>
  <c r="Q94" i="6"/>
  <c r="O28" i="3"/>
  <c r="O27" i="3"/>
  <c r="R39" i="6"/>
  <c r="R35" i="6"/>
  <c r="U35" i="6"/>
  <c r="U30" i="6"/>
  <c r="Q97" i="6"/>
  <c r="V28" i="3"/>
  <c r="Q91" i="6"/>
  <c r="Q48" i="21"/>
  <c r="N127" i="9" s="1"/>
  <c r="N28" i="3"/>
  <c r="N31" i="3"/>
  <c r="Q27" i="3"/>
  <c r="Q30" i="3"/>
  <c r="J85" i="3"/>
  <c r="G85" i="3"/>
  <c r="C85" i="3"/>
  <c r="B83" i="5"/>
  <c r="F67" i="4"/>
  <c r="S117" i="6"/>
  <c r="S121" i="6"/>
  <c r="S118" i="6"/>
  <c r="S114" i="6"/>
  <c r="S122" i="6"/>
  <c r="H89" i="3"/>
  <c r="G108" i="5"/>
  <c r="C108" i="5"/>
  <c r="F82" i="4" l="1"/>
  <c r="V89" i="6"/>
  <c r="V99" i="6"/>
  <c r="V98" i="6"/>
  <c r="V87" i="6"/>
  <c r="V92" i="6"/>
  <c r="V95" i="6"/>
  <c r="V93" i="6"/>
  <c r="V96" i="6"/>
  <c r="V97" i="6"/>
  <c r="V90" i="6"/>
  <c r="V94" i="6"/>
  <c r="V91" i="6"/>
  <c r="T123" i="6"/>
  <c r="T117" i="6"/>
  <c r="T115" i="6"/>
  <c r="T120" i="6"/>
  <c r="D70" i="4"/>
  <c r="T122" i="6"/>
  <c r="T121" i="6"/>
  <c r="T116" i="6"/>
  <c r="T114" i="6"/>
  <c r="T119" i="6"/>
  <c r="U114" i="6"/>
  <c r="U121" i="6"/>
  <c r="U117" i="6"/>
  <c r="U115" i="6"/>
  <c r="T113" i="6"/>
  <c r="D88" i="5"/>
  <c r="U119" i="6"/>
  <c r="U113" i="6"/>
  <c r="U116" i="6"/>
  <c r="U122" i="6"/>
  <c r="U123" i="6"/>
  <c r="U120" i="6"/>
  <c r="H108" i="5"/>
  <c r="P89" i="6"/>
  <c r="P96" i="6"/>
  <c r="P94" i="6"/>
  <c r="D83" i="5"/>
  <c r="P97" i="6"/>
  <c r="P87" i="6"/>
  <c r="P95" i="6"/>
  <c r="P91" i="6"/>
  <c r="P93" i="6"/>
  <c r="D103" i="5"/>
  <c r="F86" i="4"/>
  <c r="P99" i="6"/>
  <c r="P90" i="6"/>
  <c r="H103" i="5"/>
  <c r="D98" i="5"/>
  <c r="H93" i="5"/>
  <c r="D74" i="4"/>
  <c r="F74" i="4"/>
  <c r="P34" i="6"/>
  <c r="P51" i="6"/>
  <c r="P32" i="6"/>
  <c r="P29" i="6"/>
  <c r="P33" i="6"/>
  <c r="P35" i="6"/>
  <c r="P31" i="6"/>
  <c r="P37" i="6"/>
  <c r="P30" i="6"/>
  <c r="P39" i="6"/>
  <c r="P36" i="6"/>
  <c r="D108" i="5"/>
  <c r="S38" i="6"/>
  <c r="S29" i="6"/>
  <c r="S30" i="6"/>
  <c r="S31" i="6"/>
  <c r="S32" i="6"/>
  <c r="S35" i="6"/>
  <c r="S36" i="6"/>
  <c r="S39" i="6"/>
  <c r="S37" i="6"/>
  <c r="S34" i="6"/>
  <c r="S33" i="6"/>
  <c r="S51" i="6"/>
  <c r="D78" i="5"/>
  <c r="T98" i="6"/>
  <c r="T90" i="6"/>
  <c r="T93" i="6"/>
  <c r="T95" i="6"/>
  <c r="T94" i="6"/>
  <c r="T96" i="6"/>
  <c r="T92" i="6"/>
  <c r="T99" i="6"/>
  <c r="T87" i="6"/>
  <c r="T89" i="6"/>
  <c r="T97" i="6"/>
  <c r="T91" i="6"/>
</calcChain>
</file>

<file path=xl/sharedStrings.xml><?xml version="1.0" encoding="utf-8"?>
<sst xmlns="http://schemas.openxmlformats.org/spreadsheetml/2006/main" count="1095" uniqueCount="169">
  <si>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</si>
  <si>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</si>
  <si>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</si>
  <si>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</si>
  <si>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</si>
  <si>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</si>
  <si>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</si>
  <si>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</si>
  <si>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</si>
  <si>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</si>
  <si>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</si>
  <si>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</si>
  <si>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</si>
  <si>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</si>
  <si>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</si>
  <si>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</si>
  <si>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</si>
  <si>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</si>
  <si>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</si>
  <si>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</si>
  <si>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</si>
  <si>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</si>
  <si>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</si>
  <si>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</si>
  <si>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</si>
  <si>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</si>
  <si>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</si>
  <si>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</si>
  <si>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</si>
  <si>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</si>
  <si>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</si>
  <si>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</si>
  <si>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</si>
  <si>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</si>
  <si>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</si>
  <si>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</si>
  <si>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</si>
  <si>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</si>
  <si>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</si>
  <si>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</si>
  <si>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</si>
  <si>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</si>
  <si>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</si>
  <si>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</si>
  <si>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</si>
  <si>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</si>
  <si>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</si>
  <si>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</si>
  <si>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</si>
  <si>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</si>
  <si>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</si>
  <si>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</si>
  <si>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</si>
  <si>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</si>
  <si>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</si>
  <si>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</si>
  <si>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</si>
  <si>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</si>
  <si>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</si>
  <si>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</si>
  <si>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</si>
  <si>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</si>
  <si>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</si>
  <si>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</si>
  <si>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</si>
  <si>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</si>
  <si>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</si>
  <si>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</si>
  <si>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</si>
  <si>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</si>
  <si>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</si>
  <si>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</si>
  <si>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</si>
  <si>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</si>
  <si>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</si>
  <si>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</si>
  <si>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</si>
  <si>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</si>
  <si>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</si>
  <si>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</si>
  <si>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</si>
  <si>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</si>
  <si>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</si>
  <si>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</si>
  <si>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</si>
  <si>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</si>
  <si>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</si>
  <si>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</si>
  <si>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</si>
  <si>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</si>
  <si>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</si>
  <si>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</si>
  <si>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</si>
  <si>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</si>
  <si>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</si>
  <si>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</si>
  <si>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</si>
  <si>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</si>
  <si>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</si>
  <si>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</si>
  <si>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</si>
  <si>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</si>
  <si>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</si>
  <si>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</si>
  <si>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</si>
  <si>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</si>
  <si>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</si>
  <si>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</si>
  <si>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</si>
  <si>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</si>
  <si>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</si>
  <si>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</si>
  <si>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</si>
  <si>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</si>
  <si>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</si>
  <si>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</si>
  <si>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</si>
  <si>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</si>
  <si>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</si>
  <si>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</si>
  <si>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</si>
  <si>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</si>
  <si>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</si>
  <si>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</si>
  <si>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</si>
  <si>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</si>
  <si>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</si>
  <si>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</si>
  <si>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</si>
  <si>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</si>
  <si>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</si>
  <si>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</si>
  <si>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</si>
  <si>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</si>
  <si>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</si>
  <si>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</si>
  <si>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</si>
  <si>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</si>
  <si>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</si>
  <si>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</si>
  <si>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>Věk k 31.8.2015</t>
  </si>
  <si>
    <t>2016/17</t>
  </si>
  <si>
    <t>Věk k 31.8.2016</t>
  </si>
  <si>
    <t>maturanti v předch. roce (denní forma vzdělávání)</t>
  </si>
  <si>
    <t>2017/18</t>
  </si>
  <si>
    <t>Věk k 31.8.2017</t>
  </si>
  <si>
    <t>18 a méně</t>
  </si>
  <si>
    <t>2018/19</t>
  </si>
  <si>
    <t>-</t>
  </si>
  <si>
    <t>Věk k 31.8.2018</t>
  </si>
  <si>
    <t>2019/20</t>
  </si>
  <si>
    <t>Věk k 31.8.2019</t>
  </si>
  <si>
    <t>2020/21</t>
  </si>
  <si>
    <t>Věk k 31.8.2020</t>
  </si>
  <si>
    <t>2021/22</t>
  </si>
  <si>
    <t>Věk k 31.8.2021</t>
  </si>
  <si>
    <t>2022/23</t>
  </si>
  <si>
    <t>2023/24</t>
  </si>
  <si>
    <t>Počet přihlášek, přihlášených, přijatých a zapsaných na VOŠ 1999/00–2023/24 v tisících</t>
  </si>
  <si>
    <t>Struktura uchazečů na VOŠ podle počtu podaných přihlášek 1999/00–2023/24 v %</t>
  </si>
  <si>
    <t>Uchazeči o studium na VOŠ podle počtu podaných přihlášek 1999/00–2023/24</t>
  </si>
  <si>
    <t>Počet přihlášek, přihlášených, přijatých a zapsaných na VOŠ podle formy vzdělávání v letech 1999/00–2023/24</t>
  </si>
  <si>
    <t>Počet přihlášek, přihlášených, přijatých a zapsaných na VOŠ podle zřizovatele v letech 1999/00–2023/24</t>
  </si>
  <si>
    <t>Počet přihlášek, přihlášených, přijatých a zapsaných na VOŠ podle skupin oborů v letech 1999/00–2023/24</t>
  </si>
  <si>
    <t>Počet přihlášek, přihlášených, přijetí, přijatých, zapsání a zapsaných na VOŠ podle pohlaví v letech 1999/00–2023/24</t>
  </si>
  <si>
    <t>Struktura přihlášených, přijatých a zapsaných na VOŠ podle věku v letech 1999/00–2023/24</t>
  </si>
  <si>
    <t>Podíly uchazečů přijatých do denní formy vzdělávání na VOŠ podle věku v letech 1999/00–2023/24</t>
  </si>
  <si>
    <t>Uchazeči přijatí do denní formy vzdělávání na VOŠ podle věku v letech 1999/00–2023/24</t>
  </si>
  <si>
    <t>* Do roku 2000 populace 18letých, od roku 2001 populace 19letých. V roce 2022 a 2023 jsou do stavu započítány i osoby s ukrajinským státním občanstvím v režimu dočasné ochrany.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</si>
</sst>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_K_č_-;\-* #,##0.00\ _K_č_-;_-* &quot;-&quot;??\ _K_č_-;_-@_-"/>
    <numFmt numFmtId="165" formatCode="_(* #,##0.00_);_(* \(#,##0.00\);_(* &quot;-&quot;??_);_(@_)"/>
    <numFmt numFmtId="166" formatCode="#,##0.0"/>
    <numFmt numFmtId="167" formatCode="#,##0;;\-"/>
    <numFmt numFmtId="168" formatCode="0.0"/>
    <numFmt numFmtId="169" formatCode="0.0%"/>
    <numFmt numFmtId="170" formatCode="_-* #,##0\ _K_č_-;\-* #,##0\ _K_č_-;_-* &quot;-&quot;??\ _K_č_-;_-@_-"/>
    <numFmt numFmtId="171" formatCode="_(* #,##0_);_(* \(#,##0\);_(* &quot;-&quot;??_);_(@_)"/>
    <numFmt numFmtId="172" formatCode="#,##0_ ;[Red]\-#,##0\ ;\-\ "/>
    <numFmt numFmtId="173" formatCode="#,##0.00_ ;[Red]\-#,##0.00\ ;\-\ "/>
    <numFmt numFmtId="174" formatCode="0.0%\ ;;\-\ "/>
    <numFmt numFmtId="175" formatCode="0.00%\ ;;\-\ "/>
  </numFmts>
  <fonts count="18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565">
    <xf numFmtId="0" fontId="0" fillId="0" borderId="0" xfId="0"/>
    <xf numFmtId="0" fontId="3" fillId="0" borderId="0" xfId="0" applyFont="1"/>
    <xf numFmtId="0" fontId="4" fillId="0" borderId="0" xfId="0" applyFont="1"/>
    <xf numFmtId="3" fontId="4" fillId="2" borderId="1" xfId="0" applyNumberFormat="1" applyFont="1" applyFill="1" applyBorder="1" applyAlignment="1">
      <alignment horizontal="centerContinuous" vertical="center"/>
    </xf>
    <xf numFmtId="166" fontId="3" fillId="0" borderId="0" xfId="0" applyNumberFormat="1" applyFont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69" fontId="3" fillId="0" borderId="0" xfId="5" applyNumberFormat="1" applyFont="1"/>
    <xf numFmtId="0" fontId="3" fillId="3" borderId="0" xfId="0" applyFont="1" applyFill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3" fontId="3" fillId="0" borderId="0" xfId="0" applyNumberFormat="1" applyFont="1" applyAlignment="1">
      <alignment horizontal="center"/>
    </xf>
    <xf numFmtId="169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/>
    <xf numFmtId="169" fontId="3" fillId="0" borderId="0" xfId="0" applyNumberFormat="1" applyFont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169" fontId="3" fillId="0" borderId="0" xfId="5" applyNumberFormat="1" applyFont="1" applyFill="1" applyBorder="1" applyAlignment="1">
      <alignment horizontal="center"/>
    </xf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69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69" fontId="3" fillId="3" borderId="22" xfId="5" applyNumberFormat="1" applyFont="1" applyFill="1" applyBorder="1" applyAlignment="1">
      <alignment horizontal="right"/>
    </xf>
    <xf numFmtId="169" fontId="3" fillId="3" borderId="23" xfId="5" applyNumberFormat="1" applyFont="1" applyFill="1" applyBorder="1" applyAlignment="1">
      <alignment horizontal="right"/>
    </xf>
    <xf numFmtId="169" fontId="3" fillId="3" borderId="24" xfId="5" applyNumberFormat="1" applyFont="1" applyFill="1" applyBorder="1" applyAlignment="1">
      <alignment horizontal="right"/>
    </xf>
    <xf numFmtId="169" fontId="3" fillId="3" borderId="25" xfId="5" applyNumberFormat="1" applyFont="1" applyFill="1" applyBorder="1" applyAlignment="1">
      <alignment horizontal="right"/>
    </xf>
    <xf numFmtId="169" fontId="3" fillId="3" borderId="26" xfId="5" applyNumberFormat="1" applyFont="1" applyFill="1" applyBorder="1" applyAlignment="1">
      <alignment horizontal="right"/>
    </xf>
    <xf numFmtId="169" fontId="3" fillId="3" borderId="27" xfId="5" applyNumberFormat="1" applyFont="1" applyFill="1" applyBorder="1" applyAlignment="1">
      <alignment horizontal="right"/>
    </xf>
    <xf numFmtId="169" fontId="3" fillId="3" borderId="28" xfId="5" applyNumberFormat="1" applyFont="1" applyFill="1" applyBorder="1" applyAlignment="1">
      <alignment horizontal="right"/>
    </xf>
    <xf numFmtId="169" fontId="3" fillId="3" borderId="29" xfId="5" applyNumberFormat="1" applyFont="1" applyFill="1" applyBorder="1" applyAlignment="1">
      <alignment horizontal="right"/>
    </xf>
    <xf numFmtId="169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69" fontId="3" fillId="3" borderId="33" xfId="5" applyNumberFormat="1" applyFont="1" applyFill="1" applyBorder="1" applyAlignment="1">
      <alignment horizontal="right"/>
    </xf>
    <xf numFmtId="169" fontId="3" fillId="3" borderId="34" xfId="5" applyNumberFormat="1" applyFont="1" applyFill="1" applyBorder="1" applyAlignment="1">
      <alignment horizontal="right"/>
    </xf>
    <xf numFmtId="169" fontId="3" fillId="3" borderId="35" xfId="5" applyNumberFormat="1" applyFont="1" applyFill="1" applyBorder="1" applyAlignment="1">
      <alignment horizontal="right"/>
    </xf>
    <xf numFmtId="169" fontId="3" fillId="3" borderId="36" xfId="5" applyNumberFormat="1" applyFont="1" applyFill="1" applyBorder="1" applyAlignment="1">
      <alignment horizontal="right"/>
    </xf>
    <xf numFmtId="169" fontId="3" fillId="3" borderId="37" xfId="5" applyNumberFormat="1" applyFont="1" applyFill="1" applyBorder="1" applyAlignment="1">
      <alignment horizontal="right"/>
    </xf>
    <xf numFmtId="169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9" fontId="3" fillId="0" borderId="0" xfId="5" applyNumberFormat="1" applyFont="1" applyFill="1" applyBorder="1" applyAlignment="1">
      <alignment horizontal="right"/>
    </xf>
    <xf numFmtId="165" fontId="3" fillId="0" borderId="0" xfId="1" applyFont="1" applyFill="1" applyBorder="1" applyAlignment="1">
      <alignment horizontal="right"/>
    </xf>
    <xf numFmtId="3" fontId="4" fillId="0" borderId="0" xfId="0" applyNumberFormat="1" applyFont="1" applyAlignment="1">
      <alignment horizontal="left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68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168" fontId="3" fillId="0" borderId="35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66" fontId="3" fillId="3" borderId="23" xfId="0" applyNumberFormat="1" applyFont="1" applyFill="1" applyBorder="1" applyAlignment="1">
      <alignment horizontal="right"/>
    </xf>
    <xf numFmtId="166" fontId="3" fillId="0" borderId="23" xfId="0" applyNumberFormat="1" applyFont="1" applyBorder="1" applyAlignment="1">
      <alignment horizontal="right"/>
    </xf>
    <xf numFmtId="166" fontId="3" fillId="3" borderId="26" xfId="0" applyNumberFormat="1" applyFont="1" applyFill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3" borderId="48" xfId="0" applyNumberFormat="1" applyFont="1" applyFill="1" applyBorder="1" applyAlignment="1">
      <alignment horizontal="right"/>
    </xf>
    <xf numFmtId="0" fontId="3" fillId="0" borderId="48" xfId="0" applyFont="1" applyBorder="1" applyAlignment="1">
      <alignment horizontal="right"/>
    </xf>
    <xf numFmtId="166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66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66" fontId="3" fillId="0" borderId="50" xfId="0" quotePrefix="1" applyNumberFormat="1" applyFont="1" applyBorder="1" applyAlignment="1">
      <alignment horizontal="right"/>
    </xf>
    <xf numFmtId="169" fontId="3" fillId="3" borderId="26" xfId="5" quotePrefix="1" applyNumberFormat="1" applyFont="1" applyFill="1" applyBorder="1" applyAlignment="1">
      <alignment horizontal="right"/>
    </xf>
    <xf numFmtId="169" fontId="3" fillId="0" borderId="30" xfId="5" applyNumberFormat="1" applyFont="1" applyFill="1" applyBorder="1" applyAlignment="1">
      <alignment horizontal="right"/>
    </xf>
    <xf numFmtId="166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66" fontId="3" fillId="0" borderId="52" xfId="0" quotePrefix="1" applyNumberFormat="1" applyFont="1" applyBorder="1" applyAlignment="1">
      <alignment horizontal="right"/>
    </xf>
    <xf numFmtId="169" fontId="3" fillId="3" borderId="53" xfId="5" applyNumberFormat="1" applyFont="1" applyFill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69" fontId="3" fillId="3" borderId="56" xfId="5" applyNumberFormat="1" applyFont="1" applyFill="1" applyBorder="1" applyAlignment="1">
      <alignment horizontal="right"/>
    </xf>
    <xf numFmtId="169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69" fontId="3" fillId="3" borderId="59" xfId="5" applyNumberFormat="1" applyFont="1" applyFill="1" applyBorder="1" applyAlignment="1">
      <alignment horizontal="right"/>
    </xf>
    <xf numFmtId="169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69" fontId="3" fillId="3" borderId="45" xfId="5" applyNumberFormat="1" applyFont="1" applyFill="1" applyBorder="1" applyAlignment="1">
      <alignment horizontal="right"/>
    </xf>
    <xf numFmtId="172" fontId="3" fillId="0" borderId="55" xfId="4" applyNumberFormat="1" applyFont="1" applyBorder="1" applyAlignment="1">
      <alignment horizontal="right" vertical="center"/>
    </xf>
    <xf numFmtId="172" fontId="3" fillId="0" borderId="56" xfId="4" applyNumberFormat="1" applyFont="1" applyBorder="1" applyAlignment="1">
      <alignment horizontal="right" vertical="center"/>
    </xf>
    <xf numFmtId="174" fontId="3" fillId="0" borderId="57" xfId="5" applyNumberFormat="1" applyFont="1" applyFill="1" applyBorder="1" applyAlignment="1">
      <alignment horizontal="right" vertical="center"/>
    </xf>
    <xf numFmtId="172" fontId="3" fillId="0" borderId="25" xfId="4" applyNumberFormat="1" applyFont="1" applyBorder="1" applyAlignment="1">
      <alignment horizontal="right" vertical="center"/>
    </xf>
    <xf numFmtId="172" fontId="3" fillId="0" borderId="26" xfId="4" applyNumberFormat="1" applyFont="1" applyBorder="1" applyAlignment="1">
      <alignment horizontal="right" vertical="center"/>
    </xf>
    <xf numFmtId="174" fontId="3" fillId="0" borderId="27" xfId="5" applyNumberFormat="1" applyFont="1" applyFill="1" applyBorder="1" applyAlignment="1">
      <alignment horizontal="right" vertical="center"/>
    </xf>
    <xf numFmtId="172" fontId="3" fillId="0" borderId="28" xfId="4" applyNumberFormat="1" applyFont="1" applyBorder="1" applyAlignment="1">
      <alignment horizontal="right" vertical="center"/>
    </xf>
    <xf numFmtId="172" fontId="3" fillId="0" borderId="29" xfId="4" applyNumberFormat="1" applyFont="1" applyBorder="1" applyAlignment="1">
      <alignment horizontal="right" vertical="center"/>
    </xf>
    <xf numFmtId="174" fontId="3" fillId="0" borderId="30" xfId="5" applyNumberFormat="1" applyFont="1" applyFill="1" applyBorder="1" applyAlignment="1">
      <alignment horizontal="right" vertical="center"/>
    </xf>
    <xf numFmtId="172" fontId="3" fillId="0" borderId="58" xfId="4" applyNumberFormat="1" applyFont="1" applyBorder="1" applyAlignment="1">
      <alignment horizontal="right" vertical="center"/>
    </xf>
    <xf numFmtId="172" fontId="3" fillId="0" borderId="59" xfId="4" applyNumberFormat="1" applyFont="1" applyBorder="1" applyAlignment="1">
      <alignment horizontal="right" vertical="center"/>
    </xf>
    <xf numFmtId="174" fontId="3" fillId="0" borderId="60" xfId="5" applyNumberFormat="1" applyFont="1" applyFill="1" applyBorder="1" applyAlignment="1">
      <alignment horizontal="right" vertical="center"/>
    </xf>
    <xf numFmtId="172" fontId="3" fillId="0" borderId="44" xfId="4" applyNumberFormat="1" applyFont="1" applyBorder="1" applyAlignment="1">
      <alignment horizontal="right" vertical="center"/>
    </xf>
    <xf numFmtId="172" fontId="3" fillId="0" borderId="45" xfId="4" applyNumberFormat="1" applyFont="1" applyBorder="1" applyAlignment="1">
      <alignment horizontal="right" vertical="center"/>
    </xf>
    <xf numFmtId="174" fontId="3" fillId="0" borderId="61" xfId="5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69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171" fontId="3" fillId="3" borderId="51" xfId="1" applyNumberFormat="1" applyFont="1" applyFill="1" applyBorder="1" applyAlignment="1">
      <alignment horizontal="right"/>
    </xf>
    <xf numFmtId="171" fontId="3" fillId="3" borderId="52" xfId="1" applyNumberFormat="1" applyFont="1" applyFill="1" applyBorder="1" applyAlignment="1">
      <alignment horizontal="right"/>
    </xf>
    <xf numFmtId="171" fontId="3" fillId="3" borderId="26" xfId="1" applyNumberFormat="1" applyFont="1" applyFill="1" applyBorder="1" applyAlignment="1">
      <alignment horizontal="right"/>
    </xf>
    <xf numFmtId="171" fontId="3" fillId="3" borderId="27" xfId="1" applyNumberFormat="1" applyFont="1" applyFill="1" applyBorder="1" applyAlignment="1">
      <alignment horizontal="right"/>
    </xf>
    <xf numFmtId="171" fontId="3" fillId="0" borderId="26" xfId="1" applyNumberFormat="1" applyFont="1" applyFill="1" applyBorder="1" applyAlignment="1">
      <alignment horizontal="right"/>
    </xf>
    <xf numFmtId="171" fontId="3" fillId="3" borderId="29" xfId="1" applyNumberFormat="1" applyFont="1" applyFill="1" applyBorder="1" applyAlignment="1">
      <alignment horizontal="right"/>
    </xf>
    <xf numFmtId="171" fontId="3" fillId="0" borderId="29" xfId="1" applyNumberFormat="1" applyFont="1" applyFill="1" applyBorder="1" applyAlignment="1">
      <alignment horizontal="right"/>
    </xf>
    <xf numFmtId="171" fontId="3" fillId="3" borderId="30" xfId="1" applyNumberFormat="1" applyFont="1" applyFill="1" applyBorder="1" applyAlignment="1">
      <alignment horizontal="right"/>
    </xf>
    <xf numFmtId="171" fontId="3" fillId="3" borderId="59" xfId="1" applyNumberFormat="1" applyFont="1" applyFill="1" applyBorder="1" applyAlignment="1">
      <alignment horizontal="right"/>
    </xf>
    <xf numFmtId="171" fontId="3" fillId="3" borderId="60" xfId="1" applyNumberFormat="1" applyFont="1" applyFill="1" applyBorder="1" applyAlignment="1">
      <alignment horizontal="right"/>
    </xf>
    <xf numFmtId="169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69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69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69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69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71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67" fontId="3" fillId="3" borderId="25" xfId="0" applyNumberFormat="1" applyFont="1" applyFill="1" applyBorder="1" applyAlignment="1">
      <alignment horizontal="right"/>
    </xf>
    <xf numFmtId="167" fontId="3" fillId="3" borderId="26" xfId="0" applyNumberFormat="1" applyFont="1" applyFill="1" applyBorder="1" applyAlignment="1">
      <alignment horizontal="right"/>
    </xf>
    <xf numFmtId="167" fontId="3" fillId="0" borderId="25" xfId="0" applyNumberFormat="1" applyFont="1" applyBorder="1" applyAlignment="1">
      <alignment horizontal="right"/>
    </xf>
    <xf numFmtId="167" fontId="3" fillId="0" borderId="26" xfId="0" applyNumberFormat="1" applyFont="1" applyBorder="1" applyAlignment="1">
      <alignment horizontal="right"/>
    </xf>
    <xf numFmtId="167" fontId="3" fillId="3" borderId="64" xfId="0" applyNumberFormat="1" applyFont="1" applyFill="1" applyBorder="1" applyAlignment="1">
      <alignment horizontal="right"/>
    </xf>
    <xf numFmtId="167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Font="1" applyFill="1" applyBorder="1" applyAlignment="1">
      <alignment horizontal="left" indent="1"/>
    </xf>
    <xf numFmtId="9" fontId="3" fillId="2" borderId="67" xfId="5" applyFont="1" applyFill="1" applyBorder="1" applyAlignment="1">
      <alignment horizontal="left" indent="1"/>
    </xf>
    <xf numFmtId="9" fontId="3" fillId="2" borderId="69" xfId="5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65" fontId="4" fillId="2" borderId="44" xfId="1" applyFont="1" applyFill="1" applyBorder="1" applyAlignment="1">
      <alignment horizontal="right"/>
    </xf>
    <xf numFmtId="165" fontId="4" fillId="2" borderId="45" xfId="1" applyFont="1" applyFill="1" applyBorder="1" applyAlignment="1">
      <alignment horizontal="right"/>
    </xf>
    <xf numFmtId="165" fontId="4" fillId="2" borderId="46" xfId="1" applyFont="1" applyFill="1" applyBorder="1" applyAlignment="1">
      <alignment horizontal="right"/>
    </xf>
    <xf numFmtId="165" fontId="4" fillId="2" borderId="77" xfId="1" applyFont="1" applyFill="1" applyBorder="1" applyAlignment="1">
      <alignment horizontal="right"/>
    </xf>
    <xf numFmtId="165" fontId="4" fillId="2" borderId="61" xfId="1" applyFont="1" applyFill="1" applyBorder="1" applyAlignment="1">
      <alignment horizontal="right"/>
    </xf>
    <xf numFmtId="169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67" fontId="3" fillId="0" borderId="80" xfId="0" applyNumberFormat="1" applyFont="1" applyBorder="1" applyAlignment="1">
      <alignment horizontal="right"/>
    </xf>
    <xf numFmtId="167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Border="1" applyAlignment="1">
      <alignment horizontal="right"/>
    </xf>
    <xf numFmtId="3" fontId="3" fillId="0" borderId="78" xfId="0" applyNumberFormat="1" applyFont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69" fontId="3" fillId="3" borderId="88" xfId="5" applyNumberFormat="1" applyFont="1" applyFill="1" applyBorder="1" applyAlignment="1">
      <alignment horizontal="right"/>
    </xf>
    <xf numFmtId="169" fontId="3" fillId="3" borderId="86" xfId="5" applyNumberFormat="1" applyFont="1" applyFill="1" applyBorder="1" applyAlignment="1">
      <alignment horizontal="right"/>
    </xf>
    <xf numFmtId="169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71" fontId="3" fillId="3" borderId="88" xfId="1" applyNumberFormat="1" applyFont="1" applyFill="1" applyBorder="1" applyAlignment="1">
      <alignment horizontal="right"/>
    </xf>
    <xf numFmtId="171" fontId="3" fillId="3" borderId="86" xfId="1" applyNumberFormat="1" applyFont="1" applyFill="1" applyBorder="1" applyAlignment="1">
      <alignment horizontal="right"/>
    </xf>
    <xf numFmtId="171" fontId="3" fillId="0" borderId="86" xfId="1" applyNumberFormat="1" applyFont="1" applyFill="1" applyBorder="1" applyAlignment="1">
      <alignment horizontal="right"/>
    </xf>
    <xf numFmtId="171" fontId="3" fillId="0" borderId="78" xfId="1" applyNumberFormat="1" applyFont="1" applyFill="1" applyBorder="1" applyAlignment="1">
      <alignment horizontal="right"/>
    </xf>
    <xf numFmtId="171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71" fontId="3" fillId="0" borderId="90" xfId="1" applyNumberFormat="1" applyFont="1" applyFill="1" applyBorder="1" applyAlignment="1">
      <alignment horizontal="right"/>
    </xf>
    <xf numFmtId="166" fontId="3" fillId="3" borderId="49" xfId="0" quotePrefix="1" applyNumberFormat="1" applyFont="1" applyFill="1" applyBorder="1" applyAlignment="1">
      <alignment horizontal="right"/>
    </xf>
    <xf numFmtId="169" fontId="3" fillId="0" borderId="27" xfId="5" applyNumberFormat="1" applyFont="1" applyFill="1" applyBorder="1" applyAlignment="1">
      <alignment horizontal="right"/>
    </xf>
    <xf numFmtId="169" fontId="3" fillId="0" borderId="57" xfId="5" applyNumberFormat="1" applyFont="1" applyFill="1" applyBorder="1" applyAlignment="1">
      <alignment horizontal="right"/>
    </xf>
    <xf numFmtId="169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69" fontId="3" fillId="3" borderId="27" xfId="0" applyNumberFormat="1" applyFont="1" applyFill="1" applyBorder="1" applyAlignment="1">
      <alignment horizontal="right"/>
    </xf>
    <xf numFmtId="169" fontId="3" fillId="0" borderId="38" xfId="5" applyNumberFormat="1" applyFont="1" applyFill="1" applyBorder="1" applyAlignment="1">
      <alignment horizontal="right"/>
    </xf>
    <xf numFmtId="166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69" fontId="9" fillId="0" borderId="0" xfId="0" applyNumberFormat="1" applyFont="1"/>
    <xf numFmtId="0" fontId="7" fillId="0" borderId="0" xfId="0" applyFont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71" fontId="3" fillId="0" borderId="48" xfId="1" applyNumberFormat="1" applyFont="1" applyFill="1" applyBorder="1" applyAlignment="1">
      <alignment horizontal="right"/>
    </xf>
    <xf numFmtId="171" fontId="3" fillId="0" borderId="91" xfId="1" applyNumberFormat="1" applyFont="1" applyFill="1" applyBorder="1" applyAlignment="1">
      <alignment horizontal="right"/>
    </xf>
    <xf numFmtId="169" fontId="3" fillId="0" borderId="51" xfId="5" applyNumberFormat="1" applyFont="1" applyFill="1" applyBorder="1" applyAlignment="1">
      <alignment horizontal="right"/>
    </xf>
    <xf numFmtId="169" fontId="3" fillId="0" borderId="88" xfId="5" applyNumberFormat="1" applyFont="1" applyFill="1" applyBorder="1" applyAlignment="1">
      <alignment horizontal="right"/>
    </xf>
    <xf numFmtId="169" fontId="3" fillId="0" borderId="25" xfId="5" applyNumberFormat="1" applyFont="1" applyFill="1" applyBorder="1" applyAlignment="1">
      <alignment horizontal="right"/>
    </xf>
    <xf numFmtId="169" fontId="3" fillId="0" borderId="26" xfId="5" applyNumberFormat="1" applyFont="1" applyFill="1" applyBorder="1" applyAlignment="1">
      <alignment horizontal="right"/>
    </xf>
    <xf numFmtId="169" fontId="3" fillId="0" borderId="86" xfId="5" applyNumberFormat="1" applyFont="1" applyFill="1" applyBorder="1" applyAlignment="1">
      <alignment horizontal="right"/>
    </xf>
    <xf numFmtId="169" fontId="3" fillId="0" borderId="28" xfId="5" applyNumberFormat="1" applyFont="1" applyFill="1" applyBorder="1" applyAlignment="1">
      <alignment horizontal="right"/>
    </xf>
    <xf numFmtId="169" fontId="3" fillId="0" borderId="29" xfId="5" applyNumberFormat="1" applyFont="1" applyFill="1" applyBorder="1" applyAlignment="1">
      <alignment horizontal="right"/>
    </xf>
    <xf numFmtId="169" fontId="3" fillId="0" borderId="78" xfId="5" applyNumberFormat="1" applyFont="1" applyFill="1" applyBorder="1" applyAlignment="1">
      <alignment horizontal="right"/>
    </xf>
    <xf numFmtId="169" fontId="3" fillId="0" borderId="59" xfId="5" applyNumberFormat="1" applyFont="1" applyFill="1" applyBorder="1" applyAlignment="1">
      <alignment horizontal="right"/>
    </xf>
    <xf numFmtId="169" fontId="3" fillId="0" borderId="87" xfId="5" applyNumberFormat="1" applyFont="1" applyFill="1" applyBorder="1" applyAlignment="1">
      <alignment horizontal="right"/>
    </xf>
    <xf numFmtId="169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73" fontId="8" fillId="0" borderId="56" xfId="4" applyNumberFormat="1" applyFont="1" applyBorder="1" applyAlignment="1">
      <alignment horizontal="right" vertical="center"/>
    </xf>
    <xf numFmtId="173" fontId="8" fillId="0" borderId="26" xfId="4" applyNumberFormat="1" applyFont="1" applyBorder="1" applyAlignment="1">
      <alignment horizontal="right" vertical="center"/>
    </xf>
    <xf numFmtId="173" fontId="8" fillId="0" borderId="29" xfId="4" applyNumberFormat="1" applyFont="1" applyBorder="1" applyAlignment="1">
      <alignment horizontal="right" vertical="center"/>
    </xf>
    <xf numFmtId="173" fontId="8" fillId="0" borderId="59" xfId="4" applyNumberFormat="1" applyFont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66" fontId="3" fillId="0" borderId="90" xfId="0" applyNumberFormat="1" applyFont="1" applyBorder="1" applyAlignment="1">
      <alignment horizontal="right"/>
    </xf>
    <xf numFmtId="166" fontId="3" fillId="0" borderId="86" xfId="0" applyNumberFormat="1" applyFont="1" applyBorder="1" applyAlignment="1">
      <alignment horizontal="right"/>
    </xf>
    <xf numFmtId="0" fontId="3" fillId="0" borderId="91" xfId="0" applyFont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66" fontId="3" fillId="3" borderId="95" xfId="0" quotePrefix="1" applyNumberFormat="1" applyFont="1" applyFill="1" applyBorder="1" applyAlignment="1">
      <alignment horizontal="right"/>
    </xf>
    <xf numFmtId="169" fontId="3" fillId="3" borderId="86" xfId="5" quotePrefix="1" applyNumberFormat="1" applyFont="1" applyFill="1" applyBorder="1" applyAlignment="1">
      <alignment horizontal="right"/>
    </xf>
    <xf numFmtId="166" fontId="3" fillId="3" borderId="88" xfId="0" quotePrefix="1" applyNumberFormat="1" applyFont="1" applyFill="1" applyBorder="1" applyAlignment="1">
      <alignment horizontal="right"/>
    </xf>
    <xf numFmtId="169" fontId="3" fillId="3" borderId="96" xfId="5" applyNumberFormat="1" applyFont="1" applyFill="1" applyBorder="1" applyAlignment="1">
      <alignment horizontal="right"/>
    </xf>
    <xf numFmtId="169" fontId="3" fillId="3" borderId="95" xfId="5" applyNumberFormat="1" applyFont="1" applyFill="1" applyBorder="1" applyAlignment="1">
      <alignment horizontal="right"/>
    </xf>
    <xf numFmtId="2" fontId="7" fillId="0" borderId="0" xfId="0" applyNumberFormat="1" applyFont="1"/>
    <xf numFmtId="169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73" fontId="8" fillId="0" borderId="45" xfId="4" applyNumberFormat="1" applyFont="1" applyBorder="1" applyAlignment="1">
      <alignment horizontal="right" vertical="center"/>
    </xf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169" fontId="3" fillId="0" borderId="63" xfId="5" applyNumberFormat="1" applyFont="1" applyFill="1" applyBorder="1" applyAlignment="1">
      <alignment horizontal="right"/>
    </xf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69" fontId="3" fillId="3" borderId="85" xfId="0" applyNumberFormat="1" applyFont="1" applyFill="1" applyBorder="1" applyAlignment="1">
      <alignment horizontal="right"/>
    </xf>
    <xf numFmtId="169" fontId="3" fillId="3" borderId="96" xfId="0" applyNumberFormat="1" applyFont="1" applyFill="1" applyBorder="1" applyAlignment="1">
      <alignment horizontal="right"/>
    </xf>
    <xf numFmtId="169" fontId="3" fillId="3" borderId="91" xfId="0" applyNumberFormat="1" applyFont="1" applyFill="1" applyBorder="1" applyAlignment="1">
      <alignment horizontal="right"/>
    </xf>
    <xf numFmtId="171" fontId="3" fillId="0" borderId="24" xfId="1" applyNumberFormat="1" applyFont="1" applyFill="1" applyBorder="1" applyAlignment="1">
      <alignment horizontal="right"/>
    </xf>
    <xf numFmtId="171" fontId="3" fillId="0" borderId="27" xfId="1" applyNumberFormat="1" applyFont="1" applyFill="1" applyBorder="1" applyAlignment="1">
      <alignment horizontal="right"/>
    </xf>
    <xf numFmtId="171" fontId="3" fillId="0" borderId="65" xfId="1" applyNumberFormat="1" applyFont="1" applyFill="1" applyBorder="1" applyAlignment="1">
      <alignment horizontal="right"/>
    </xf>
    <xf numFmtId="167" fontId="4" fillId="0" borderId="0" xfId="0" applyNumberFormat="1" applyFont="1"/>
    <xf numFmtId="169" fontId="3" fillId="0" borderId="0" xfId="0" applyNumberFormat="1" applyFont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69" fontId="3" fillId="0" borderId="0" xfId="5" applyNumberFormat="1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" fontId="3" fillId="0" borderId="0" xfId="5" applyNumberFormat="1" applyFont="1"/>
    <xf numFmtId="169" fontId="3" fillId="0" borderId="36" xfId="0" applyNumberFormat="1" applyFont="1" applyBorder="1"/>
    <xf numFmtId="169" fontId="3" fillId="0" borderId="101" xfId="0" applyNumberFormat="1" applyFont="1" applyBorder="1"/>
    <xf numFmtId="169" fontId="7" fillId="0" borderId="0" xfId="0" applyNumberFormat="1" applyFont="1"/>
    <xf numFmtId="49" fontId="4" fillId="2" borderId="93" xfId="0" applyNumberFormat="1" applyFont="1" applyFill="1" applyBorder="1" applyAlignment="1">
      <alignment horizontal="center" vertical="center"/>
    </xf>
    <xf numFmtId="166" fontId="3" fillId="0" borderId="24" xfId="0" applyNumberFormat="1" applyFont="1" applyBorder="1" applyAlignment="1">
      <alignment horizontal="right"/>
    </xf>
    <xf numFmtId="166" fontId="3" fillId="0" borderId="27" xfId="0" applyNumberFormat="1" applyFont="1" applyBorder="1" applyAlignment="1">
      <alignment horizontal="right"/>
    </xf>
    <xf numFmtId="3" fontId="3" fillId="0" borderId="45" xfId="0" applyNumberFormat="1" applyFont="1" applyBorder="1" applyAlignment="1">
      <alignment horizontal="right"/>
    </xf>
    <xf numFmtId="169" fontId="8" fillId="0" borderId="0" xfId="0" applyNumberFormat="1" applyFont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69" fontId="3" fillId="3" borderId="85" xfId="5" applyNumberFormat="1" applyFont="1" applyFill="1" applyBorder="1" applyAlignment="1">
      <alignment horizontal="right"/>
    </xf>
    <xf numFmtId="169" fontId="3" fillId="0" borderId="22" xfId="5" applyNumberFormat="1" applyFont="1" applyFill="1" applyBorder="1" applyAlignment="1">
      <alignment horizontal="right"/>
    </xf>
    <xf numFmtId="171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/>
    </xf>
    <xf numFmtId="169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69" fontId="3" fillId="0" borderId="85" xfId="4" applyNumberFormat="1" applyFont="1" applyBorder="1" applyAlignment="1">
      <alignment horizontal="right" vertical="center"/>
    </xf>
    <xf numFmtId="169" fontId="3" fillId="0" borderId="86" xfId="4" applyNumberFormat="1" applyFont="1" applyBorder="1" applyAlignment="1">
      <alignment horizontal="right" vertical="center"/>
    </xf>
    <xf numFmtId="169" fontId="3" fillId="0" borderId="78" xfId="4" applyNumberFormat="1" applyFont="1" applyBorder="1" applyAlignment="1">
      <alignment horizontal="right" vertical="center"/>
    </xf>
    <xf numFmtId="169" fontId="3" fillId="0" borderId="87" xfId="4" applyNumberFormat="1" applyFont="1" applyBorder="1" applyAlignment="1">
      <alignment horizontal="right" vertical="center"/>
    </xf>
    <xf numFmtId="3" fontId="8" fillId="0" borderId="56" xfId="4" applyNumberFormat="1" applyFont="1" applyBorder="1" applyAlignment="1">
      <alignment horizontal="right" vertical="center"/>
    </xf>
    <xf numFmtId="3" fontId="8" fillId="0" borderId="26" xfId="4" applyNumberFormat="1" applyFont="1" applyBorder="1" applyAlignment="1">
      <alignment horizontal="right" vertical="center"/>
    </xf>
    <xf numFmtId="3" fontId="8" fillId="0" borderId="29" xfId="4" applyNumberFormat="1" applyFont="1" applyBorder="1" applyAlignment="1">
      <alignment horizontal="right" vertical="center"/>
    </xf>
    <xf numFmtId="3" fontId="8" fillId="0" borderId="45" xfId="4" applyNumberFormat="1" applyFont="1" applyBorder="1" applyAlignment="1">
      <alignment horizontal="right" vertical="center"/>
    </xf>
    <xf numFmtId="0" fontId="10" fillId="0" borderId="0" xfId="0" applyFont="1"/>
    <xf numFmtId="169" fontId="3" fillId="0" borderId="26" xfId="5" quotePrefix="1" applyNumberFormat="1" applyFont="1" applyFill="1" applyBorder="1" applyAlignment="1">
      <alignment horizontal="right"/>
    </xf>
    <xf numFmtId="169" fontId="3" fillId="0" borderId="86" xfId="5" quotePrefix="1" applyNumberFormat="1" applyFont="1" applyFill="1" applyBorder="1" applyAlignment="1">
      <alignment horizontal="right"/>
    </xf>
    <xf numFmtId="169" fontId="3" fillId="0" borderId="53" xfId="5" applyNumberFormat="1" applyFont="1" applyFill="1" applyBorder="1" applyAlignment="1">
      <alignment horizontal="right"/>
    </xf>
    <xf numFmtId="169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68" fontId="3" fillId="0" borderId="65" xfId="0" applyNumberFormat="1" applyFont="1" applyBorder="1" applyAlignment="1">
      <alignment horizontal="right"/>
    </xf>
    <xf numFmtId="168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/>
    <xf numFmtId="164" fontId="5" fillId="0" borderId="0" xfId="1" applyNumberFormat="1" applyFont="1" applyFill="1" applyBorder="1" applyAlignment="1">
      <alignment horizontal="center"/>
    </xf>
    <xf numFmtId="164" fontId="5" fillId="0" borderId="0" xfId="1" applyNumberFormat="1" applyFont="1" applyFill="1" applyBorder="1"/>
    <xf numFmtId="165" fontId="5" fillId="0" borderId="0" xfId="1" applyFont="1" applyFill="1" applyBorder="1"/>
    <xf numFmtId="3" fontId="5" fillId="0" borderId="0" xfId="0" applyNumberFormat="1" applyFont="1" applyAlignment="1">
      <alignment horizontal="centerContinuous" vertical="center" wrapText="1"/>
    </xf>
    <xf numFmtId="3" fontId="5" fillId="0" borderId="0" xfId="0" applyNumberFormat="1" applyFont="1" applyAlignment="1">
      <alignment horizontal="center" wrapText="1"/>
    </xf>
    <xf numFmtId="170" fontId="5" fillId="0" borderId="0" xfId="1" applyNumberFormat="1" applyFont="1" applyFill="1" applyBorder="1" applyAlignment="1"/>
    <xf numFmtId="170" fontId="5" fillId="0" borderId="0" xfId="1" applyNumberFormat="1" applyFont="1" applyFill="1" applyBorder="1" applyAlignment="1">
      <alignment horizontal="center"/>
    </xf>
    <xf numFmtId="170" fontId="5" fillId="0" borderId="0" xfId="1" applyNumberFormat="1" applyFont="1" applyFill="1" applyBorder="1"/>
    <xf numFmtId="170" fontId="5" fillId="0" borderId="0" xfId="0" applyNumberFormat="1" applyFont="1"/>
    <xf numFmtId="1" fontId="5" fillId="0" borderId="0" xfId="1" applyNumberFormat="1" applyFont="1" applyFill="1" applyBorder="1" applyAlignment="1">
      <alignment horizontal="center"/>
    </xf>
    <xf numFmtId="170" fontId="3" fillId="0" borderId="0" xfId="0" applyNumberFormat="1" applyFont="1"/>
    <xf numFmtId="170" fontId="5" fillId="0" borderId="0" xfId="0" applyNumberFormat="1" applyFont="1" applyAlignment="1">
      <alignment horizontal="center"/>
    </xf>
    <xf numFmtId="170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/>
    <xf numFmtId="0" fontId="9" fillId="0" borderId="0" xfId="0" applyFont="1" applyAlignment="1">
      <alignment horizontal="right"/>
    </xf>
    <xf numFmtId="167" fontId="4" fillId="0" borderId="104" xfId="0" applyNumberFormat="1" applyFont="1" applyBorder="1"/>
    <xf numFmtId="0" fontId="4" fillId="0" borderId="4" xfId="0" applyFont="1" applyBorder="1"/>
    <xf numFmtId="166" fontId="3" fillId="0" borderId="0" xfId="0" applyNumberFormat="1" applyFont="1" applyAlignment="1">
      <alignment horizontal="right"/>
    </xf>
    <xf numFmtId="10" fontId="3" fillId="0" borderId="0" xfId="0" applyNumberFormat="1" applyFont="1"/>
    <xf numFmtId="168" fontId="8" fillId="0" borderId="0" xfId="0" applyNumberFormat="1" applyFont="1"/>
    <xf numFmtId="166" fontId="8" fillId="0" borderId="0" xfId="0" applyNumberFormat="1" applyFont="1"/>
    <xf numFmtId="168" fontId="3" fillId="0" borderId="0" xfId="0" applyNumberFormat="1" applyFont="1"/>
    <xf numFmtId="166" fontId="3" fillId="3" borderId="105" xfId="5" applyNumberFormat="1" applyFont="1" applyFill="1" applyBorder="1" applyAlignment="1">
      <alignment horizontal="right"/>
    </xf>
    <xf numFmtId="166" fontId="3" fillId="0" borderId="105" xfId="5" applyNumberFormat="1" applyFont="1" applyFill="1" applyBorder="1" applyAlignment="1">
      <alignment horizontal="right"/>
    </xf>
    <xf numFmtId="166" fontId="3" fillId="3" borderId="105" xfId="0" applyNumberFormat="1" applyFont="1" applyFill="1" applyBorder="1" applyAlignment="1">
      <alignment horizontal="right"/>
    </xf>
    <xf numFmtId="166" fontId="3" fillId="3" borderId="106" xfId="0" applyNumberFormat="1" applyFont="1" applyFill="1" applyBorder="1" applyAlignment="1">
      <alignment horizontal="right"/>
    </xf>
    <xf numFmtId="166" fontId="3" fillId="3" borderId="107" xfId="5" applyNumberFormat="1" applyFont="1" applyFill="1" applyBorder="1" applyAlignment="1">
      <alignment horizontal="right"/>
    </xf>
    <xf numFmtId="166" fontId="3" fillId="0" borderId="107" xfId="5" applyNumberFormat="1" applyFont="1" applyFill="1" applyBorder="1" applyAlignment="1">
      <alignment horizontal="right"/>
    </xf>
    <xf numFmtId="166" fontId="3" fillId="3" borderId="107" xfId="0" applyNumberFormat="1" applyFont="1" applyFill="1" applyBorder="1" applyAlignment="1">
      <alignment horizontal="right"/>
    </xf>
    <xf numFmtId="166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6" fontId="8" fillId="0" borderId="48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9" fontId="3" fillId="0" borderId="45" xfId="0" quotePrefix="1" applyNumberFormat="1" applyFont="1" applyBorder="1" applyAlignment="1">
      <alignment horizontal="right"/>
    </xf>
    <xf numFmtId="169" fontId="3" fillId="0" borderId="109" xfId="0" quotePrefix="1" applyNumberFormat="1" applyFont="1" applyBorder="1" applyAlignment="1">
      <alignment horizontal="right"/>
    </xf>
    <xf numFmtId="169" fontId="3" fillId="3" borderId="45" xfId="0" quotePrefix="1" applyNumberFormat="1" applyFont="1" applyFill="1" applyBorder="1" applyAlignment="1">
      <alignment horizontal="right"/>
    </xf>
    <xf numFmtId="169" fontId="3" fillId="3" borderId="109" xfId="0" quotePrefix="1" applyNumberFormat="1" applyFont="1" applyFill="1" applyBorder="1" applyAlignment="1">
      <alignment horizontal="right"/>
    </xf>
    <xf numFmtId="167" fontId="3" fillId="0" borderId="0" xfId="0" applyNumberFormat="1" applyFont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72" fontId="3" fillId="0" borderId="112" xfId="4" applyNumberFormat="1" applyFont="1" applyBorder="1" applyAlignment="1">
      <alignment horizontal="right" vertical="center"/>
    </xf>
    <xf numFmtId="172" fontId="3" fillId="0" borderId="113" xfId="4" applyNumberFormat="1" applyFont="1" applyBorder="1" applyAlignment="1">
      <alignment horizontal="right" vertical="center"/>
    </xf>
    <xf numFmtId="173" fontId="8" fillId="0" borderId="113" xfId="4" applyNumberFormat="1" applyFont="1" applyBorder="1" applyAlignment="1">
      <alignment horizontal="right" vertical="center"/>
    </xf>
    <xf numFmtId="3" fontId="8" fillId="0" borderId="113" xfId="4" applyNumberFormat="1" applyFont="1" applyBorder="1" applyAlignment="1">
      <alignment horizontal="right" vertical="center"/>
    </xf>
    <xf numFmtId="169" fontId="3" fillId="0" borderId="114" xfId="4" applyNumberFormat="1" applyFont="1" applyBorder="1" applyAlignment="1">
      <alignment horizontal="right" vertical="center"/>
    </xf>
    <xf numFmtId="174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68" fontId="3" fillId="0" borderId="91" xfId="0" applyNumberFormat="1" applyFont="1" applyBorder="1" applyAlignment="1">
      <alignment horizontal="right"/>
    </xf>
    <xf numFmtId="166" fontId="3" fillId="0" borderId="95" xfId="0" quotePrefix="1" applyNumberFormat="1" applyFont="1" applyBorder="1" applyAlignment="1">
      <alignment horizontal="right"/>
    </xf>
    <xf numFmtId="166" fontId="3" fillId="0" borderId="88" xfId="0" quotePrefix="1" applyNumberFormat="1" applyFont="1" applyBorder="1" applyAlignment="1">
      <alignment horizontal="right"/>
    </xf>
    <xf numFmtId="166" fontId="3" fillId="0" borderId="106" xfId="0" applyNumberFormat="1" applyFont="1" applyBorder="1" applyAlignment="1">
      <alignment horizontal="right"/>
    </xf>
    <xf numFmtId="166" fontId="8" fillId="0" borderId="91" xfId="0" applyNumberFormat="1" applyFont="1" applyBorder="1" applyAlignment="1">
      <alignment horizontal="right" vertical="center"/>
    </xf>
    <xf numFmtId="167" fontId="3" fillId="3" borderId="80" xfId="0" applyNumberFormat="1" applyFont="1" applyFill="1" applyBorder="1" applyAlignment="1">
      <alignment horizontal="right"/>
    </xf>
    <xf numFmtId="167" fontId="3" fillId="3" borderId="81" xfId="0" applyNumberFormat="1" applyFont="1" applyFill="1" applyBorder="1" applyAlignment="1">
      <alignment horizontal="right"/>
    </xf>
    <xf numFmtId="168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left" indent="1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69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Border="1" applyAlignment="1">
      <alignment horizontal="right"/>
    </xf>
    <xf numFmtId="169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69" fontId="3" fillId="3" borderId="86" xfId="0" applyNumberFormat="1" applyFont="1" applyFill="1" applyBorder="1" applyAlignment="1">
      <alignment horizontal="right"/>
    </xf>
    <xf numFmtId="169" fontId="3" fillId="3" borderId="78" xfId="0" applyNumberFormat="1" applyFont="1" applyFill="1" applyBorder="1" applyAlignment="1">
      <alignment horizontal="right"/>
    </xf>
    <xf numFmtId="169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71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69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69" fontId="3" fillId="3" borderId="117" xfId="0" applyNumberFormat="1" applyFont="1" applyFill="1" applyBorder="1" applyAlignment="1">
      <alignment horizontal="right"/>
    </xf>
    <xf numFmtId="169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169" fontId="3" fillId="0" borderId="56" xfId="0" applyNumberFormat="1" applyFont="1" applyBorder="1" applyAlignment="1">
      <alignment horizontal="right"/>
    </xf>
    <xf numFmtId="169" fontId="3" fillId="0" borderId="29" xfId="0" applyNumberFormat="1" applyFont="1" applyBorder="1" applyAlignment="1">
      <alignment horizontal="right"/>
    </xf>
    <xf numFmtId="169" fontId="3" fillId="3" borderId="45" xfId="0" applyNumberFormat="1" applyFont="1" applyFill="1" applyBorder="1" applyAlignment="1">
      <alignment horizontal="right"/>
    </xf>
    <xf numFmtId="169" fontId="3" fillId="0" borderId="56" xfId="4" applyNumberFormat="1" applyFont="1" applyBorder="1" applyAlignment="1">
      <alignment horizontal="right" vertical="center"/>
    </xf>
    <xf numFmtId="169" fontId="3" fillId="0" borderId="26" xfId="4" applyNumberFormat="1" applyFont="1" applyBorder="1" applyAlignment="1">
      <alignment horizontal="right" vertical="center"/>
    </xf>
    <xf numFmtId="169" fontId="3" fillId="0" borderId="29" xfId="4" applyNumberFormat="1" applyFont="1" applyBorder="1" applyAlignment="1">
      <alignment horizontal="right" vertical="center"/>
    </xf>
    <xf numFmtId="169" fontId="3" fillId="0" borderId="45" xfId="4" applyNumberFormat="1" applyFont="1" applyBorder="1" applyAlignment="1">
      <alignment horizontal="right" vertical="center"/>
    </xf>
    <xf numFmtId="169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69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69" fontId="4" fillId="2" borderId="93" xfId="5" applyNumberFormat="1" applyFont="1" applyFill="1" applyBorder="1" applyAlignment="1">
      <alignment horizontal="center" vertical="center" wrapText="1"/>
    </xf>
    <xf numFmtId="165" fontId="4" fillId="0" borderId="0" xfId="1" applyFont="1" applyFill="1" applyBorder="1" applyAlignment="1">
      <alignment horizontal="right"/>
    </xf>
    <xf numFmtId="166" fontId="8" fillId="0" borderId="0" xfId="0" applyNumberFormat="1" applyFont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3" borderId="51" xfId="0" quotePrefix="1" applyFont="1" applyFill="1" applyBorder="1" applyAlignment="1">
      <alignment horizontal="right"/>
    </xf>
    <xf numFmtId="168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69" fontId="3" fillId="0" borderId="85" xfId="5" applyNumberFormat="1" applyFont="1" applyFill="1" applyBorder="1" applyAlignment="1">
      <alignment horizontal="right"/>
    </xf>
    <xf numFmtId="169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" fontId="3" fillId="0" borderId="0" xfId="0" applyNumberFormat="1" applyFont="1"/>
    <xf numFmtId="169" fontId="3" fillId="0" borderId="0" xfId="5" applyNumberFormat="1" applyFont="1" applyAlignment="1">
      <alignment horizontal="center"/>
    </xf>
    <xf numFmtId="165" fontId="8" fillId="0" borderId="0" xfId="0" applyNumberFormat="1" applyFont="1"/>
    <xf numFmtId="166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Border="1" applyAlignment="1">
      <alignment horizontal="right"/>
    </xf>
    <xf numFmtId="3" fontId="3" fillId="0" borderId="122" xfId="0" applyNumberFormat="1" applyFont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9" fontId="3" fillId="2" borderId="120" xfId="5" applyFont="1" applyFill="1" applyBorder="1" applyAlignment="1">
      <alignment horizontal="left" indent="1"/>
    </xf>
    <xf numFmtId="169" fontId="3" fillId="3" borderId="121" xfId="5" applyNumberFormat="1" applyFont="1" applyFill="1" applyBorder="1" applyAlignment="1">
      <alignment horizontal="right"/>
    </xf>
    <xf numFmtId="169" fontId="3" fillId="3" borderId="122" xfId="5" applyNumberFormat="1" applyFont="1" applyFill="1" applyBorder="1" applyAlignment="1">
      <alignment horizontal="right"/>
    </xf>
    <xf numFmtId="169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169" fontId="3" fillId="3" borderId="123" xfId="5" applyNumberFormat="1" applyFont="1" applyFill="1" applyBorder="1" applyAlignment="1">
      <alignment horizontal="right"/>
    </xf>
    <xf numFmtId="169" fontId="3" fillId="0" borderId="121" xfId="5" applyNumberFormat="1" applyFont="1" applyFill="1" applyBorder="1" applyAlignment="1">
      <alignment horizontal="right"/>
    </xf>
    <xf numFmtId="169" fontId="3" fillId="0" borderId="122" xfId="5" applyNumberFormat="1" applyFont="1" applyFill="1" applyBorder="1" applyAlignment="1">
      <alignment horizontal="right"/>
    </xf>
    <xf numFmtId="171" fontId="3" fillId="3" borderId="121" xfId="1" applyNumberFormat="1" applyFont="1" applyFill="1" applyBorder="1" applyAlignment="1">
      <alignment horizontal="right"/>
    </xf>
    <xf numFmtId="171" fontId="3" fillId="0" borderId="121" xfId="1" applyNumberFormat="1" applyFont="1" applyFill="1" applyBorder="1" applyAlignment="1">
      <alignment horizontal="right"/>
    </xf>
    <xf numFmtId="171" fontId="3" fillId="0" borderId="122" xfId="1" applyNumberFormat="1" applyFont="1" applyFill="1" applyBorder="1" applyAlignment="1">
      <alignment horizontal="right"/>
    </xf>
    <xf numFmtId="171" fontId="3" fillId="3" borderId="122" xfId="1" applyNumberFormat="1" applyFont="1" applyFill="1" applyBorder="1" applyAlignment="1">
      <alignment horizontal="right"/>
    </xf>
    <xf numFmtId="171" fontId="3" fillId="3" borderId="123" xfId="1" applyNumberFormat="1" applyFont="1" applyFill="1" applyBorder="1" applyAlignment="1">
      <alignment horizontal="right"/>
    </xf>
    <xf numFmtId="169" fontId="3" fillId="3" borderId="124" xfId="5" applyNumberFormat="1" applyFont="1" applyFill="1" applyBorder="1" applyAlignment="1">
      <alignment horizontal="right"/>
    </xf>
    <xf numFmtId="169" fontId="3" fillId="3" borderId="125" xfId="0" applyNumberFormat="1" applyFont="1" applyFill="1" applyBorder="1" applyAlignment="1">
      <alignment horizontal="right"/>
    </xf>
    <xf numFmtId="169" fontId="3" fillId="3" borderId="30" xfId="0" applyNumberFormat="1" applyFont="1" applyFill="1" applyBorder="1" applyAlignment="1">
      <alignment horizontal="right"/>
    </xf>
    <xf numFmtId="169" fontId="3" fillId="3" borderId="60" xfId="0" applyNumberFormat="1" applyFont="1" applyFill="1" applyBorder="1" applyAlignment="1">
      <alignment horizontal="right"/>
    </xf>
    <xf numFmtId="169" fontId="3" fillId="3" borderId="126" xfId="5" applyNumberFormat="1" applyFont="1" applyFill="1" applyBorder="1" applyAlignment="1">
      <alignment horizontal="right"/>
    </xf>
    <xf numFmtId="169" fontId="3" fillId="0" borderId="126" xfId="5" applyNumberFormat="1" applyFont="1" applyFill="1" applyBorder="1" applyAlignment="1">
      <alignment horizontal="right"/>
    </xf>
    <xf numFmtId="169" fontId="3" fillId="0" borderId="127" xfId="5" applyNumberFormat="1" applyFont="1" applyFill="1" applyBorder="1" applyAlignment="1">
      <alignment horizontal="right"/>
    </xf>
    <xf numFmtId="169" fontId="3" fillId="3" borderId="124" xfId="0" applyNumberFormat="1" applyFont="1" applyFill="1" applyBorder="1" applyAlignment="1">
      <alignment horizontal="right"/>
    </xf>
    <xf numFmtId="169" fontId="3" fillId="3" borderId="59" xfId="0" applyNumberFormat="1" applyFont="1" applyFill="1" applyBorder="1" applyAlignment="1">
      <alignment horizontal="right"/>
    </xf>
    <xf numFmtId="169" fontId="3" fillId="0" borderId="124" xfId="5" applyNumberFormat="1" applyFont="1" applyFill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69" fontId="13" fillId="0" borderId="0" xfId="5" applyNumberFormat="1" applyFont="1" applyFill="1" applyBorder="1"/>
    <xf numFmtId="3" fontId="14" fillId="0" borderId="0" xfId="0" quotePrefix="1" applyNumberFormat="1" applyFont="1" applyAlignment="1">
      <alignment horizontal="center" wrapText="1"/>
    </xf>
    <xf numFmtId="0" fontId="14" fillId="0" borderId="0" xfId="0" quotePrefix="1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/>
    <xf numFmtId="169" fontId="13" fillId="0" borderId="0" xfId="0" applyNumberFormat="1" applyFont="1"/>
    <xf numFmtId="169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175" fontId="3" fillId="3" borderId="81" xfId="0" applyNumberFormat="1" applyFont="1" applyFill="1" applyBorder="1"/>
    <xf numFmtId="175" fontId="3" fillId="3" borderId="82" xfId="0" applyNumberFormat="1" applyFont="1" applyFill="1" applyBorder="1"/>
    <xf numFmtId="175" fontId="3" fillId="3" borderId="83" xfId="0" applyNumberFormat="1" applyFont="1" applyFill="1" applyBorder="1"/>
    <xf numFmtId="10" fontId="3" fillId="3" borderId="80" xfId="0" applyNumberFormat="1" applyFont="1" applyFill="1" applyBorder="1"/>
    <xf numFmtId="10" fontId="3" fillId="3" borderId="81" xfId="0" applyNumberFormat="1" applyFont="1" applyFill="1" applyBorder="1"/>
    <xf numFmtId="10" fontId="3" fillId="3" borderId="64" xfId="0" applyNumberFormat="1" applyFont="1" applyFill="1" applyBorder="1"/>
    <xf numFmtId="10" fontId="3" fillId="3" borderId="48" xfId="0" applyNumberFormat="1" applyFont="1" applyFill="1" applyBorder="1"/>
    <xf numFmtId="175" fontId="3" fillId="3" borderId="48" xfId="0" applyNumberFormat="1" applyFont="1" applyFill="1" applyBorder="1"/>
    <xf numFmtId="175" fontId="3" fillId="3" borderId="103" xfId="0" applyNumberFormat="1" applyFont="1" applyFill="1" applyBorder="1"/>
    <xf numFmtId="175" fontId="3" fillId="3" borderId="54" xfId="0" applyNumberFormat="1" applyFont="1" applyFill="1" applyBorder="1"/>
    <xf numFmtId="171" fontId="3" fillId="0" borderId="0" xfId="0" applyNumberFormat="1" applyFont="1"/>
    <xf numFmtId="0" fontId="15" fillId="0" borderId="0" xfId="0" applyFont="1"/>
    <xf numFmtId="169" fontId="15" fillId="0" borderId="0" xfId="5" applyNumberFormat="1" applyFont="1"/>
    <xf numFmtId="1" fontId="15" fillId="0" borderId="0" xfId="5" applyNumberFormat="1" applyFont="1"/>
    <xf numFmtId="166" fontId="3" fillId="0" borderId="50" xfId="2" quotePrefix="1" applyNumberFormat="1" applyFont="1" applyFill="1" applyBorder="1" applyAlignment="1">
      <alignment horizontal="right"/>
    </xf>
    <xf numFmtId="169" fontId="3" fillId="0" borderId="27" xfId="2" applyNumberFormat="1" applyFont="1" applyFill="1" applyBorder="1" applyAlignment="1">
      <alignment horizontal="right"/>
    </xf>
    <xf numFmtId="169" fontId="3" fillId="0" borderId="30" xfId="2" applyNumberFormat="1" applyFont="1" applyFill="1" applyBorder="1" applyAlignment="1">
      <alignment horizontal="right"/>
    </xf>
    <xf numFmtId="166" fontId="3" fillId="0" borderId="52" xfId="2" quotePrefix="1" applyNumberFormat="1" applyFont="1" applyFill="1" applyBorder="1" applyAlignment="1">
      <alignment horizontal="right"/>
    </xf>
    <xf numFmtId="169" fontId="3" fillId="0" borderId="63" xfId="2" applyNumberFormat="1" applyFont="1" applyFill="1" applyBorder="1" applyAlignment="1">
      <alignment horizontal="right"/>
    </xf>
    <xf numFmtId="166" fontId="3" fillId="0" borderId="91" xfId="0" applyNumberFormat="1" applyFont="1" applyBorder="1" applyAlignment="1">
      <alignment horizontal="right" vertical="center"/>
    </xf>
    <xf numFmtId="166" fontId="3" fillId="0" borderId="65" xfId="2" applyNumberFormat="1" applyFont="1" applyFill="1" applyBorder="1" applyAlignment="1">
      <alignment horizontal="right" vertical="center"/>
    </xf>
    <xf numFmtId="166" fontId="3" fillId="0" borderId="130" xfId="0" applyNumberFormat="1" applyFont="1" applyBorder="1" applyAlignment="1">
      <alignment horizontal="right" vertical="center"/>
    </xf>
    <xf numFmtId="169" fontId="3" fillId="0" borderId="0" xfId="5" applyNumberFormat="1" applyFont="1" applyFill="1" applyBorder="1"/>
    <xf numFmtId="169" fontId="4" fillId="0" borderId="0" xfId="0" applyNumberFormat="1" applyFont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166" fontId="4" fillId="2" borderId="72" xfId="0" applyNumberFormat="1" applyFont="1" applyFill="1" applyBorder="1" applyAlignment="1">
      <alignment horizontal="left" indent="1"/>
    </xf>
    <xf numFmtId="0" fontId="4" fillId="2" borderId="72" xfId="0" applyFont="1" applyFill="1" applyBorder="1" applyAlignment="1">
      <alignment horizontal="left" indent="1"/>
    </xf>
    <xf numFmtId="49" fontId="4" fillId="2" borderId="84" xfId="0" applyNumberFormat="1" applyFont="1" applyFill="1" applyBorder="1" applyAlignment="1">
      <alignment horizontal="left" indent="1"/>
    </xf>
    <xf numFmtId="2" fontId="3" fillId="3" borderId="57" xfId="0" applyNumberFormat="1" applyFont="1" applyFill="1" applyBorder="1" applyAlignment="1">
      <alignment horizontal="right"/>
    </xf>
    <xf numFmtId="169" fontId="3" fillId="3" borderId="52" xfId="1" applyNumberFormat="1" applyFont="1" applyFill="1" applyBorder="1" applyAlignment="1">
      <alignment horizontal="right"/>
    </xf>
    <xf numFmtId="0" fontId="16" fillId="0" borderId="0" xfId="0" applyFont="1"/>
    <xf numFmtId="166" fontId="3" fillId="5" borderId="106" xfId="0" applyNumberFormat="1" applyFont="1" applyFill="1" applyBorder="1" applyAlignment="1">
      <alignment horizontal="right"/>
    </xf>
    <xf numFmtId="166" fontId="3" fillId="5" borderId="130" xfId="0" applyNumberFormat="1" applyFont="1" applyFill="1" applyBorder="1" applyAlignment="1">
      <alignment horizontal="right" vertical="center"/>
    </xf>
    <xf numFmtId="3" fontId="3" fillId="3" borderId="95" xfId="0" applyNumberFormat="1" applyFont="1" applyFill="1" applyBorder="1" applyAlignment="1">
      <alignment horizontal="right"/>
    </xf>
    <xf numFmtId="169" fontId="3" fillId="3" borderId="114" xfId="5" applyNumberFormat="1" applyFont="1" applyFill="1" applyBorder="1" applyAlignment="1">
      <alignment horizontal="right"/>
    </xf>
    <xf numFmtId="169" fontId="16" fillId="0" borderId="0" xfId="5" applyNumberFormat="1" applyFont="1"/>
    <xf numFmtId="1" fontId="16" fillId="0" borderId="0" xfId="5" applyNumberFormat="1" applyFont="1"/>
    <xf numFmtId="169" fontId="16" fillId="0" borderId="0" xfId="5" applyNumberFormat="1" applyFont="1" applyFill="1" applyBorder="1"/>
    <xf numFmtId="3" fontId="17" fillId="0" borderId="0" xfId="0" applyNumberFormat="1" applyFont="1" applyAlignment="1">
      <alignment horizontal="center"/>
    </xf>
    <xf numFmtId="171" fontId="16" fillId="0" borderId="0" xfId="1" applyNumberFormat="1" applyFont="1" applyFill="1" applyBorder="1" applyAlignment="1">
      <alignment horizontal="right"/>
    </xf>
    <xf numFmtId="169" fontId="13" fillId="0" borderId="0" xfId="5" applyNumberFormat="1" applyFont="1"/>
    <xf numFmtId="1" fontId="13" fillId="0" borderId="0" xfId="5" applyNumberFormat="1" applyFont="1"/>
    <xf numFmtId="166" fontId="3" fillId="0" borderId="98" xfId="2" applyNumberFormat="1" applyFont="1" applyFill="1" applyBorder="1" applyAlignment="1">
      <alignment horizontal="right"/>
    </xf>
    <xf numFmtId="4" fontId="3" fillId="3" borderId="127" xfId="0" applyNumberFormat="1" applyFont="1" applyFill="1" applyBorder="1" applyAlignment="1">
      <alignment horizontal="right"/>
    </xf>
    <xf numFmtId="3" fontId="4" fillId="2" borderId="93" xfId="0" quotePrefix="1" applyNumberFormat="1" applyFont="1" applyFill="1" applyBorder="1" applyAlignment="1">
      <alignment horizontal="center" wrapText="1"/>
    </xf>
    <xf numFmtId="10" fontId="13" fillId="0" borderId="0" xfId="0" applyNumberFormat="1" applyFont="1"/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  <xf numFmtId="168" fontId="3" fillId="0" borderId="98" xfId="0" applyNumberFormat="1" applyFont="1" applyBorder="1"/>
    <xf numFmtId="168" fontId="3" fillId="0" borderId="132" xfId="0" applyNumberFormat="1" applyFont="1" applyBorder="1"/>
  </cellXfs>
  <cellStyles count="6">
    <cellStyle name="Čárka" xfId="1" builtinId="3"/>
    <cellStyle name="Neutrální" xfId="2" builtinId="28"/>
    <cellStyle name="Normal_VEK_96KS" xfId="3" xr:uid="{00000000-0005-0000-0000-000002000000}"/>
    <cellStyle name="Normální" xfId="0" builtinId="0"/>
    <cellStyle name="normální_uch" xfId="4" xr:uid="{00000000-0005-0000-0000-000004000000}"/>
    <cellStyle name="Procenta" xfId="5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99E-480C-BD39-4082D28C8DCD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99E-480C-BD39-4082D28C8DCD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99E-480C-BD39-4082D28C8DCD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99E-480C-BD39-4082D28C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304"/>
        <c:axId val="1"/>
      </c:lineChart>
      <c:catAx>
        <c:axId val="8943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3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19-423A-8841-EE795971EA76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19-423A-8841-EE795971EA76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319-423A-8841-EE795971EA76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319-423A-8841-EE795971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704"/>
        <c:axId val="1"/>
      </c:lineChart>
      <c:catAx>
        <c:axId val="8943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7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D0AA-4722-993A-92C09BD0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353504"/>
        <c:axId val="1"/>
      </c:barChart>
      <c:catAx>
        <c:axId val="89435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E3-471D-922F-628D1586B349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E3-471D-922F-628D1586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8704"/>
        <c:axId val="1"/>
        <c:axId val="0"/>
      </c:bar3DChart>
      <c:catAx>
        <c:axId val="89435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9F-4B6E-B0FD-736A738A75C3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9F-4B6E-B0FD-736A738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7104"/>
        <c:axId val="1"/>
        <c:axId val="0"/>
      </c:bar3DChart>
      <c:catAx>
        <c:axId val="89435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'!$C$47:$AB$47</c:f>
              <c:numCache>
                <c:formatCode>0.0%</c:formatCode>
                <c:ptCount val="26"/>
                <c:pt idx="0">
                  <c:v>0.49978503869303526</c:v>
                </c:pt>
                <c:pt idx="1">
                  <c:v>0.49643061107938319</c:v>
                </c:pt>
                <c:pt idx="2">
                  <c:v>9.7376484105706623E-2</c:v>
                </c:pt>
                <c:pt idx="3">
                  <c:v>8.3777358799901627E-2</c:v>
                </c:pt>
                <c:pt idx="4">
                  <c:v>1.4489348370927317E-2</c:v>
                </c:pt>
                <c:pt idx="5">
                  <c:v>2.0282451923076925E-3</c:v>
                </c:pt>
                <c:pt idx="6">
                  <c:v>3.0693153721544891E-3</c:v>
                </c:pt>
                <c:pt idx="7">
                  <c:v>3.3327486405893701E-3</c:v>
                </c:pt>
                <c:pt idx="8">
                  <c:v>3.1710501772057452E-3</c:v>
                </c:pt>
                <c:pt idx="9">
                  <c:v>6.2618595825426945E-3</c:v>
                </c:pt>
                <c:pt idx="10">
                  <c:v>4.241995758004242E-3</c:v>
                </c:pt>
                <c:pt idx="11">
                  <c:v>3.4712449573130687E-3</c:v>
                </c:pt>
                <c:pt idx="12">
                  <c:v>6.1616527727437476E-3</c:v>
                </c:pt>
                <c:pt idx="13">
                  <c:v>4.0260736196319029E-3</c:v>
                </c:pt>
                <c:pt idx="14">
                  <c:v>5.0086688499325766E-3</c:v>
                </c:pt>
                <c:pt idx="15">
                  <c:v>4.3855374719812884E-3</c:v>
                </c:pt>
                <c:pt idx="16">
                  <c:v>5.6281193586067754E-3</c:v>
                </c:pt>
                <c:pt idx="17">
                  <c:v>4.1676589664205767E-3</c:v>
                </c:pt>
                <c:pt idx="18">
                  <c:v>6.2178967288456337E-3</c:v>
                </c:pt>
                <c:pt idx="19">
                  <c:v>8.4878968877711413E-3</c:v>
                </c:pt>
                <c:pt idx="20">
                  <c:v>3.3E-3</c:v>
                </c:pt>
                <c:pt idx="21">
                  <c:v>3.3E-3</c:v>
                </c:pt>
                <c:pt idx="22">
                  <c:v>4.5999999999999999E-3</c:v>
                </c:pt>
                <c:pt idx="23">
                  <c:v>3.8E-3</c:v>
                </c:pt>
                <c:pt idx="24">
                  <c:v>4.7000000000000002E-3</c:v>
                </c:pt>
                <c:pt idx="25" formatCode="0.00%">
                  <c:v>4.3E-3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D-4784-94F7-C41CB3833A59}"/>
            </c:ext>
          </c:extLst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'!$C$48:$AB$48</c:f>
              <c:numCache>
                <c:formatCode>0.0%</c:formatCode>
                <c:ptCount val="26"/>
                <c:pt idx="0">
                  <c:v>0.31513327601031815</c:v>
                </c:pt>
                <c:pt idx="1">
                  <c:v>0.30118503712164479</c:v>
                </c:pt>
                <c:pt idx="2">
                  <c:v>0.38854844887016471</c:v>
                </c:pt>
                <c:pt idx="3">
                  <c:v>0.62169030248381019</c:v>
                </c:pt>
                <c:pt idx="4">
                  <c:v>0.57072368421052633</c:v>
                </c:pt>
                <c:pt idx="5">
                  <c:v>0.49624399038461536</c:v>
                </c:pt>
                <c:pt idx="6">
                  <c:v>0.52766646772955916</c:v>
                </c:pt>
                <c:pt idx="7">
                  <c:v>0.52999473776530437</c:v>
                </c:pt>
                <c:pt idx="8">
                  <c:v>0.517160977429584</c:v>
                </c:pt>
                <c:pt idx="9">
                  <c:v>0.5130929791271347</c:v>
                </c:pt>
                <c:pt idx="10">
                  <c:v>0.51762448237551761</c:v>
                </c:pt>
                <c:pt idx="11">
                  <c:v>0.49760765550239233</c:v>
                </c:pt>
                <c:pt idx="12">
                  <c:v>0.48142442914099309</c:v>
                </c:pt>
                <c:pt idx="13">
                  <c:v>0.44315567484662588</c:v>
                </c:pt>
                <c:pt idx="14">
                  <c:v>0.43257561163552311</c:v>
                </c:pt>
                <c:pt idx="15">
                  <c:v>0.40541857518760355</c:v>
                </c:pt>
                <c:pt idx="16">
                  <c:v>0.40108314749920354</c:v>
                </c:pt>
                <c:pt idx="17">
                  <c:v>0.40771612288640152</c:v>
                </c:pt>
                <c:pt idx="18">
                  <c:v>0.40132468234658014</c:v>
                </c:pt>
                <c:pt idx="19">
                  <c:v>0.39547312165985538</c:v>
                </c:pt>
                <c:pt idx="20">
                  <c:v>0.40849999999999997</c:v>
                </c:pt>
                <c:pt idx="21">
                  <c:v>0.40849999999999997</c:v>
                </c:pt>
                <c:pt idx="22">
                  <c:v>0.42930000000000001</c:v>
                </c:pt>
                <c:pt idx="23">
                  <c:v>0.44440000000000002</c:v>
                </c:pt>
                <c:pt idx="24">
                  <c:v>0.42880000000000001</c:v>
                </c:pt>
                <c:pt idx="25" formatCode="0.00%">
                  <c:v>0.45679999999999998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D-4784-94F7-C41CB3833A59}"/>
            </c:ext>
          </c:extLst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'!$C$49:$AB$49</c:f>
              <c:numCache>
                <c:formatCode>0.0%</c:formatCode>
                <c:ptCount val="26"/>
                <c:pt idx="0">
                  <c:v>0.11593579822298652</c:v>
                </c:pt>
                <c:pt idx="1">
                  <c:v>0.11964591661907481</c:v>
                </c:pt>
                <c:pt idx="2">
                  <c:v>0.19293374186135581</c:v>
                </c:pt>
                <c:pt idx="3">
                  <c:v>0.16845643085498813</c:v>
                </c:pt>
                <c:pt idx="4">
                  <c:v>0.27232142857142855</c:v>
                </c:pt>
                <c:pt idx="5">
                  <c:v>0.28448016826923078</c:v>
                </c:pt>
                <c:pt idx="6">
                  <c:v>0.27530053713019015</c:v>
                </c:pt>
                <c:pt idx="7">
                  <c:v>0.27284686897035609</c:v>
                </c:pt>
                <c:pt idx="8">
                  <c:v>0.27289684760305916</c:v>
                </c:pt>
                <c:pt idx="9">
                  <c:v>0.27058823529411763</c:v>
                </c:pt>
                <c:pt idx="10">
                  <c:v>0.26674073325926673</c:v>
                </c:pt>
                <c:pt idx="11">
                  <c:v>0.2792006754855052</c:v>
                </c:pt>
                <c:pt idx="12">
                  <c:v>0.27799927509967381</c:v>
                </c:pt>
                <c:pt idx="13">
                  <c:v>0.30310582822085896</c:v>
                </c:pt>
                <c:pt idx="14">
                  <c:v>0.28867270275476792</c:v>
                </c:pt>
                <c:pt idx="15">
                  <c:v>0.30572068999122892</c:v>
                </c:pt>
                <c:pt idx="16">
                  <c:v>0.28554741425082297</c:v>
                </c:pt>
                <c:pt idx="17">
                  <c:v>0.26482495832341035</c:v>
                </c:pt>
                <c:pt idx="18">
                  <c:v>0.26074614760746145</c:v>
                </c:pt>
                <c:pt idx="19">
                  <c:v>0.26784030179188933</c:v>
                </c:pt>
                <c:pt idx="20">
                  <c:v>0.26219999999999999</c:v>
                </c:pt>
                <c:pt idx="21">
                  <c:v>0.26219999999999999</c:v>
                </c:pt>
                <c:pt idx="22">
                  <c:v>0.26650000000000001</c:v>
                </c:pt>
                <c:pt idx="23">
                  <c:v>0.26979999999999998</c:v>
                </c:pt>
                <c:pt idx="24">
                  <c:v>0.26319999999999999</c:v>
                </c:pt>
                <c:pt idx="25" formatCode="0.00%">
                  <c:v>0.26190000000000002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D-4784-94F7-C41CB3833A59}"/>
            </c:ext>
          </c:extLst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'!$C$50:$AB$50</c:f>
              <c:numCache>
                <c:formatCode>0.0%</c:formatCode>
                <c:ptCount val="26"/>
                <c:pt idx="0">
                  <c:v>3.6901691028948122E-2</c:v>
                </c:pt>
                <c:pt idx="1">
                  <c:v>4.3332381496287833E-2</c:v>
                </c:pt>
                <c:pt idx="2">
                  <c:v>9.7184986595174258E-2</c:v>
                </c:pt>
                <c:pt idx="3">
                  <c:v>5.9021231248462987E-2</c:v>
                </c:pt>
                <c:pt idx="4">
                  <c:v>7.0567042606516292E-2</c:v>
                </c:pt>
                <c:pt idx="5">
                  <c:v>0.12364783653846154</c:v>
                </c:pt>
                <c:pt idx="6">
                  <c:v>9.7621280586580275E-2</c:v>
                </c:pt>
                <c:pt idx="7">
                  <c:v>9.8140677074197505E-2</c:v>
                </c:pt>
                <c:pt idx="8">
                  <c:v>0.10744264129826525</c:v>
                </c:pt>
                <c:pt idx="9">
                  <c:v>0.10132827324478179</c:v>
                </c:pt>
                <c:pt idx="10">
                  <c:v>9.6858903141096853E-2</c:v>
                </c:pt>
                <c:pt idx="11">
                  <c:v>0.1021671826625387</c:v>
                </c:pt>
                <c:pt idx="12">
                  <c:v>0.10837259876766944</c:v>
                </c:pt>
                <c:pt idx="13">
                  <c:v>0.11474309815950923</c:v>
                </c:pt>
                <c:pt idx="14">
                  <c:v>0.12637256790599116</c:v>
                </c:pt>
                <c:pt idx="15">
                  <c:v>0.12035863950881981</c:v>
                </c:pt>
                <c:pt idx="16">
                  <c:v>0.12944674524795582</c:v>
                </c:pt>
                <c:pt idx="17">
                  <c:v>0.12717313646106215</c:v>
                </c:pt>
                <c:pt idx="18">
                  <c:v>0.11868072452014058</c:v>
                </c:pt>
                <c:pt idx="19">
                  <c:v>0.11898773970449544</c:v>
                </c:pt>
                <c:pt idx="20">
                  <c:v>0.1147</c:v>
                </c:pt>
                <c:pt idx="21">
                  <c:v>0.1147</c:v>
                </c:pt>
                <c:pt idx="22">
                  <c:v>0.10829999999999999</c:v>
                </c:pt>
                <c:pt idx="23">
                  <c:v>0.1174</c:v>
                </c:pt>
                <c:pt idx="24">
                  <c:v>0.1079</c:v>
                </c:pt>
                <c:pt idx="25" formatCode="0.00%">
                  <c:v>0.1051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D-4784-94F7-C41CB3833A59}"/>
            </c:ext>
          </c:extLst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'!$C$51:$AB$51</c:f>
              <c:numCache>
                <c:formatCode>0.0%</c:formatCode>
                <c:ptCount val="26"/>
                <c:pt idx="0">
                  <c:v>1.5190599025508742E-2</c:v>
                </c:pt>
                <c:pt idx="1">
                  <c:v>1.9703026841804683E-2</c:v>
                </c:pt>
                <c:pt idx="2">
                  <c:v>5.3619302949061663E-2</c:v>
                </c:pt>
                <c:pt idx="3">
                  <c:v>3.0412328879416344E-2</c:v>
                </c:pt>
                <c:pt idx="4">
                  <c:v>2.9605263157894735E-2</c:v>
                </c:pt>
                <c:pt idx="5">
                  <c:v>4.371995192307692E-2</c:v>
                </c:pt>
                <c:pt idx="6">
                  <c:v>4.7915423309745075E-2</c:v>
                </c:pt>
                <c:pt idx="7">
                  <c:v>4.5079810559550959E-2</c:v>
                </c:pt>
                <c:pt idx="8">
                  <c:v>4.1969781757134866E-2</c:v>
                </c:pt>
                <c:pt idx="9">
                  <c:v>4.506641366223909E-2</c:v>
                </c:pt>
                <c:pt idx="10">
                  <c:v>4.5146954853045144E-2</c:v>
                </c:pt>
                <c:pt idx="11">
                  <c:v>4.3437470682052726E-2</c:v>
                </c:pt>
                <c:pt idx="12">
                  <c:v>4.8296484233417904E-2</c:v>
                </c:pt>
                <c:pt idx="13">
                  <c:v>5.6365030674846633E-2</c:v>
                </c:pt>
                <c:pt idx="14">
                  <c:v>6.1741475630899642E-2</c:v>
                </c:pt>
                <c:pt idx="15">
                  <c:v>6.5490692914920573E-2</c:v>
                </c:pt>
                <c:pt idx="16">
                  <c:v>6.4351704364447274E-2</c:v>
                </c:pt>
                <c:pt idx="17">
                  <c:v>7.1326506311026439E-2</c:v>
                </c:pt>
                <c:pt idx="18">
                  <c:v>7.5560962422276293E-2</c:v>
                </c:pt>
                <c:pt idx="19">
                  <c:v>6.9003458032065382E-2</c:v>
                </c:pt>
                <c:pt idx="20">
                  <c:v>6.6199999999999995E-2</c:v>
                </c:pt>
                <c:pt idx="21">
                  <c:v>6.6199999999999995E-2</c:v>
                </c:pt>
                <c:pt idx="22">
                  <c:v>0.06</c:v>
                </c:pt>
                <c:pt idx="23">
                  <c:v>5.6399999999999999E-2</c:v>
                </c:pt>
                <c:pt idx="24">
                  <c:v>7.2400000000000006E-2</c:v>
                </c:pt>
                <c:pt idx="25" formatCode="0.00%">
                  <c:v>6.5299999999999997E-2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8D-4784-94F7-C41CB3833A59}"/>
            </c:ext>
          </c:extLst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8D-4784-94F7-C41CB3833A59}"/>
              </c:ext>
            </c:extLst>
          </c:dPt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'!$C$52:$AB$52</c:f>
              <c:numCache>
                <c:formatCode>0.0%</c:formatCode>
                <c:ptCount val="26"/>
                <c:pt idx="0">
                  <c:v>6.8071080538836346E-3</c:v>
                </c:pt>
                <c:pt idx="1">
                  <c:v>8.0668189605939463E-3</c:v>
                </c:pt>
                <c:pt idx="2">
                  <c:v>3.47567981616239E-2</c:v>
                </c:pt>
                <c:pt idx="3">
                  <c:v>1.483728174440528E-2</c:v>
                </c:pt>
                <c:pt idx="4">
                  <c:v>1.9110275689223057E-2</c:v>
                </c:pt>
                <c:pt idx="5">
                  <c:v>2.1559495192307692E-2</c:v>
                </c:pt>
                <c:pt idx="6">
                  <c:v>1.9865291158666552E-2</c:v>
                </c:pt>
                <c:pt idx="7">
                  <c:v>2.0698123136291879E-2</c:v>
                </c:pt>
                <c:pt idx="8">
                  <c:v>2.1731020332027607E-2</c:v>
                </c:pt>
                <c:pt idx="9">
                  <c:v>2.4952561669829221E-2</c:v>
                </c:pt>
                <c:pt idx="10">
                  <c:v>2.2623977376022623E-2</c:v>
                </c:pt>
                <c:pt idx="11">
                  <c:v>2.5049254151421334E-2</c:v>
                </c:pt>
                <c:pt idx="12">
                  <c:v>2.6549474447263501E-2</c:v>
                </c:pt>
                <c:pt idx="13">
                  <c:v>2.9907975460122707E-2</c:v>
                </c:pt>
                <c:pt idx="14">
                  <c:v>3.4482758620689662E-2</c:v>
                </c:pt>
                <c:pt idx="15">
                  <c:v>3.9957119189162851E-2</c:v>
                </c:pt>
                <c:pt idx="16">
                  <c:v>4.5343527662737602E-2</c:v>
                </c:pt>
                <c:pt idx="17">
                  <c:v>4.9535603715170282E-2</c:v>
                </c:pt>
                <c:pt idx="18">
                  <c:v>5.3663152203298189E-2</c:v>
                </c:pt>
                <c:pt idx="19">
                  <c:v>4.9198365293932726E-2</c:v>
                </c:pt>
                <c:pt idx="20">
                  <c:v>5.11E-2</c:v>
                </c:pt>
                <c:pt idx="21">
                  <c:v>5.11E-2</c:v>
                </c:pt>
                <c:pt idx="22">
                  <c:v>4.2700000000000002E-2</c:v>
                </c:pt>
                <c:pt idx="23">
                  <c:v>3.8300000000000001E-2</c:v>
                </c:pt>
                <c:pt idx="24">
                  <c:v>4.4499999999999998E-2</c:v>
                </c:pt>
                <c:pt idx="25" formatCode="0.00%">
                  <c:v>4.1099999999999998E-2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D-4784-94F7-C41CB3833A59}"/>
            </c:ext>
          </c:extLst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'!$C$53:$AB$53</c:f>
              <c:numCache>
                <c:formatCode>0.0%</c:formatCode>
                <c:ptCount val="26"/>
                <c:pt idx="0">
                  <c:v>4.6574949842361707E-3</c:v>
                </c:pt>
                <c:pt idx="1">
                  <c:v>4.5688178183894918E-3</c:v>
                </c:pt>
                <c:pt idx="2">
                  <c:v>2.2022213711221754E-2</c:v>
                </c:pt>
                <c:pt idx="3">
                  <c:v>7.7875235675055332E-3</c:v>
                </c:pt>
                <c:pt idx="4">
                  <c:v>8.615288220551378E-3</c:v>
                </c:pt>
                <c:pt idx="5">
                  <c:v>1.2620192307692308E-2</c:v>
                </c:pt>
                <c:pt idx="6">
                  <c:v>9.6342399181515905E-3</c:v>
                </c:pt>
                <c:pt idx="7">
                  <c:v>9.033502894229082E-3</c:v>
                </c:pt>
                <c:pt idx="8">
                  <c:v>1.1844805073680284E-2</c:v>
                </c:pt>
                <c:pt idx="9">
                  <c:v>1.2049335863377609E-2</c:v>
                </c:pt>
                <c:pt idx="10">
                  <c:v>1.3432986567013434E-2</c:v>
                </c:pt>
                <c:pt idx="11">
                  <c:v>1.4635519279482128E-2</c:v>
                </c:pt>
                <c:pt idx="12">
                  <c:v>1.3138818412468285E-2</c:v>
                </c:pt>
                <c:pt idx="13">
                  <c:v>1.5816717791411045E-2</c:v>
                </c:pt>
                <c:pt idx="14">
                  <c:v>1.9649393180504723E-2</c:v>
                </c:pt>
                <c:pt idx="15">
                  <c:v>2.2414969301237698E-2</c:v>
                </c:pt>
                <c:pt idx="16">
                  <c:v>2.7291069342678137E-2</c:v>
                </c:pt>
                <c:pt idx="17">
                  <c:v>2.822100500119076E-2</c:v>
                </c:pt>
                <c:pt idx="18">
                  <c:v>3.0954311976209785E-2</c:v>
                </c:pt>
                <c:pt idx="19">
                  <c:v>3.222257151839044E-2</c:v>
                </c:pt>
                <c:pt idx="20">
                  <c:v>3.2199999999999999E-2</c:v>
                </c:pt>
                <c:pt idx="21">
                  <c:v>3.2199999999999999E-2</c:v>
                </c:pt>
                <c:pt idx="22">
                  <c:v>3.4299999999999997E-2</c:v>
                </c:pt>
                <c:pt idx="23">
                  <c:v>2.5499999999999998E-2</c:v>
                </c:pt>
                <c:pt idx="24">
                  <c:v>2.9899999999999999E-2</c:v>
                </c:pt>
                <c:pt idx="25" formatCode="0.00%">
                  <c:v>2.5399999999999999E-2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8D-4784-94F7-C41CB3833A59}"/>
            </c:ext>
          </c:extLst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'!$C$46:$AB$46</c:f>
              <c:strCache>
                <c:ptCount val="26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</c:strCache>
            </c:strRef>
          </c:cat>
          <c:val>
            <c:numRef>
              <c:f>'voš_věk '!$C$54:$AB$54</c:f>
              <c:numCache>
                <c:formatCode>0.0%</c:formatCode>
                <c:ptCount val="26"/>
                <c:pt idx="0">
                  <c:v>5.5173402120951565E-3</c:v>
                </c:pt>
                <c:pt idx="1">
                  <c:v>7.0673900628212454E-3</c:v>
                </c:pt>
                <c:pt idx="2">
                  <c:v>0.11355802374569131</c:v>
                </c:pt>
                <c:pt idx="3">
                  <c:v>1.401754242150996E-2</c:v>
                </c:pt>
                <c:pt idx="4">
                  <c:v>1.456766917293233E-2</c:v>
                </c:pt>
                <c:pt idx="5">
                  <c:v>1.5700120192307692E-2</c:v>
                </c:pt>
                <c:pt idx="6">
                  <c:v>1.8927444794952682E-2</c:v>
                </c:pt>
                <c:pt idx="7">
                  <c:v>2.0873530959480791E-2</c:v>
                </c:pt>
                <c:pt idx="8">
                  <c:v>2.3782876329043089E-2</c:v>
                </c:pt>
                <c:pt idx="9">
                  <c:v>2.666034155597723E-2</c:v>
                </c:pt>
                <c:pt idx="10">
                  <c:v>3.332996667003333E-2</c:v>
                </c:pt>
                <c:pt idx="11">
                  <c:v>3.4430997279294495E-2</c:v>
                </c:pt>
                <c:pt idx="12">
                  <c:v>3.8057267125770206E-2</c:v>
                </c:pt>
                <c:pt idx="13">
                  <c:v>3.2879601226993863E-2</c:v>
                </c:pt>
                <c:pt idx="14">
                  <c:v>3.1496821421691398E-2</c:v>
                </c:pt>
                <c:pt idx="15">
                  <c:v>3.6253776435045314E-2</c:v>
                </c:pt>
                <c:pt idx="16">
                  <c:v>4.1308272273547844E-2</c:v>
                </c:pt>
                <c:pt idx="17">
                  <c:v>4.7035008335317929E-2</c:v>
                </c:pt>
                <c:pt idx="18">
                  <c:v>5.2852122195187888E-2</c:v>
                </c:pt>
                <c:pt idx="19">
                  <c:v>5.8786545111600128E-2</c:v>
                </c:pt>
                <c:pt idx="20">
                  <c:v>6.1600000000000002E-2</c:v>
                </c:pt>
                <c:pt idx="21">
                  <c:v>6.1600000000000002E-2</c:v>
                </c:pt>
                <c:pt idx="22">
                  <c:v>5.4300000000000001E-2</c:v>
                </c:pt>
                <c:pt idx="23">
                  <c:v>4.4400000000000002E-2</c:v>
                </c:pt>
                <c:pt idx="24">
                  <c:v>4.8599999999999997E-2</c:v>
                </c:pt>
                <c:pt idx="25" formatCode="0.00%">
                  <c:v>4.0100000000000004E-2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D-4784-94F7-C41CB383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4359104"/>
        <c:axId val="1"/>
      </c:barChart>
      <c:catAx>
        <c:axId val="8943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9435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302" name="graf 1">
          <a:extLst>
            <a:ext uri="{FF2B5EF4-FFF2-40B4-BE49-F238E27FC236}">
              <a16:creationId xmlns:a16="http://schemas.microsoft.com/office/drawing/2014/main" id="{47F6BEEC-660B-4608-86D3-751E9567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303" name="graf 2">
          <a:extLst>
            <a:ext uri="{FF2B5EF4-FFF2-40B4-BE49-F238E27FC236}">
              <a16:creationId xmlns:a16="http://schemas.microsoft.com/office/drawing/2014/main" id="{F1F60323-B04C-4EEE-9CEA-4D2E1411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89" name="graf 1">
          <a:extLst>
            <a:ext uri="{FF2B5EF4-FFF2-40B4-BE49-F238E27FC236}">
              <a16:creationId xmlns:a16="http://schemas.microsoft.com/office/drawing/2014/main" id="{0F935875-5B71-4748-87A6-55CB0B42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1" name="graf 1">
          <a:extLst>
            <a:ext uri="{FF2B5EF4-FFF2-40B4-BE49-F238E27FC236}">
              <a16:creationId xmlns:a16="http://schemas.microsoft.com/office/drawing/2014/main" id="{4C6E5768-564E-47B2-969E-2F2D7A81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2" name="graf 2">
          <a:extLst>
            <a:ext uri="{FF2B5EF4-FFF2-40B4-BE49-F238E27FC236}">
              <a16:creationId xmlns:a16="http://schemas.microsoft.com/office/drawing/2014/main" id="{D954D603-386A-4140-9174-10E49AF1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17</xdr:col>
      <xdr:colOff>447675</xdr:colOff>
      <xdr:row>44</xdr:row>
      <xdr:rowOff>19050</xdr:rowOff>
    </xdr:to>
    <xdr:graphicFrame macro="">
      <xdr:nvGraphicFramePr>
        <xdr:cNvPr id="4242" name="graf 1">
          <a:extLst>
            <a:ext uri="{FF2B5EF4-FFF2-40B4-BE49-F238E27FC236}">
              <a16:creationId xmlns:a16="http://schemas.microsoft.com/office/drawing/2014/main" id="{93DB9218-9D86-46E3-97AE-43D02BCF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zoomScaleNormal="100" workbookViewId="0">
      <selection activeCell="A3" sqref="A3"/>
    </sheetView>
  </sheetViews>
  <sheetFormatPr defaultColWidth="9.140625"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86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1999/00–2023/24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'!A38</f>
        <v>Uchazeči o studium na VOŠ podle počtu podaných přihlášek 1999/00–2023/24</v>
      </c>
    </row>
    <row r="7" spans="1:1" ht="15" customHeight="1" x14ac:dyDescent="0.2">
      <c r="A7" s="1" t="str">
        <f>'voš_vše '!A67</f>
        <v>Struktura uchazečů na VOŠ podle počtu podaných přihlášek 1999/00–2023/24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1999/00–2023/24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1999/00–2023/24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1999/00–2023/24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1999/00–2023/24</v>
      </c>
    </row>
    <row r="16" spans="1:1" ht="15" customHeight="1" x14ac:dyDescent="0.2"/>
    <row r="17" spans="1:10" ht="15" customHeight="1" x14ac:dyDescent="0.2">
      <c r="A17" s="329" t="str">
        <f>'voš_věk x dfst '!A1</f>
        <v>Struktura přihlášených, přijatých a zapsaných na VOŠ podle věku v letech 1999/00–2023/24</v>
      </c>
    </row>
    <row r="18" spans="1:10" ht="15" customHeight="1" x14ac:dyDescent="0.2"/>
    <row r="19" spans="1:10" ht="15" customHeight="1" x14ac:dyDescent="0.2">
      <c r="A19" s="329" t="str">
        <f>'voš_věk '!A1</f>
        <v>Uchazeči přijatí do denní formy vzdělávání na VOŠ podle věku v letech 1999/00–2023/24</v>
      </c>
      <c r="I19" s="254"/>
      <c r="J19" s="254"/>
    </row>
    <row r="20" spans="1:10" ht="15" customHeight="1" x14ac:dyDescent="0.2">
      <c r="A20" s="1" t="str">
        <f>'voš_věk '!A17</f>
        <v>Podíly uchazečů přijatých do denní formy vzdělávání na VOŠ podle věku v letech 1999/00–2023/24</v>
      </c>
    </row>
    <row r="70" spans="1:1" x14ac:dyDescent="0.2">
      <c r="A70" s="1" t="s">
        <v>83</v>
      </c>
    </row>
    <row r="71" spans="1:1" x14ac:dyDescent="0.2">
      <c r="A71" s="1" t="s">
        <v>82</v>
      </c>
    </row>
    <row r="72" spans="1:1" x14ac:dyDescent="0.2">
      <c r="A72" s="1" t="s">
        <v>81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K177"/>
  <sheetViews>
    <sheetView tabSelected="1"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 activeCell="A22" sqref="A22"/>
    </sheetView>
  </sheetViews>
  <sheetFormatPr defaultColWidth="9.140625" defaultRowHeight="12.75" x14ac:dyDescent="0.2"/>
  <cols>
    <col min="1" max="1" width="47.5703125" style="1" customWidth="1"/>
    <col min="2" max="12" width="7.42578125" style="1" customWidth="1"/>
    <col min="13" max="17" width="9.140625" style="1"/>
    <col min="18" max="18" width="9.42578125" style="1" customWidth="1"/>
    <col min="19" max="16384" width="9.140625" style="1"/>
  </cols>
  <sheetData>
    <row r="1" spans="1:37" ht="13.5" thickBot="1" x14ac:dyDescent="0.25">
      <c r="A1" s="2" t="s">
        <v>158</v>
      </c>
    </row>
    <row r="2" spans="1:37" ht="14.25" thickTop="1" thickBot="1" x14ac:dyDescent="0.25">
      <c r="A2" s="3"/>
      <c r="B2" s="86" t="s">
        <v>3</v>
      </c>
      <c r="C2" s="87" t="s">
        <v>4</v>
      </c>
      <c r="D2" s="88" t="s">
        <v>5</v>
      </c>
      <c r="E2" s="88" t="s">
        <v>41</v>
      </c>
      <c r="F2" s="287" t="s">
        <v>53</v>
      </c>
      <c r="G2" s="287" t="s">
        <v>54</v>
      </c>
      <c r="H2" s="287" t="s">
        <v>76</v>
      </c>
      <c r="I2" s="287" t="s">
        <v>84</v>
      </c>
      <c r="J2" s="287" t="s">
        <v>87</v>
      </c>
      <c r="K2" s="287" t="s">
        <v>89</v>
      </c>
      <c r="L2" s="287" t="s">
        <v>108</v>
      </c>
      <c r="M2" s="287" t="s">
        <v>118</v>
      </c>
      <c r="N2" s="287" t="s">
        <v>121</v>
      </c>
      <c r="O2" s="287" t="s">
        <v>132</v>
      </c>
      <c r="P2" s="287" t="s">
        <v>134</v>
      </c>
      <c r="Q2" s="287" t="s">
        <v>137</v>
      </c>
      <c r="R2" s="287" t="s">
        <v>139</v>
      </c>
      <c r="S2" s="287" t="s">
        <v>141</v>
      </c>
      <c r="T2" s="287" t="s">
        <v>144</v>
      </c>
      <c r="U2" s="287" t="s">
        <v>147</v>
      </c>
      <c r="V2" s="287" t="s">
        <v>150</v>
      </c>
      <c r="W2" s="287" t="s">
        <v>152</v>
      </c>
      <c r="X2" s="287" t="s">
        <v>154</v>
      </c>
      <c r="Y2" s="287" t="s">
        <v>156</v>
      </c>
      <c r="Z2" s="323" t="s">
        <v>157</v>
      </c>
      <c r="AA2" s="286"/>
    </row>
    <row r="3" spans="1:37" ht="13.5" thickTop="1" x14ac:dyDescent="0.2">
      <c r="A3" s="197" t="s">
        <v>7</v>
      </c>
      <c r="B3" s="89">
        <v>35.9</v>
      </c>
      <c r="C3" s="89">
        <v>21.2</v>
      </c>
      <c r="D3" s="90">
        <v>28.2</v>
      </c>
      <c r="E3" s="90">
        <v>29.45</v>
      </c>
      <c r="F3" s="288">
        <v>32.673000000000002</v>
      </c>
      <c r="G3" s="288">
        <v>27</v>
      </c>
      <c r="H3" s="288">
        <v>25</v>
      </c>
      <c r="I3" s="288">
        <v>22.6</v>
      </c>
      <c r="J3" s="288">
        <v>21.2</v>
      </c>
      <c r="K3" s="288">
        <v>18.896999999999998</v>
      </c>
      <c r="L3" s="288">
        <v>20.623000000000001</v>
      </c>
      <c r="M3" s="288">
        <v>22.146000000000001</v>
      </c>
      <c r="N3" s="288">
        <v>21.358000000000001</v>
      </c>
      <c r="O3" s="288">
        <v>20.991</v>
      </c>
      <c r="P3" s="288">
        <v>20.88</v>
      </c>
      <c r="Q3" s="288">
        <v>19.318000000000001</v>
      </c>
      <c r="R3" s="288">
        <v>17.385000000000002</v>
      </c>
      <c r="S3" s="288">
        <v>15.036</v>
      </c>
      <c r="T3" s="288">
        <v>13.743</v>
      </c>
      <c r="U3" s="288">
        <v>12.85</v>
      </c>
      <c r="V3" s="288">
        <v>13.048999999999999</v>
      </c>
      <c r="W3" s="288">
        <v>14.199</v>
      </c>
      <c r="X3" s="288">
        <v>17.507000000000001</v>
      </c>
      <c r="Y3" s="288">
        <v>17.73</v>
      </c>
      <c r="Z3" s="324">
        <v>18.879000000000001</v>
      </c>
      <c r="AA3" s="286"/>
      <c r="AH3" s="5"/>
    </row>
    <row r="4" spans="1:37" x14ac:dyDescent="0.2">
      <c r="A4" s="198" t="s">
        <v>8</v>
      </c>
      <c r="B4" s="91">
        <v>24.6</v>
      </c>
      <c r="C4" s="91">
        <v>15.4</v>
      </c>
      <c r="D4" s="92">
        <v>20.3</v>
      </c>
      <c r="E4" s="92">
        <v>22.22</v>
      </c>
      <c r="F4" s="289">
        <v>24.338999999999999</v>
      </c>
      <c r="G4" s="289">
        <v>20.6</v>
      </c>
      <c r="H4" s="289">
        <v>19.399999999999999</v>
      </c>
      <c r="I4" s="289">
        <v>17.2</v>
      </c>
      <c r="J4" s="289">
        <v>17.5</v>
      </c>
      <c r="K4" s="289">
        <v>16.702999999999999</v>
      </c>
      <c r="L4" s="289">
        <v>17.696000000000002</v>
      </c>
      <c r="M4" s="289">
        <v>19.041</v>
      </c>
      <c r="N4" s="289">
        <v>17.864000000000001</v>
      </c>
      <c r="O4" s="289">
        <v>17.605</v>
      </c>
      <c r="P4" s="289">
        <v>17.384</v>
      </c>
      <c r="Q4" s="289">
        <v>16.05</v>
      </c>
      <c r="R4" s="289">
        <v>14.397</v>
      </c>
      <c r="S4" s="289">
        <v>12.699</v>
      </c>
      <c r="T4" s="289">
        <v>11.731999999999999</v>
      </c>
      <c r="U4" s="289">
        <v>11.006</v>
      </c>
      <c r="V4" s="289">
        <v>10.916</v>
      </c>
      <c r="W4" s="289">
        <v>11.554</v>
      </c>
      <c r="X4" s="289">
        <v>13.715999999999999</v>
      </c>
      <c r="Y4" s="289">
        <v>13.747</v>
      </c>
      <c r="Z4" s="325">
        <v>14.257999999999999</v>
      </c>
      <c r="AA4" s="286"/>
      <c r="AH4" s="5"/>
    </row>
    <row r="5" spans="1:37" x14ac:dyDescent="0.2">
      <c r="A5" s="198" t="s">
        <v>9</v>
      </c>
      <c r="B5" s="91">
        <v>15.4</v>
      </c>
      <c r="C5" s="91">
        <v>10.4</v>
      </c>
      <c r="D5" s="92">
        <v>13.9</v>
      </c>
      <c r="E5" s="92">
        <v>14.823</v>
      </c>
      <c r="F5" s="289">
        <v>15.507</v>
      </c>
      <c r="G5" s="289">
        <v>13.4</v>
      </c>
      <c r="H5" s="289">
        <v>13.2</v>
      </c>
      <c r="I5" s="289">
        <v>12.7</v>
      </c>
      <c r="J5" s="289">
        <v>13.6</v>
      </c>
      <c r="K5" s="289">
        <f>12593/1000</f>
        <v>12.593</v>
      </c>
      <c r="L5" s="289">
        <v>13.741</v>
      </c>
      <c r="M5" s="289">
        <v>14.446999999999999</v>
      </c>
      <c r="N5" s="289">
        <v>13.82</v>
      </c>
      <c r="O5" s="289">
        <v>13.798</v>
      </c>
      <c r="P5" s="289">
        <v>13.74</v>
      </c>
      <c r="Q5" s="289">
        <v>12.481999999999999</v>
      </c>
      <c r="R5" s="289">
        <v>11.58</v>
      </c>
      <c r="S5" s="289">
        <v>10.362</v>
      </c>
      <c r="T5" s="289">
        <v>9.8249999999999993</v>
      </c>
      <c r="U5" s="289">
        <v>9.0280000000000005</v>
      </c>
      <c r="V5" s="289">
        <v>8.9</v>
      </c>
      <c r="W5" s="289">
        <v>9.2119999999999997</v>
      </c>
      <c r="X5" s="289">
        <v>10.792999999999999</v>
      </c>
      <c r="Y5" s="289">
        <v>10.651999999999999</v>
      </c>
      <c r="Z5" s="325">
        <v>10.645</v>
      </c>
      <c r="AA5" s="286"/>
      <c r="AH5" s="5"/>
    </row>
    <row r="6" spans="1:37" ht="13.5" thickBot="1" x14ac:dyDescent="0.25">
      <c r="A6" s="199" t="s">
        <v>10</v>
      </c>
      <c r="B6" s="93">
        <v>13.5</v>
      </c>
      <c r="C6" s="93">
        <v>8.8000000000000007</v>
      </c>
      <c r="D6" s="94">
        <v>11.8</v>
      </c>
      <c r="E6" s="94">
        <v>12.6</v>
      </c>
      <c r="F6" s="290">
        <v>13.4</v>
      </c>
      <c r="G6" s="290">
        <v>11.3</v>
      </c>
      <c r="H6" s="290">
        <v>11.1</v>
      </c>
      <c r="I6" s="290">
        <v>10.8</v>
      </c>
      <c r="J6" s="290">
        <v>11.3</v>
      </c>
      <c r="K6" s="410">
        <v>10.657999999999999</v>
      </c>
      <c r="L6" s="410">
        <v>11.563000000000001</v>
      </c>
      <c r="M6" s="410">
        <v>12.515000000000001</v>
      </c>
      <c r="N6" s="410">
        <v>11.804</v>
      </c>
      <c r="O6" s="410">
        <v>12.042999999999999</v>
      </c>
      <c r="P6" s="410">
        <v>11.877000000000001</v>
      </c>
      <c r="Q6" s="410">
        <v>10.951000000000001</v>
      </c>
      <c r="R6" s="410">
        <v>10.032</v>
      </c>
      <c r="S6" s="410">
        <v>9.0250000000000004</v>
      </c>
      <c r="T6" s="410">
        <v>8.3040000000000003</v>
      </c>
      <c r="U6" s="410">
        <v>7.8440000000000003</v>
      </c>
      <c r="V6" s="410">
        <v>7.8330000000000002</v>
      </c>
      <c r="W6" s="410">
        <v>8.0749999999999993</v>
      </c>
      <c r="X6" s="410">
        <v>9.3689999999999998</v>
      </c>
      <c r="Y6" s="410">
        <v>9.048</v>
      </c>
      <c r="Z6" s="353">
        <v>9.1839999999999993</v>
      </c>
      <c r="AA6" s="286"/>
      <c r="AG6" s="13"/>
      <c r="AH6" s="6"/>
      <c r="AI6" s="6"/>
      <c r="AJ6" s="6"/>
      <c r="AK6" s="7"/>
    </row>
    <row r="7" spans="1:37" ht="5.0999999999999996" customHeight="1" thickTop="1" x14ac:dyDescent="0.2">
      <c r="A7" s="85"/>
      <c r="B7" s="375"/>
      <c r="C7" s="375"/>
      <c r="D7" s="84"/>
      <c r="E7" s="84"/>
      <c r="F7" s="84"/>
      <c r="G7" s="4"/>
      <c r="H7" s="4"/>
      <c r="I7" s="4"/>
      <c r="J7" s="457"/>
      <c r="K7" s="457"/>
      <c r="L7" s="286"/>
      <c r="M7" s="286"/>
      <c r="N7" s="286"/>
      <c r="O7" s="286"/>
      <c r="P7" s="286"/>
      <c r="Q7" s="286"/>
      <c r="R7" s="286"/>
      <c r="S7" s="286"/>
      <c r="T7" s="286"/>
      <c r="U7" s="286"/>
      <c r="V7" s="286"/>
      <c r="W7" s="286"/>
      <c r="X7" s="286"/>
      <c r="Y7" s="286"/>
      <c r="Z7" s="286"/>
      <c r="AC7" s="13"/>
      <c r="AD7" s="13"/>
      <c r="AE7" s="13"/>
      <c r="AF7" s="13"/>
    </row>
    <row r="8" spans="1:37" x14ac:dyDescent="0.2">
      <c r="A8" s="5" t="s">
        <v>75</v>
      </c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286"/>
      <c r="W8" s="286"/>
      <c r="X8" s="286"/>
      <c r="Y8" s="286"/>
      <c r="Z8" s="286"/>
      <c r="AC8" s="13"/>
      <c r="AD8" s="13"/>
      <c r="AE8" s="13"/>
    </row>
    <row r="9" spans="1:37" x14ac:dyDescent="0.2">
      <c r="A9" s="5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C9" s="13"/>
      <c r="AD9" s="13"/>
      <c r="AE9" s="13"/>
    </row>
    <row r="10" spans="1:37" ht="13.5" thickBot="1" x14ac:dyDescent="0.25">
      <c r="A10" s="2" t="s">
        <v>99</v>
      </c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377"/>
      <c r="AC10" s="13"/>
      <c r="AD10" s="13"/>
      <c r="AE10" s="13"/>
    </row>
    <row r="11" spans="1:37" ht="14.25" thickTop="1" thickBot="1" x14ac:dyDescent="0.25">
      <c r="A11" s="3"/>
      <c r="B11" s="95" t="s">
        <v>11</v>
      </c>
      <c r="C11" s="87" t="s">
        <v>4</v>
      </c>
      <c r="D11" s="96" t="s">
        <v>5</v>
      </c>
      <c r="E11" s="96" t="s">
        <v>41</v>
      </c>
      <c r="F11" s="291" t="s">
        <v>53</v>
      </c>
      <c r="G11" s="291" t="s">
        <v>54</v>
      </c>
      <c r="H11" s="291" t="s">
        <v>76</v>
      </c>
      <c r="I11" s="291" t="s">
        <v>84</v>
      </c>
      <c r="J11" s="291" t="s">
        <v>87</v>
      </c>
      <c r="K11" s="287" t="s">
        <v>89</v>
      </c>
      <c r="L11" s="287" t="s">
        <v>108</v>
      </c>
      <c r="M11" s="287" t="s">
        <v>118</v>
      </c>
      <c r="N11" s="287" t="s">
        <v>121</v>
      </c>
      <c r="O11" s="287" t="s">
        <v>132</v>
      </c>
      <c r="P11" s="287" t="s">
        <v>134</v>
      </c>
      <c r="Q11" s="287" t="s">
        <v>137</v>
      </c>
      <c r="R11" s="287" t="s">
        <v>139</v>
      </c>
      <c r="S11" s="287" t="s">
        <v>141</v>
      </c>
      <c r="T11" s="287" t="str">
        <f>T2</f>
        <v>2017/18</v>
      </c>
      <c r="U11" s="287" t="str">
        <f>U2</f>
        <v>2018/19</v>
      </c>
      <c r="V11" s="287" t="str">
        <f>V2</f>
        <v>2019/20</v>
      </c>
      <c r="W11" s="287" t="s">
        <v>152</v>
      </c>
      <c r="X11" s="287" t="s">
        <v>154</v>
      </c>
      <c r="Y11" s="287" t="s">
        <v>156</v>
      </c>
      <c r="Z11" s="323" t="s">
        <v>157</v>
      </c>
      <c r="AA11" s="286"/>
      <c r="AB11" s="377"/>
      <c r="AC11" s="13"/>
      <c r="AD11" s="13"/>
      <c r="AE11" s="13"/>
    </row>
    <row r="12" spans="1:37" ht="13.5" thickTop="1" x14ac:dyDescent="0.2">
      <c r="A12" s="200" t="s">
        <v>12</v>
      </c>
      <c r="B12" s="97">
        <v>24.6</v>
      </c>
      <c r="C12" s="97">
        <v>15.4</v>
      </c>
      <c r="D12" s="98">
        <v>20.3</v>
      </c>
      <c r="E12" s="244">
        <v>22.22</v>
      </c>
      <c r="F12" s="292">
        <v>24.338999999999999</v>
      </c>
      <c r="G12" s="292">
        <v>20.6</v>
      </c>
      <c r="H12" s="292">
        <v>19.399999999999999</v>
      </c>
      <c r="I12" s="292">
        <v>17.2</v>
      </c>
      <c r="J12" s="292">
        <v>17.5</v>
      </c>
      <c r="K12" s="411">
        <v>16.702999999999999</v>
      </c>
      <c r="L12" s="411">
        <v>17.696000000000002</v>
      </c>
      <c r="M12" s="411">
        <v>19.041</v>
      </c>
      <c r="N12" s="411">
        <v>17.864000000000001</v>
      </c>
      <c r="O12" s="411">
        <f t="shared" ref="O12:T12" si="0">+O4</f>
        <v>17.605</v>
      </c>
      <c r="P12" s="411">
        <f t="shared" si="0"/>
        <v>17.384</v>
      </c>
      <c r="Q12" s="411">
        <f t="shared" si="0"/>
        <v>16.05</v>
      </c>
      <c r="R12" s="411">
        <f t="shared" si="0"/>
        <v>14.397</v>
      </c>
      <c r="S12" s="411">
        <f t="shared" si="0"/>
        <v>12.699</v>
      </c>
      <c r="T12" s="411">
        <f t="shared" si="0"/>
        <v>11.731999999999999</v>
      </c>
      <c r="U12" s="411">
        <f>+U4</f>
        <v>11.006</v>
      </c>
      <c r="V12" s="411">
        <f>+V4</f>
        <v>10.916</v>
      </c>
      <c r="W12" s="411">
        <f>+W4</f>
        <v>11.554</v>
      </c>
      <c r="X12" s="411">
        <f>+X4</f>
        <v>13.715999999999999</v>
      </c>
      <c r="Y12" s="411">
        <f>+Y4</f>
        <v>13.747</v>
      </c>
      <c r="Z12" s="99">
        <f>Z4</f>
        <v>14.257999999999999</v>
      </c>
      <c r="AA12" s="286"/>
      <c r="AB12" s="377"/>
      <c r="AC12" s="13"/>
      <c r="AD12" s="13"/>
      <c r="AE12" s="13"/>
    </row>
    <row r="13" spans="1:37" x14ac:dyDescent="0.2">
      <c r="A13" s="198" t="s">
        <v>106</v>
      </c>
      <c r="B13" s="53">
        <f t="shared" ref="B13:K13" si="1">B12*1000/B20</f>
        <v>0.17416175804259176</v>
      </c>
      <c r="C13" s="53">
        <f t="shared" si="1"/>
        <v>0.11101819544969578</v>
      </c>
      <c r="D13" s="100">
        <f t="shared" si="1"/>
        <v>0.14530722098150375</v>
      </c>
      <c r="E13" s="100">
        <f t="shared" si="1"/>
        <v>0.16467920165420333</v>
      </c>
      <c r="F13" s="293">
        <f t="shared" si="1"/>
        <v>0.17925716432090855</v>
      </c>
      <c r="G13" s="293">
        <f t="shared" si="1"/>
        <v>0.15202952029520295</v>
      </c>
      <c r="H13" s="293">
        <f t="shared" si="1"/>
        <v>0.14579998346598125</v>
      </c>
      <c r="I13" s="293">
        <f t="shared" si="1"/>
        <v>0.13097876164149894</v>
      </c>
      <c r="J13" s="293">
        <f t="shared" si="1"/>
        <v>0.13175230566534915</v>
      </c>
      <c r="K13" s="263">
        <f t="shared" si="1"/>
        <v>0.12919418962610027</v>
      </c>
      <c r="L13" s="263">
        <f>L12/L18</f>
        <v>0.13349930217645506</v>
      </c>
      <c r="M13" s="263">
        <v>0.14557339449541284</v>
      </c>
      <c r="N13" s="263">
        <f t="shared" ref="N13:S13" si="2">N12/N18</f>
        <v>0.14473449678349781</v>
      </c>
      <c r="O13" s="263">
        <f t="shared" si="2"/>
        <v>0.14335268587807082</v>
      </c>
      <c r="P13" s="263">
        <f t="shared" si="2"/>
        <v>0.15942919505864875</v>
      </c>
      <c r="Q13" s="263">
        <f t="shared" si="2"/>
        <v>0.16249379891265833</v>
      </c>
      <c r="R13" s="263">
        <f t="shared" si="2"/>
        <v>0.1542227268831948</v>
      </c>
      <c r="S13" s="263">
        <f t="shared" si="2"/>
        <v>0.13635631529780631</v>
      </c>
      <c r="T13" s="263">
        <f t="shared" ref="T13:Z13" si="3">T12/T18</f>
        <v>0.12642377611827713</v>
      </c>
      <c r="U13" s="263">
        <f t="shared" si="3"/>
        <v>0.11944347977079353</v>
      </c>
      <c r="V13" s="263">
        <f t="shared" si="3"/>
        <v>0.11595003399048266</v>
      </c>
      <c r="W13" s="263">
        <f t="shared" si="3"/>
        <v>0.1208097199857797</v>
      </c>
      <c r="X13" s="263">
        <f t="shared" si="3"/>
        <v>0.14155529181072293</v>
      </c>
      <c r="Y13" s="263">
        <f t="shared" si="3"/>
        <v>0.13259194243771641</v>
      </c>
      <c r="Z13" s="245">
        <f t="shared" si="3"/>
        <v>0.12855932050565341</v>
      </c>
      <c r="AA13" s="286"/>
      <c r="AB13" s="377"/>
      <c r="AC13" s="13"/>
      <c r="AD13" s="13"/>
      <c r="AE13" s="13"/>
    </row>
    <row r="14" spans="1:37" x14ac:dyDescent="0.2">
      <c r="A14" s="201" t="s">
        <v>13</v>
      </c>
      <c r="B14" s="56">
        <f t="shared" ref="B14:K14" si="4">B12*1000/B21</f>
        <v>0.27018715402864424</v>
      </c>
      <c r="C14" s="56">
        <f t="shared" si="4"/>
        <v>0.43917184737352422</v>
      </c>
      <c r="D14" s="56">
        <f t="shared" si="4"/>
        <v>0.27758406147871628</v>
      </c>
      <c r="E14" s="56">
        <f t="shared" si="4"/>
        <v>0.29990552031313267</v>
      </c>
      <c r="F14" s="217">
        <f t="shared" si="4"/>
        <v>0.30671808249215532</v>
      </c>
      <c r="G14" s="217">
        <f t="shared" si="4"/>
        <v>0.25218210976042699</v>
      </c>
      <c r="H14" s="217">
        <f t="shared" si="4"/>
        <v>0.22907613829586246</v>
      </c>
      <c r="I14" s="217">
        <f t="shared" si="4"/>
        <v>0.2015066134001898</v>
      </c>
      <c r="J14" s="217">
        <f t="shared" si="4"/>
        <v>0.20404831864185438</v>
      </c>
      <c r="K14" s="266">
        <f t="shared" si="4"/>
        <v>0.18725336322869957</v>
      </c>
      <c r="L14" s="266">
        <f t="shared" ref="L14:R14" si="5">L12/L19</f>
        <v>0.21090267680499608</v>
      </c>
      <c r="M14" s="266">
        <f t="shared" si="5"/>
        <v>0.23488848317378863</v>
      </c>
      <c r="N14" s="266">
        <f t="shared" si="5"/>
        <v>0.23956014483036076</v>
      </c>
      <c r="O14" s="266">
        <f t="shared" si="5"/>
        <v>0.2424697343231369</v>
      </c>
      <c r="P14" s="266">
        <f t="shared" si="5"/>
        <v>0.24824710468819169</v>
      </c>
      <c r="Q14" s="266">
        <f>Q12/Q19</f>
        <v>0.26399763142311994</v>
      </c>
      <c r="R14" s="266">
        <f t="shared" si="5"/>
        <v>0.25653498690329823</v>
      </c>
      <c r="S14" s="266">
        <f t="shared" ref="S14:X14" si="6">S12/S19</f>
        <v>0.24264832330180566</v>
      </c>
      <c r="T14" s="266">
        <f t="shared" si="6"/>
        <v>0.22365837384424744</v>
      </c>
      <c r="U14" s="266">
        <f t="shared" si="6"/>
        <v>0.20858918959896899</v>
      </c>
      <c r="V14" s="266">
        <f t="shared" si="6"/>
        <v>0.20688348116139793</v>
      </c>
      <c r="W14" s="266">
        <f t="shared" si="6"/>
        <v>0.2006878343639269</v>
      </c>
      <c r="X14" s="266">
        <f t="shared" si="6"/>
        <v>0.22274550562710102</v>
      </c>
      <c r="Y14" s="266">
        <f t="shared" ref="Y14" si="7">Y12/Y19</f>
        <v>0.23359785213002771</v>
      </c>
      <c r="Z14" s="101">
        <f t="shared" ref="Z14" si="8">Z12/Z19</f>
        <v>0.22898532104198116</v>
      </c>
      <c r="AC14" s="13"/>
      <c r="AD14" s="13"/>
      <c r="AE14" s="13"/>
    </row>
    <row r="15" spans="1:37" x14ac:dyDescent="0.2">
      <c r="A15" s="200" t="s">
        <v>14</v>
      </c>
      <c r="B15" s="102">
        <v>13.5</v>
      </c>
      <c r="C15" s="102">
        <v>8.8000000000000007</v>
      </c>
      <c r="D15" s="103">
        <v>11.8</v>
      </c>
      <c r="E15" s="251">
        <v>12.6</v>
      </c>
      <c r="F15" s="294">
        <v>13.4</v>
      </c>
      <c r="G15" s="294">
        <v>11.3</v>
      </c>
      <c r="H15" s="294">
        <v>11.1</v>
      </c>
      <c r="I15" s="294">
        <v>10.8</v>
      </c>
      <c r="J15" s="294">
        <v>11.3</v>
      </c>
      <c r="K15" s="412">
        <v>10.657999999999999</v>
      </c>
      <c r="L15" s="412">
        <v>11.563000000000001</v>
      </c>
      <c r="M15" s="412">
        <v>12.515000000000001</v>
      </c>
      <c r="N15" s="412">
        <v>11.804</v>
      </c>
      <c r="O15" s="412">
        <f t="shared" ref="O15:T15" si="9">+O6</f>
        <v>12.042999999999999</v>
      </c>
      <c r="P15" s="412">
        <f t="shared" si="9"/>
        <v>11.877000000000001</v>
      </c>
      <c r="Q15" s="412">
        <f t="shared" si="9"/>
        <v>10.951000000000001</v>
      </c>
      <c r="R15" s="412">
        <f t="shared" si="9"/>
        <v>10.032</v>
      </c>
      <c r="S15" s="412">
        <f t="shared" si="9"/>
        <v>9.0250000000000004</v>
      </c>
      <c r="T15" s="412">
        <f t="shared" si="9"/>
        <v>8.3040000000000003</v>
      </c>
      <c r="U15" s="412">
        <f>+U6</f>
        <v>7.8440000000000003</v>
      </c>
      <c r="V15" s="412">
        <f>+V6</f>
        <v>7.8330000000000002</v>
      </c>
      <c r="W15" s="412">
        <f>+W6</f>
        <v>8.0749999999999993</v>
      </c>
      <c r="X15" s="412">
        <f>+X6</f>
        <v>9.3689999999999998</v>
      </c>
      <c r="Y15" s="412">
        <f>+Y6</f>
        <v>9.048</v>
      </c>
      <c r="Z15" s="104">
        <f>Z6</f>
        <v>9.1839999999999993</v>
      </c>
      <c r="AC15" s="13"/>
      <c r="AD15" s="13"/>
      <c r="AE15" s="13"/>
    </row>
    <row r="16" spans="1:37" x14ac:dyDescent="0.2">
      <c r="A16" s="198" t="s">
        <v>106</v>
      </c>
      <c r="B16" s="53">
        <f t="shared" ref="B16:K16" si="10">B15*1000/B20</f>
        <v>9.5576574535568642E-2</v>
      </c>
      <c r="C16" s="53">
        <f t="shared" si="10"/>
        <v>6.3438968828397585E-2</v>
      </c>
      <c r="D16" s="100">
        <f t="shared" si="10"/>
        <v>8.4464295939987402E-2</v>
      </c>
      <c r="E16" s="100">
        <f t="shared" si="10"/>
        <v>9.3382445582491536E-2</v>
      </c>
      <c r="F16" s="293">
        <f t="shared" si="10"/>
        <v>9.8691236365511095E-2</v>
      </c>
      <c r="G16" s="293">
        <f t="shared" si="10"/>
        <v>8.3394833948339478E-2</v>
      </c>
      <c r="H16" s="293">
        <f t="shared" si="10"/>
        <v>8.3421640024350097E-2</v>
      </c>
      <c r="I16" s="293">
        <f t="shared" si="10"/>
        <v>8.2242478240010963E-2</v>
      </c>
      <c r="J16" s="293">
        <f t="shared" si="10"/>
        <v>8.5074345943911167E-2</v>
      </c>
      <c r="K16" s="263">
        <f t="shared" si="10"/>
        <v>8.2437386878703028E-2</v>
      </c>
      <c r="L16" s="263">
        <f>L15/L18</f>
        <v>8.7231715137112892E-2</v>
      </c>
      <c r="M16" s="263">
        <v>9.5680428134556572E-2</v>
      </c>
      <c r="N16" s="263">
        <f t="shared" ref="N16:S16" si="11">N15/N18</f>
        <v>9.5636251681169279E-2</v>
      </c>
      <c r="O16" s="263">
        <f t="shared" si="11"/>
        <v>9.8062845556921727E-2</v>
      </c>
      <c r="P16" s="263">
        <f t="shared" si="11"/>
        <v>0.10892432982694265</v>
      </c>
      <c r="Q16" s="263">
        <f t="shared" si="11"/>
        <v>0.11087037955716644</v>
      </c>
      <c r="R16" s="263">
        <f t="shared" si="11"/>
        <v>0.10746422144142599</v>
      </c>
      <c r="S16" s="263">
        <f t="shared" si="11"/>
        <v>9.6906508037066075E-2</v>
      </c>
      <c r="T16" s="263">
        <f t="shared" ref="T16:Z16" si="12">T15/T18</f>
        <v>8.9483722884944883E-2</v>
      </c>
      <c r="U16" s="263">
        <f t="shared" si="12"/>
        <v>8.5127626324014591E-2</v>
      </c>
      <c r="V16" s="263">
        <f t="shared" si="12"/>
        <v>8.3202328348062543E-2</v>
      </c>
      <c r="W16" s="263">
        <f t="shared" si="12"/>
        <v>8.4432965975867316E-2</v>
      </c>
      <c r="X16" s="263">
        <f t="shared" si="12"/>
        <v>9.6692295784096188E-2</v>
      </c>
      <c r="Y16" s="263">
        <f t="shared" si="12"/>
        <v>8.7269360236885002E-2</v>
      </c>
      <c r="Z16" s="245">
        <f t="shared" si="12"/>
        <v>8.2808865165094753E-2</v>
      </c>
      <c r="AC16" s="13"/>
      <c r="AD16" s="13"/>
      <c r="AE16" s="13"/>
    </row>
    <row r="17" spans="1:36" ht="13.5" thickBot="1" x14ac:dyDescent="0.25">
      <c r="A17" s="202" t="s">
        <v>13</v>
      </c>
      <c r="B17" s="105">
        <f t="shared" ref="B17:K17" si="13">B15*1000/B21</f>
        <v>0.14827343818645111</v>
      </c>
      <c r="C17" s="105">
        <f t="shared" si="13"/>
        <v>0.25095534135629954</v>
      </c>
      <c r="D17" s="105">
        <f t="shared" si="13"/>
        <v>0.16135428204181537</v>
      </c>
      <c r="E17" s="105">
        <f t="shared" si="13"/>
        <v>0.17006343636118235</v>
      </c>
      <c r="F17" s="295">
        <f t="shared" si="13"/>
        <v>0.16886570135974696</v>
      </c>
      <c r="G17" s="295">
        <f t="shared" si="13"/>
        <v>0.13833290486858374</v>
      </c>
      <c r="H17" s="295">
        <f t="shared" si="13"/>
        <v>0.13106933686000377</v>
      </c>
      <c r="I17" s="295">
        <f t="shared" si="13"/>
        <v>0.12652740841407267</v>
      </c>
      <c r="J17" s="295">
        <f t="shared" si="13"/>
        <v>0.13175691432302597</v>
      </c>
      <c r="K17" s="348">
        <f t="shared" si="13"/>
        <v>0.11948430493273543</v>
      </c>
      <c r="L17" s="348">
        <f t="shared" ref="L17:R17" si="14">L15/L19</f>
        <v>0.1378089767120349</v>
      </c>
      <c r="M17" s="348">
        <f t="shared" si="14"/>
        <v>0.15438419026941677</v>
      </c>
      <c r="N17" s="348">
        <f t="shared" si="14"/>
        <v>0.1582942201957892</v>
      </c>
      <c r="O17" s="348">
        <f t="shared" si="14"/>
        <v>0.16586555015356647</v>
      </c>
      <c r="P17" s="348">
        <f t="shared" si="14"/>
        <v>0.16960600911077156</v>
      </c>
      <c r="Q17" s="348">
        <f>Q15/Q19</f>
        <v>0.180126982038292</v>
      </c>
      <c r="R17" s="348">
        <f t="shared" si="14"/>
        <v>0.17875661517079167</v>
      </c>
      <c r="S17" s="348">
        <f t="shared" ref="S17:X17" si="15">S15/S19</f>
        <v>0.17244673736505206</v>
      </c>
      <c r="T17" s="348">
        <f t="shared" si="15"/>
        <v>0.15830712038890479</v>
      </c>
      <c r="U17" s="348">
        <f t="shared" si="15"/>
        <v>0.14866196649230537</v>
      </c>
      <c r="V17" s="348">
        <f t="shared" si="15"/>
        <v>0.14845349101660221</v>
      </c>
      <c r="W17" s="348">
        <f t="shared" si="15"/>
        <v>0.14025915375529768</v>
      </c>
      <c r="X17" s="348">
        <f t="shared" si="15"/>
        <v>0.15215096545788201</v>
      </c>
      <c r="Y17" s="348">
        <f t="shared" ref="Y17" si="16">Y15/Y19</f>
        <v>0.15374942649832624</v>
      </c>
      <c r="Z17" s="303">
        <f t="shared" ref="Z17" si="17">Z15/Z19</f>
        <v>0.14749622586965599</v>
      </c>
      <c r="AC17" s="13"/>
      <c r="AD17" s="13"/>
      <c r="AE17" s="13"/>
    </row>
    <row r="18" spans="1:36" ht="13.5" thickBot="1" x14ac:dyDescent="0.25">
      <c r="A18" s="203" t="s">
        <v>107</v>
      </c>
      <c r="B18" s="380">
        <v>141.24799999999999</v>
      </c>
      <c r="C18" s="381">
        <v>138.71600000000001</v>
      </c>
      <c r="D18" s="382">
        <v>139.70400000000001</v>
      </c>
      <c r="E18" s="382">
        <v>134.929</v>
      </c>
      <c r="F18" s="383">
        <v>135.77699999999999</v>
      </c>
      <c r="G18" s="383">
        <v>135.5</v>
      </c>
      <c r="H18" s="383">
        <v>133.059</v>
      </c>
      <c r="I18" s="383">
        <v>131.31899999999999</v>
      </c>
      <c r="J18" s="383">
        <v>134.946</v>
      </c>
      <c r="K18" s="413">
        <v>131.517</v>
      </c>
      <c r="L18" s="413">
        <v>132.55500000000001</v>
      </c>
      <c r="M18" s="413">
        <v>130.79499999999999</v>
      </c>
      <c r="N18" s="413">
        <v>123.426</v>
      </c>
      <c r="O18" s="413">
        <v>122.809</v>
      </c>
      <c r="P18" s="413">
        <v>109.039</v>
      </c>
      <c r="Q18" s="413">
        <v>98.772999999999996</v>
      </c>
      <c r="R18" s="413">
        <v>93.352000000000004</v>
      </c>
      <c r="S18" s="413">
        <v>93.131</v>
      </c>
      <c r="T18" s="413">
        <v>92.799000000000007</v>
      </c>
      <c r="U18" s="413">
        <v>92.144000000000005</v>
      </c>
      <c r="V18" s="545">
        <v>94.144000000000005</v>
      </c>
      <c r="W18" s="545">
        <v>95.638000000000005</v>
      </c>
      <c r="X18" s="545">
        <v>96.894999999999996</v>
      </c>
      <c r="Y18" s="545">
        <v>103.679</v>
      </c>
      <c r="Z18" s="563">
        <v>110.90600000000001</v>
      </c>
      <c r="AA18" s="286"/>
      <c r="AB18" s="286"/>
      <c r="AC18" s="286"/>
      <c r="AD18" s="13"/>
      <c r="AE18" s="13"/>
    </row>
    <row r="19" spans="1:36" ht="13.5" thickBot="1" x14ac:dyDescent="0.25">
      <c r="A19" s="204" t="s">
        <v>143</v>
      </c>
      <c r="B19" s="384">
        <v>91.04</v>
      </c>
      <c r="C19" s="385">
        <v>35.066000000000003</v>
      </c>
      <c r="D19" s="386">
        <v>73.120999999999995</v>
      </c>
      <c r="E19" s="386">
        <v>74.09</v>
      </c>
      <c r="F19" s="387">
        <v>79.337999999999994</v>
      </c>
      <c r="G19" s="387">
        <v>81.674999999999997</v>
      </c>
      <c r="H19" s="387">
        <v>84.688000000000002</v>
      </c>
      <c r="I19" s="390">
        <v>85.379000000000005</v>
      </c>
      <c r="J19" s="390">
        <v>85.778999999999996</v>
      </c>
      <c r="K19" s="414">
        <v>84.317999999999998</v>
      </c>
      <c r="L19" s="414">
        <v>83.906000000000006</v>
      </c>
      <c r="M19" s="414">
        <v>81.063999999999993</v>
      </c>
      <c r="N19" s="414">
        <v>74.569999999999993</v>
      </c>
      <c r="O19" s="414">
        <v>72.606999999999999</v>
      </c>
      <c r="P19" s="533">
        <v>70.027000000000001</v>
      </c>
      <c r="Q19" s="535">
        <v>60.795999999999999</v>
      </c>
      <c r="R19" s="535">
        <v>56.121000000000002</v>
      </c>
      <c r="S19" s="535">
        <v>52.335000000000001</v>
      </c>
      <c r="T19" s="535">
        <v>52.454999999999998</v>
      </c>
      <c r="U19" s="535">
        <v>52.764000000000003</v>
      </c>
      <c r="V19" s="546">
        <v>52.764000000000003</v>
      </c>
      <c r="W19" s="546">
        <v>57.572000000000003</v>
      </c>
      <c r="X19" s="546">
        <v>61.576999999999998</v>
      </c>
      <c r="Y19" s="546">
        <v>58.848999999999997</v>
      </c>
      <c r="Z19" s="564">
        <v>62.265999999999998</v>
      </c>
      <c r="AA19" s="286"/>
      <c r="AB19" s="286"/>
      <c r="AC19" s="286"/>
      <c r="AD19" s="13"/>
      <c r="AE19" s="13"/>
    </row>
    <row r="20" spans="1:36" ht="3.75" customHeight="1" thickTop="1" x14ac:dyDescent="0.2">
      <c r="B20" s="388">
        <v>141248</v>
      </c>
      <c r="C20" s="388">
        <v>138716</v>
      </c>
      <c r="D20" s="389">
        <v>139704</v>
      </c>
      <c r="E20" s="389">
        <v>134929</v>
      </c>
      <c r="F20" s="389">
        <v>135777</v>
      </c>
      <c r="G20" s="389">
        <v>135500</v>
      </c>
      <c r="H20" s="389">
        <v>133059</v>
      </c>
      <c r="I20" s="389">
        <v>131319</v>
      </c>
      <c r="J20" s="389">
        <v>132825</v>
      </c>
      <c r="K20" s="389">
        <v>129286</v>
      </c>
      <c r="L20" s="17">
        <v>131758</v>
      </c>
      <c r="M20" s="17"/>
      <c r="N20" s="17"/>
      <c r="O20" s="17"/>
      <c r="P20" s="286"/>
      <c r="Q20" s="286"/>
      <c r="R20" s="286"/>
      <c r="S20" s="286"/>
      <c r="T20" s="286"/>
      <c r="U20" s="286"/>
      <c r="V20" s="286"/>
      <c r="W20" s="286"/>
      <c r="X20" s="286"/>
      <c r="Y20" s="286"/>
      <c r="Z20" s="286"/>
      <c r="AC20" s="13"/>
      <c r="AD20" s="13"/>
      <c r="AE20" s="13"/>
    </row>
    <row r="21" spans="1:36" ht="3.75" customHeight="1" x14ac:dyDescent="0.2">
      <c r="A21" s="396"/>
      <c r="B21" s="388">
        <v>91048</v>
      </c>
      <c r="C21" s="388">
        <v>35066</v>
      </c>
      <c r="D21" s="389">
        <v>73131</v>
      </c>
      <c r="E21" s="389">
        <v>74090</v>
      </c>
      <c r="F21" s="389">
        <v>79353</v>
      </c>
      <c r="G21" s="389">
        <v>81687</v>
      </c>
      <c r="H21" s="389">
        <v>84688</v>
      </c>
      <c r="I21" s="389">
        <v>85357</v>
      </c>
      <c r="J21" s="389">
        <v>85764</v>
      </c>
      <c r="K21" s="389">
        <v>89200</v>
      </c>
      <c r="L21" s="17"/>
      <c r="M21" s="17"/>
      <c r="N21" s="17"/>
      <c r="O21" s="17"/>
      <c r="P21" s="286"/>
      <c r="Q21" s="286"/>
      <c r="R21" s="286"/>
      <c r="S21" s="286"/>
      <c r="T21" s="286"/>
      <c r="U21" s="286"/>
      <c r="V21" s="286"/>
      <c r="W21" s="286"/>
      <c r="X21" s="286"/>
      <c r="Y21" s="286"/>
      <c r="Z21" s="286"/>
      <c r="AC21" s="13"/>
      <c r="AD21" s="13"/>
      <c r="AE21" s="13"/>
    </row>
    <row r="22" spans="1:36" x14ac:dyDescent="0.2">
      <c r="A22" s="396" t="s">
        <v>168</v>
      </c>
      <c r="B22" s="458"/>
      <c r="C22" s="458"/>
      <c r="D22" s="459"/>
      <c r="E22" s="459"/>
      <c r="F22" s="459"/>
      <c r="G22" s="459"/>
      <c r="H22" s="459"/>
      <c r="I22" s="459"/>
      <c r="J22" s="459"/>
      <c r="K22" s="459"/>
      <c r="L22" s="286"/>
      <c r="M22" s="286"/>
      <c r="N22" s="286"/>
      <c r="O22" s="286"/>
      <c r="P22" s="286"/>
      <c r="Q22" s="286"/>
      <c r="R22" s="286"/>
      <c r="S22" s="286"/>
      <c r="T22" s="286"/>
      <c r="U22" s="286"/>
      <c r="V22" s="286"/>
      <c r="W22" s="286"/>
      <c r="X22" s="286"/>
      <c r="Y22" s="286"/>
      <c r="Z22" s="286"/>
      <c r="AC22" s="13"/>
      <c r="AD22" s="13"/>
      <c r="AE22" s="13"/>
    </row>
    <row r="23" spans="1:36" x14ac:dyDescent="0.2">
      <c r="A23" s="396"/>
      <c r="B23" s="472"/>
      <c r="C23" s="472"/>
      <c r="D23" s="375"/>
      <c r="E23" s="375"/>
      <c r="F23" s="375"/>
      <c r="G23" s="375"/>
      <c r="H23" s="375"/>
      <c r="I23" s="375"/>
      <c r="J23" s="375"/>
      <c r="K23" s="375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286"/>
      <c r="AC23" s="13"/>
      <c r="AD23" s="13"/>
      <c r="AE23" s="13"/>
    </row>
    <row r="24" spans="1:36" ht="13.5" thickBot="1" x14ac:dyDescent="0.25">
      <c r="A24" s="2" t="s">
        <v>100</v>
      </c>
      <c r="J24" s="286"/>
      <c r="K24" s="286"/>
      <c r="L24" s="286"/>
      <c r="M24" s="286"/>
      <c r="N24" s="286"/>
      <c r="O24" s="286"/>
      <c r="P24" s="286"/>
      <c r="Q24" s="286"/>
      <c r="R24" s="286"/>
      <c r="S24" s="286"/>
      <c r="T24" s="286"/>
      <c r="U24" s="286"/>
      <c r="V24" s="286"/>
      <c r="W24" s="286"/>
      <c r="X24" s="286"/>
      <c r="Y24" s="286"/>
      <c r="Z24" s="286"/>
    </row>
    <row r="25" spans="1:36" ht="14.25" thickTop="1" thickBot="1" x14ac:dyDescent="0.25">
      <c r="A25" s="3"/>
      <c r="B25" s="95" t="s">
        <v>11</v>
      </c>
      <c r="C25" s="87" t="s">
        <v>4</v>
      </c>
      <c r="D25" s="96" t="s">
        <v>5</v>
      </c>
      <c r="E25" s="96" t="s">
        <v>41</v>
      </c>
      <c r="F25" s="291" t="s">
        <v>53</v>
      </c>
      <c r="G25" s="291" t="s">
        <v>54</v>
      </c>
      <c r="H25" s="291" t="s">
        <v>76</v>
      </c>
      <c r="I25" s="291" t="s">
        <v>84</v>
      </c>
      <c r="J25" s="291" t="s">
        <v>87</v>
      </c>
      <c r="K25" s="287" t="s">
        <v>89</v>
      </c>
      <c r="L25" s="287" t="s">
        <v>108</v>
      </c>
      <c r="M25" s="287" t="s">
        <v>118</v>
      </c>
      <c r="N25" s="287" t="s">
        <v>121</v>
      </c>
      <c r="O25" s="287" t="s">
        <v>132</v>
      </c>
      <c r="P25" s="287" t="s">
        <v>134</v>
      </c>
      <c r="Q25" s="287" t="s">
        <v>137</v>
      </c>
      <c r="R25" s="287" t="s">
        <v>139</v>
      </c>
      <c r="S25" s="287" t="s">
        <v>141</v>
      </c>
      <c r="T25" s="287" t="str">
        <f>T2</f>
        <v>2017/18</v>
      </c>
      <c r="U25" s="287" t="str">
        <f>U2</f>
        <v>2018/19</v>
      </c>
      <c r="V25" s="287" t="str">
        <f>V2</f>
        <v>2019/20</v>
      </c>
      <c r="W25" s="287" t="s">
        <v>152</v>
      </c>
      <c r="X25" s="287" t="s">
        <v>154</v>
      </c>
      <c r="Y25" s="287" t="s">
        <v>156</v>
      </c>
      <c r="Z25" s="323" t="s">
        <v>157</v>
      </c>
      <c r="AA25" s="286"/>
      <c r="AB25" s="286"/>
    </row>
    <row r="26" spans="1:36" ht="13.5" thickTop="1" x14ac:dyDescent="0.2">
      <c r="A26" s="200" t="s">
        <v>12</v>
      </c>
      <c r="B26" s="97">
        <v>22.8</v>
      </c>
      <c r="C26" s="97">
        <v>12.6</v>
      </c>
      <c r="D26" s="461">
        <v>18</v>
      </c>
      <c r="E26" s="244">
        <v>19.402000000000001</v>
      </c>
      <c r="F26" s="292">
        <v>21.302</v>
      </c>
      <c r="G26" s="292">
        <v>18.100000000000001</v>
      </c>
      <c r="H26" s="292">
        <v>16.8</v>
      </c>
      <c r="I26" s="292">
        <v>14.3</v>
      </c>
      <c r="J26" s="292">
        <v>13.4</v>
      </c>
      <c r="K26" s="411">
        <v>12.999000000000001</v>
      </c>
      <c r="L26" s="411">
        <v>13.379</v>
      </c>
      <c r="M26" s="411">
        <v>14.212</v>
      </c>
      <c r="N26" s="411">
        <v>13.177</v>
      </c>
      <c r="O26" s="411">
        <f>+'voš_druh studia '!C57/1000</f>
        <v>12.948</v>
      </c>
      <c r="P26" s="411">
        <f>+'voš_druh studia '!C61/1000</f>
        <v>12.647</v>
      </c>
      <c r="Q26" s="411">
        <f>+'voš_druh studia '!C65/1000</f>
        <v>11.516</v>
      </c>
      <c r="R26" s="411">
        <f>+'voš_druh studia '!C69/1000</f>
        <v>10.145</v>
      </c>
      <c r="S26" s="411">
        <f>+'voš_druh studia '!C73/1000</f>
        <v>8.8810000000000002</v>
      </c>
      <c r="T26" s="411">
        <f>+'voš_druh studia '!C77/1000</f>
        <v>7.657</v>
      </c>
      <c r="U26" s="411">
        <f>+'voš_druh studia '!C81/1000</f>
        <v>7.1050000000000004</v>
      </c>
      <c r="V26" s="411">
        <f>+'voš_druh studia '!C85/1000</f>
        <v>7.0449999999999999</v>
      </c>
      <c r="W26" s="411">
        <f>+'voš_druh studia '!C89/1000</f>
        <v>7.3979999999999997</v>
      </c>
      <c r="X26" s="411">
        <f>+'voš_druh studia '!C93/1000</f>
        <v>8.4629999999999992</v>
      </c>
      <c r="Y26" s="411">
        <f>+'voš_druh studia '!C97/1000</f>
        <v>8.8160000000000007</v>
      </c>
      <c r="Z26" s="528">
        <f>+'voš_druh studia '!C101/1000</f>
        <v>8.8940000000000001</v>
      </c>
      <c r="AA26" s="286"/>
      <c r="AB26" s="286"/>
    </row>
    <row r="27" spans="1:36" x14ac:dyDescent="0.2">
      <c r="A27" s="198" t="s">
        <v>106</v>
      </c>
      <c r="B27" s="262">
        <f t="shared" ref="B27:K27" si="18">B26*1000/B34</f>
        <v>0.16141821477118259</v>
      </c>
      <c r="C27" s="262">
        <f t="shared" si="18"/>
        <v>9.0833069004296552E-2</v>
      </c>
      <c r="D27" s="345">
        <f t="shared" si="18"/>
        <v>0.12884384126438755</v>
      </c>
      <c r="E27" s="345">
        <f t="shared" si="18"/>
        <v>0.14379414358662704</v>
      </c>
      <c r="F27" s="346">
        <f t="shared" si="18"/>
        <v>0.15688960575060576</v>
      </c>
      <c r="G27" s="346">
        <f t="shared" si="18"/>
        <v>0.13357933579335793</v>
      </c>
      <c r="H27" s="346">
        <f t="shared" si="18"/>
        <v>0.12625977949631367</v>
      </c>
      <c r="I27" s="346">
        <f t="shared" si="18"/>
        <v>0.10889513322519971</v>
      </c>
      <c r="J27" s="346">
        <f t="shared" si="18"/>
        <v>0.10088462262375306</v>
      </c>
      <c r="K27" s="263">
        <f t="shared" si="18"/>
        <v>0.10054452918336092</v>
      </c>
      <c r="L27" s="263">
        <f>L26/L32</f>
        <v>0.10093168873297875</v>
      </c>
      <c r="M27" s="263">
        <v>0.10865443425076451</v>
      </c>
      <c r="N27" s="263">
        <f t="shared" ref="N27:S27" si="19">N26/N32</f>
        <v>0.10676032602531071</v>
      </c>
      <c r="O27" s="263">
        <f t="shared" si="19"/>
        <v>0.10543201231180126</v>
      </c>
      <c r="P27" s="263">
        <f t="shared" si="19"/>
        <v>0.11598602334944377</v>
      </c>
      <c r="Q27" s="263">
        <f t="shared" si="19"/>
        <v>0.11659056624786127</v>
      </c>
      <c r="R27" s="263">
        <f t="shared" si="19"/>
        <v>0.10867469363270202</v>
      </c>
      <c r="S27" s="263">
        <f t="shared" si="19"/>
        <v>9.5360298933759968E-2</v>
      </c>
      <c r="T27" s="263">
        <f t="shared" ref="T27:Z27" si="20">T26/T32</f>
        <v>8.2511664996390038E-2</v>
      </c>
      <c r="U27" s="263">
        <f t="shared" si="20"/>
        <v>7.7107570758812291E-2</v>
      </c>
      <c r="V27" s="263">
        <f t="shared" si="20"/>
        <v>7.4832171991842278E-2</v>
      </c>
      <c r="W27" s="263">
        <f t="shared" si="20"/>
        <v>7.7354189757209466E-2</v>
      </c>
      <c r="X27" s="263">
        <f t="shared" si="20"/>
        <v>8.7341968109809584E-2</v>
      </c>
      <c r="Y27" s="263">
        <f t="shared" si="20"/>
        <v>8.5031684333375129E-2</v>
      </c>
      <c r="Z27" s="529">
        <f t="shared" si="20"/>
        <v>8.0194038194507059E-2</v>
      </c>
      <c r="AA27" s="286"/>
      <c r="AB27" s="286"/>
    </row>
    <row r="28" spans="1:36" x14ac:dyDescent="0.2">
      <c r="A28" s="201" t="s">
        <v>13</v>
      </c>
      <c r="B28" s="265">
        <f t="shared" ref="B28:K28" si="21">B26*1000/B35</f>
        <v>0.25041736227045075</v>
      </c>
      <c r="C28" s="265">
        <f t="shared" si="21"/>
        <v>0.35932242057833796</v>
      </c>
      <c r="D28" s="265">
        <f t="shared" si="21"/>
        <v>0.24613365057226075</v>
      </c>
      <c r="E28" s="265">
        <f t="shared" si="21"/>
        <v>0.26187069779997302</v>
      </c>
      <c r="F28" s="266">
        <f t="shared" si="21"/>
        <v>0.26844605748994999</v>
      </c>
      <c r="G28" s="266">
        <f t="shared" si="21"/>
        <v>0.2215774847895014</v>
      </c>
      <c r="H28" s="266">
        <f t="shared" si="21"/>
        <v>0.19837521254487059</v>
      </c>
      <c r="I28" s="266">
        <f t="shared" si="21"/>
        <v>0.16753166114085546</v>
      </c>
      <c r="J28" s="266">
        <f t="shared" si="21"/>
        <v>0.15624271256004851</v>
      </c>
      <c r="K28" s="266">
        <f t="shared" si="21"/>
        <v>0.1457286995515695</v>
      </c>
      <c r="L28" s="266">
        <f t="shared" ref="L28:R28" si="22">L26/L33</f>
        <v>0.15945224417800871</v>
      </c>
      <c r="M28" s="266">
        <f t="shared" si="22"/>
        <v>0.17531826704825818</v>
      </c>
      <c r="N28" s="266">
        <f t="shared" si="22"/>
        <v>0.17670645031514015</v>
      </c>
      <c r="O28" s="266">
        <f t="shared" si="22"/>
        <v>0.17832991309377885</v>
      </c>
      <c r="P28" s="266">
        <f t="shared" si="22"/>
        <v>0.18060176788952834</v>
      </c>
      <c r="Q28" s="266">
        <f>Q26/Q33</f>
        <v>0.18942035660240805</v>
      </c>
      <c r="R28" s="266">
        <f t="shared" si="22"/>
        <v>0.18077012170132392</v>
      </c>
      <c r="S28" s="266">
        <f t="shared" ref="S28:X28" si="23">S26/S33</f>
        <v>0.1696952326359033</v>
      </c>
      <c r="T28" s="266">
        <f t="shared" si="23"/>
        <v>0.1459727385377943</v>
      </c>
      <c r="U28" s="266">
        <f t="shared" si="23"/>
        <v>0.13465620498824957</v>
      </c>
      <c r="V28" s="266">
        <f t="shared" si="23"/>
        <v>0.13351906602986885</v>
      </c>
      <c r="W28" s="266">
        <f t="shared" si="23"/>
        <v>0.12849996526089069</v>
      </c>
      <c r="X28" s="266">
        <f t="shared" si="23"/>
        <v>0.13743767965311723</v>
      </c>
      <c r="Y28" s="266">
        <f t="shared" ref="Y28:Z28" si="24">Y26/Y33</f>
        <v>0.14980713351118968</v>
      </c>
      <c r="Z28" s="530">
        <f t="shared" si="24"/>
        <v>0.14283878842385894</v>
      </c>
      <c r="AA28" s="286"/>
      <c r="AB28" s="286"/>
    </row>
    <row r="29" spans="1:36" x14ac:dyDescent="0.2">
      <c r="A29" s="200" t="s">
        <v>14</v>
      </c>
      <c r="B29" s="102">
        <v>12.1</v>
      </c>
      <c r="C29" s="102">
        <v>6.9</v>
      </c>
      <c r="D29" s="460">
        <v>10.199999999999999</v>
      </c>
      <c r="E29" s="251">
        <v>10.736000000000001</v>
      </c>
      <c r="F29" s="294">
        <v>11.384</v>
      </c>
      <c r="G29" s="294">
        <v>9.94</v>
      </c>
      <c r="H29" s="294">
        <v>9.5</v>
      </c>
      <c r="I29" s="294">
        <v>9.1</v>
      </c>
      <c r="J29" s="294">
        <v>8.6</v>
      </c>
      <c r="K29" s="412">
        <v>8.2119999999999997</v>
      </c>
      <c r="L29" s="412">
        <v>8.7859999999999996</v>
      </c>
      <c r="M29" s="412">
        <v>9.4359999999999999</v>
      </c>
      <c r="N29" s="412">
        <v>8.7119999999999997</v>
      </c>
      <c r="O29" s="412">
        <f>+'voš_druh studia '!I57/1000</f>
        <v>8.9090000000000007</v>
      </c>
      <c r="P29" s="412">
        <f>+'voš_druh studia '!I61/1000</f>
        <v>8.7149999999999999</v>
      </c>
      <c r="Q29" s="412">
        <f>+'voš_druh studia '!I65/1000</f>
        <v>8.1440000000000001</v>
      </c>
      <c r="R29" s="412">
        <f>+'voš_druh studia '!I69/1000</f>
        <v>7.1340000000000003</v>
      </c>
      <c r="S29" s="412">
        <f>+'voš_druh studia '!I73/1000</f>
        <v>6.3419999999999996</v>
      </c>
      <c r="T29" s="412">
        <f>+'voš_druh studia '!I77/1000</f>
        <v>5.4489999999999998</v>
      </c>
      <c r="U29" s="412">
        <f>+'voš_druh studia '!I81/1000</f>
        <v>5.08</v>
      </c>
      <c r="V29" s="412">
        <f>+'voš_druh studia '!I85/1000</f>
        <v>5.0810000000000004</v>
      </c>
      <c r="W29" s="412">
        <f>+'voš_druh studia '!I89/1000</f>
        <v>5.266</v>
      </c>
      <c r="X29" s="412">
        <f>+'voš_druh studia '!I93/1000</f>
        <v>6.1070000000000002</v>
      </c>
      <c r="Y29" s="412">
        <f>+'voš_druh studia '!I97/1000</f>
        <v>5.9640000000000004</v>
      </c>
      <c r="Z29" s="531">
        <f>+'voš_druh studia '!I101/1000</f>
        <v>6.0129999999999999</v>
      </c>
      <c r="AA29" s="286"/>
      <c r="AB29" s="286"/>
    </row>
    <row r="30" spans="1:36" x14ac:dyDescent="0.2">
      <c r="A30" s="198" t="s">
        <v>106</v>
      </c>
      <c r="B30" s="262">
        <f t="shared" ref="B30:K30" si="25">B29*1000/B34</f>
        <v>8.5664929768917084E-2</v>
      </c>
      <c r="C30" s="262">
        <f t="shared" si="25"/>
        <v>4.9741918740448109E-2</v>
      </c>
      <c r="D30" s="345">
        <f t="shared" si="25"/>
        <v>7.3011510049819622E-2</v>
      </c>
      <c r="E30" s="345">
        <f t="shared" si="25"/>
        <v>7.9567772680446749E-2</v>
      </c>
      <c r="F30" s="346">
        <f t="shared" si="25"/>
        <v>8.3843360804849124E-2</v>
      </c>
      <c r="G30" s="346">
        <f t="shared" si="25"/>
        <v>7.3357933579335788E-2</v>
      </c>
      <c r="H30" s="346">
        <f t="shared" si="25"/>
        <v>7.1396899119939281E-2</v>
      </c>
      <c r="I30" s="346">
        <f t="shared" si="25"/>
        <v>6.9296902961490728E-2</v>
      </c>
      <c r="J30" s="346">
        <f t="shared" si="25"/>
        <v>6.4746847355543008E-2</v>
      </c>
      <c r="K30" s="263">
        <f t="shared" si="25"/>
        <v>6.3518091672725582E-2</v>
      </c>
      <c r="L30" s="263">
        <f>L29/L32</f>
        <v>6.6281920712157216E-2</v>
      </c>
      <c r="M30" s="263">
        <v>7.2140672782874615E-2</v>
      </c>
      <c r="N30" s="263">
        <f t="shared" ref="N30:S30" si="26">N29/N32</f>
        <v>7.0584803850080202E-2</v>
      </c>
      <c r="O30" s="263">
        <f t="shared" si="26"/>
        <v>7.2543543225659368E-2</v>
      </c>
      <c r="P30" s="263">
        <f t="shared" si="26"/>
        <v>7.9925531231944527E-2</v>
      </c>
      <c r="Q30" s="263">
        <f t="shared" si="26"/>
        <v>8.2451682139856042E-2</v>
      </c>
      <c r="R30" s="263">
        <f t="shared" si="26"/>
        <v>7.6420430199674358E-2</v>
      </c>
      <c r="S30" s="263">
        <f t="shared" si="26"/>
        <v>6.8097625924772628E-2</v>
      </c>
      <c r="T30" s="263">
        <f t="shared" ref="T30:Z30" si="27">T29/T32</f>
        <v>5.8718305154150364E-2</v>
      </c>
      <c r="U30" s="263">
        <f t="shared" si="27"/>
        <v>5.5131099149157835E-2</v>
      </c>
      <c r="V30" s="263">
        <f t="shared" si="27"/>
        <v>5.3970513256288238E-2</v>
      </c>
      <c r="W30" s="263">
        <f t="shared" si="27"/>
        <v>5.5061795520608962E-2</v>
      </c>
      <c r="X30" s="263">
        <f t="shared" si="27"/>
        <v>6.3026987976675788E-2</v>
      </c>
      <c r="Y30" s="263">
        <f t="shared" si="27"/>
        <v>5.7523702967814123E-2</v>
      </c>
      <c r="Z30" s="529">
        <f t="shared" si="27"/>
        <v>5.4217084738427131E-2</v>
      </c>
      <c r="AA30" s="286"/>
      <c r="AB30" s="286"/>
    </row>
    <row r="31" spans="1:36" ht="13.5" thickBot="1" x14ac:dyDescent="0.25">
      <c r="A31" s="202" t="s">
        <v>13</v>
      </c>
      <c r="B31" s="347">
        <f t="shared" ref="B31:K31" si="28">B29*1000/B35</f>
        <v>0.13289693348563394</v>
      </c>
      <c r="C31" s="347">
        <f t="shared" si="28"/>
        <v>0.19677180174528033</v>
      </c>
      <c r="D31" s="347">
        <f t="shared" si="28"/>
        <v>0.13947573532428109</v>
      </c>
      <c r="E31" s="347">
        <f t="shared" si="28"/>
        <v>0.14490484545822649</v>
      </c>
      <c r="F31" s="348">
        <f t="shared" si="28"/>
        <v>0.14346023464771337</v>
      </c>
      <c r="G31" s="348">
        <f t="shared" si="28"/>
        <v>0.12168398888440021</v>
      </c>
      <c r="H31" s="348">
        <f t="shared" si="28"/>
        <v>0.11217645947477801</v>
      </c>
      <c r="I31" s="348">
        <f t="shared" si="28"/>
        <v>0.10661105708963529</v>
      </c>
      <c r="J31" s="348">
        <f t="shared" si="28"/>
        <v>0.10027517373256845</v>
      </c>
      <c r="K31" s="348">
        <f t="shared" si="28"/>
        <v>9.20627802690583E-2</v>
      </c>
      <c r="L31" s="348">
        <f t="shared" ref="L31:R31" si="29">L29/L33</f>
        <v>0.10471241627535574</v>
      </c>
      <c r="M31" s="348">
        <f t="shared" si="29"/>
        <v>0.1164018553241883</v>
      </c>
      <c r="N31" s="348">
        <f t="shared" si="29"/>
        <v>0.11682982432613652</v>
      </c>
      <c r="O31" s="348">
        <f t="shared" si="29"/>
        <v>0.12270166788326195</v>
      </c>
      <c r="P31" s="348">
        <f t="shared" si="29"/>
        <v>0.12445199708683793</v>
      </c>
      <c r="Q31" s="348">
        <f>Q29/Q33</f>
        <v>0.13395618132771894</v>
      </c>
      <c r="R31" s="348">
        <f t="shared" si="29"/>
        <v>0.12711819105147806</v>
      </c>
      <c r="S31" s="348">
        <f t="shared" ref="S31:X31" si="30">S29/S33</f>
        <v>0.12118085411292633</v>
      </c>
      <c r="T31" s="348">
        <f t="shared" si="30"/>
        <v>0.10387951577542656</v>
      </c>
      <c r="U31" s="348">
        <f t="shared" si="30"/>
        <v>9.6277765142900457E-2</v>
      </c>
      <c r="V31" s="348">
        <f t="shared" si="30"/>
        <v>9.6296717458873471E-2</v>
      </c>
      <c r="W31" s="348">
        <f t="shared" si="30"/>
        <v>9.1468074758563181E-2</v>
      </c>
      <c r="X31" s="348">
        <f t="shared" si="30"/>
        <v>9.9176640628806212E-2</v>
      </c>
      <c r="Y31" s="348">
        <f t="shared" ref="Y31:Z31" si="31">Y29/Y33</f>
        <v>0.10134411799690735</v>
      </c>
      <c r="Z31" s="532">
        <f t="shared" si="31"/>
        <v>9.6569556419233607E-2</v>
      </c>
      <c r="AA31" s="286"/>
      <c r="AB31" s="286"/>
      <c r="AG31" s="9"/>
      <c r="AH31" s="9"/>
      <c r="AI31" s="9"/>
      <c r="AJ31" s="7"/>
    </row>
    <row r="32" spans="1:36" ht="13.5" thickBot="1" x14ac:dyDescent="0.25">
      <c r="A32" s="203" t="s">
        <v>107</v>
      </c>
      <c r="B32" s="380">
        <v>141.24799999999999</v>
      </c>
      <c r="C32" s="381">
        <v>138.71600000000001</v>
      </c>
      <c r="D32" s="382">
        <v>139.70400000000001</v>
      </c>
      <c r="E32" s="382">
        <v>134.929</v>
      </c>
      <c r="F32" s="383">
        <v>135.77699999999999</v>
      </c>
      <c r="G32" s="383">
        <f>+G18</f>
        <v>135.5</v>
      </c>
      <c r="H32" s="383">
        <f t="shared" ref="H32:P32" si="32">+H18</f>
        <v>133.059</v>
      </c>
      <c r="I32" s="383">
        <f t="shared" si="32"/>
        <v>131.31899999999999</v>
      </c>
      <c r="J32" s="383">
        <f t="shared" si="32"/>
        <v>134.946</v>
      </c>
      <c r="K32" s="413">
        <f t="shared" si="32"/>
        <v>131.517</v>
      </c>
      <c r="L32" s="413">
        <f t="shared" si="32"/>
        <v>132.55500000000001</v>
      </c>
      <c r="M32" s="413">
        <f t="shared" si="32"/>
        <v>130.79499999999999</v>
      </c>
      <c r="N32" s="413">
        <f t="shared" si="32"/>
        <v>123.426</v>
      </c>
      <c r="O32" s="413">
        <f>+O18</f>
        <v>122.809</v>
      </c>
      <c r="P32" s="413">
        <f t="shared" si="32"/>
        <v>109.039</v>
      </c>
      <c r="Q32" s="413">
        <f t="shared" ref="Q32:S33" si="33">+Q18</f>
        <v>98.772999999999996</v>
      </c>
      <c r="R32" s="413">
        <f t="shared" si="33"/>
        <v>93.352000000000004</v>
      </c>
      <c r="S32" s="413">
        <f t="shared" si="33"/>
        <v>93.131</v>
      </c>
      <c r="T32" s="413">
        <f t="shared" ref="T32:V33" si="34">+T18</f>
        <v>92.799000000000007</v>
      </c>
      <c r="U32" s="413">
        <f t="shared" si="34"/>
        <v>92.144000000000005</v>
      </c>
      <c r="V32" s="413">
        <f t="shared" si="34"/>
        <v>94.144000000000005</v>
      </c>
      <c r="W32" s="413">
        <f t="shared" ref="W32:X32" si="35">+W18</f>
        <v>95.638000000000005</v>
      </c>
      <c r="X32" s="413">
        <f t="shared" si="35"/>
        <v>96.894999999999996</v>
      </c>
      <c r="Y32" s="413">
        <f t="shared" ref="Y32" si="36">+Y18</f>
        <v>103.679</v>
      </c>
      <c r="Z32" s="556">
        <f t="shared" ref="Z32" si="37">+Z18</f>
        <v>110.90600000000001</v>
      </c>
      <c r="AA32" s="286"/>
      <c r="AB32" s="286"/>
      <c r="AG32" s="9"/>
      <c r="AH32" s="9"/>
      <c r="AI32" s="9"/>
      <c r="AJ32" s="10"/>
    </row>
    <row r="33" spans="1:28" ht="13.5" thickBot="1" x14ac:dyDescent="0.25">
      <c r="A33" s="204" t="s">
        <v>143</v>
      </c>
      <c r="B33" s="384">
        <v>91.048000000000002</v>
      </c>
      <c r="C33" s="385">
        <v>35.066000000000003</v>
      </c>
      <c r="D33" s="386">
        <v>73.131</v>
      </c>
      <c r="E33" s="386">
        <v>74.09</v>
      </c>
      <c r="F33" s="387">
        <v>79.352999999999994</v>
      </c>
      <c r="G33" s="387">
        <f t="shared" ref="G33:P33" si="38">+G19</f>
        <v>81.674999999999997</v>
      </c>
      <c r="H33" s="387">
        <f t="shared" si="38"/>
        <v>84.688000000000002</v>
      </c>
      <c r="I33" s="390">
        <f t="shared" si="38"/>
        <v>85.379000000000005</v>
      </c>
      <c r="J33" s="390">
        <f t="shared" si="38"/>
        <v>85.778999999999996</v>
      </c>
      <c r="K33" s="414">
        <f t="shared" si="38"/>
        <v>84.317999999999998</v>
      </c>
      <c r="L33" s="414">
        <f t="shared" si="38"/>
        <v>83.906000000000006</v>
      </c>
      <c r="M33" s="414">
        <f t="shared" si="38"/>
        <v>81.063999999999993</v>
      </c>
      <c r="N33" s="414">
        <f t="shared" si="38"/>
        <v>74.569999999999993</v>
      </c>
      <c r="O33" s="414">
        <f>+O19</f>
        <v>72.606999999999999</v>
      </c>
      <c r="P33" s="414">
        <f t="shared" si="38"/>
        <v>70.027000000000001</v>
      </c>
      <c r="Q33" s="533">
        <f t="shared" si="33"/>
        <v>60.795999999999999</v>
      </c>
      <c r="R33" s="533">
        <f t="shared" si="33"/>
        <v>56.121000000000002</v>
      </c>
      <c r="S33" s="533">
        <f t="shared" si="33"/>
        <v>52.335000000000001</v>
      </c>
      <c r="T33" s="533">
        <f t="shared" si="34"/>
        <v>52.454999999999998</v>
      </c>
      <c r="U33" s="533">
        <f t="shared" si="34"/>
        <v>52.764000000000003</v>
      </c>
      <c r="V33" s="533">
        <f t="shared" si="34"/>
        <v>52.764000000000003</v>
      </c>
      <c r="W33" s="533">
        <f t="shared" ref="W33:X33" si="39">+W19</f>
        <v>57.572000000000003</v>
      </c>
      <c r="X33" s="533">
        <f t="shared" si="39"/>
        <v>61.576999999999998</v>
      </c>
      <c r="Y33" s="533">
        <f t="shared" ref="Y33" si="40">+Y19</f>
        <v>58.848999999999997</v>
      </c>
      <c r="Z33" s="534">
        <f t="shared" ref="Z33" si="41">+Z19</f>
        <v>62.265999999999998</v>
      </c>
      <c r="AA33" s="286"/>
      <c r="AB33" s="286"/>
    </row>
    <row r="34" spans="1:28" ht="3.75" customHeight="1" thickTop="1" x14ac:dyDescent="0.2">
      <c r="A34" s="373"/>
      <c r="B34" s="458">
        <v>141248</v>
      </c>
      <c r="C34" s="458">
        <v>138716</v>
      </c>
      <c r="D34" s="459">
        <v>139704</v>
      </c>
      <c r="E34" s="459">
        <v>134929</v>
      </c>
      <c r="F34" s="459">
        <v>135777</v>
      </c>
      <c r="G34" s="459">
        <v>135500</v>
      </c>
      <c r="H34" s="459">
        <v>133059</v>
      </c>
      <c r="I34" s="459">
        <v>131319</v>
      </c>
      <c r="J34" s="459">
        <v>132825</v>
      </c>
      <c r="K34" s="459">
        <v>129286</v>
      </c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</row>
    <row r="35" spans="1:28" ht="3.75" customHeight="1" x14ac:dyDescent="0.2">
      <c r="A35" s="312"/>
      <c r="B35" s="388">
        <v>91048</v>
      </c>
      <c r="C35" s="388">
        <v>35066</v>
      </c>
      <c r="D35" s="389">
        <v>73131</v>
      </c>
      <c r="E35" s="389">
        <v>74090</v>
      </c>
      <c r="F35" s="389">
        <v>79353</v>
      </c>
      <c r="G35" s="389">
        <v>81687</v>
      </c>
      <c r="H35" s="389">
        <v>84688</v>
      </c>
      <c r="I35" s="391">
        <v>85357</v>
      </c>
      <c r="J35" s="391">
        <v>85764</v>
      </c>
      <c r="K35" s="391">
        <v>89200</v>
      </c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</row>
    <row r="36" spans="1:28" ht="12.75" customHeight="1" x14ac:dyDescent="0.2">
      <c r="A36" s="396" t="s">
        <v>168</v>
      </c>
      <c r="B36" s="458"/>
      <c r="C36" s="458"/>
      <c r="D36" s="459"/>
      <c r="E36" s="459"/>
      <c r="F36" s="459"/>
      <c r="G36" s="459"/>
      <c r="H36" s="459"/>
      <c r="I36" s="459"/>
      <c r="J36" s="459"/>
      <c r="K36" s="459"/>
      <c r="L36" s="286"/>
      <c r="M36" s="286"/>
      <c r="N36" s="286"/>
      <c r="O36" s="286"/>
      <c r="P36" s="286"/>
      <c r="Q36" s="286"/>
      <c r="R36" s="286"/>
      <c r="S36" s="286"/>
      <c r="T36" s="286"/>
      <c r="U36" s="286"/>
      <c r="V36" s="286"/>
      <c r="W36" s="286"/>
    </row>
    <row r="37" spans="1:28" x14ac:dyDescent="0.2">
      <c r="A37" s="39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</row>
    <row r="38" spans="1:28" ht="13.5" thickBot="1" x14ac:dyDescent="0.25">
      <c r="A38" s="374" t="s">
        <v>160</v>
      </c>
    </row>
    <row r="39" spans="1:28" ht="17.25" customHeight="1" thickTop="1" x14ac:dyDescent="0.2">
      <c r="A39" s="11"/>
      <c r="B39" s="328" t="s">
        <v>0</v>
      </c>
      <c r="C39" s="328"/>
      <c r="D39" s="328"/>
      <c r="E39" s="328"/>
      <c r="F39" s="328"/>
      <c r="G39" s="328"/>
      <c r="H39" s="328"/>
      <c r="I39" s="328"/>
      <c r="J39" s="328"/>
      <c r="K39" s="328"/>
      <c r="L39" s="328"/>
      <c r="M39" s="560" t="s">
        <v>48</v>
      </c>
    </row>
    <row r="40" spans="1:28" ht="24.75" customHeight="1" thickBot="1" x14ac:dyDescent="0.25">
      <c r="A40" s="12"/>
      <c r="B40" s="75">
        <v>1</v>
      </c>
      <c r="C40" s="76">
        <v>2</v>
      </c>
      <c r="D40" s="76">
        <v>3</v>
      </c>
      <c r="E40" s="76">
        <v>4</v>
      </c>
      <c r="F40" s="76">
        <v>5</v>
      </c>
      <c r="G40" s="76">
        <v>6</v>
      </c>
      <c r="H40" s="76">
        <v>7</v>
      </c>
      <c r="I40" s="76">
        <v>8</v>
      </c>
      <c r="J40" s="76">
        <v>9</v>
      </c>
      <c r="K40" s="76" t="s">
        <v>6</v>
      </c>
      <c r="L40" s="77" t="s">
        <v>26</v>
      </c>
      <c r="M40" s="561"/>
    </row>
    <row r="41" spans="1:28" ht="13.5" thickTop="1" x14ac:dyDescent="0.2">
      <c r="A41" s="205" t="s">
        <v>11</v>
      </c>
      <c r="B41" s="180">
        <v>16974</v>
      </c>
      <c r="C41" s="181">
        <v>4983</v>
      </c>
      <c r="D41" s="181">
        <v>1800</v>
      </c>
      <c r="E41" s="181">
        <v>561</v>
      </c>
      <c r="F41" s="181">
        <v>143</v>
      </c>
      <c r="G41" s="181">
        <v>56</v>
      </c>
      <c r="H41" s="181">
        <v>17</v>
      </c>
      <c r="I41" s="181">
        <v>9</v>
      </c>
      <c r="J41" s="181">
        <v>4</v>
      </c>
      <c r="K41" s="181">
        <v>4</v>
      </c>
      <c r="L41" s="79">
        <v>1.46</v>
      </c>
      <c r="M41" s="41">
        <v>24551</v>
      </c>
    </row>
    <row r="42" spans="1:28" x14ac:dyDescent="0.2">
      <c r="A42" s="205" t="s">
        <v>4</v>
      </c>
      <c r="B42" s="182">
        <v>11408</v>
      </c>
      <c r="C42" s="183">
        <v>2757</v>
      </c>
      <c r="D42" s="183">
        <v>868</v>
      </c>
      <c r="E42" s="183">
        <v>241</v>
      </c>
      <c r="F42" s="183">
        <v>94</v>
      </c>
      <c r="G42" s="183">
        <v>20</v>
      </c>
      <c r="H42" s="183">
        <v>9</v>
      </c>
      <c r="I42" s="183">
        <v>6</v>
      </c>
      <c r="J42" s="183">
        <v>1</v>
      </c>
      <c r="K42" s="183">
        <v>2</v>
      </c>
      <c r="L42" s="81">
        <v>1.38</v>
      </c>
      <c r="M42" s="82">
        <v>15406</v>
      </c>
      <c r="N42" s="459"/>
      <c r="O42" s="459"/>
      <c r="P42" s="8"/>
      <c r="Q42" s="8"/>
      <c r="AB42" s="286"/>
    </row>
    <row r="43" spans="1:28" x14ac:dyDescent="0.2">
      <c r="A43" s="206" t="s">
        <v>5</v>
      </c>
      <c r="B43" s="182">
        <v>14880</v>
      </c>
      <c r="C43" s="183">
        <v>3747</v>
      </c>
      <c r="D43" s="183">
        <v>1173</v>
      </c>
      <c r="E43" s="183">
        <v>361</v>
      </c>
      <c r="F43" s="183">
        <v>98</v>
      </c>
      <c r="G43" s="183">
        <v>43</v>
      </c>
      <c r="H43" s="183">
        <v>12</v>
      </c>
      <c r="I43" s="183">
        <v>3</v>
      </c>
      <c r="J43" s="183">
        <v>2</v>
      </c>
      <c r="K43" s="183">
        <v>0</v>
      </c>
      <c r="L43" s="83">
        <v>1.4</v>
      </c>
      <c r="M43" s="82">
        <v>20319</v>
      </c>
      <c r="N43" s="459"/>
      <c r="O43" s="459"/>
      <c r="P43" s="8"/>
      <c r="Q43" s="8"/>
      <c r="AB43" s="286"/>
    </row>
    <row r="44" spans="1:28" x14ac:dyDescent="0.2">
      <c r="A44" s="218" t="s">
        <v>41</v>
      </c>
      <c r="B44" s="219">
        <v>16918</v>
      </c>
      <c r="C44" s="220">
        <v>3869</v>
      </c>
      <c r="D44" s="220">
        <v>1070</v>
      </c>
      <c r="E44" s="220">
        <v>272</v>
      </c>
      <c r="F44" s="220">
        <v>62</v>
      </c>
      <c r="G44" s="220">
        <v>18</v>
      </c>
      <c r="H44" s="220">
        <v>10</v>
      </c>
      <c r="I44" s="220">
        <v>1</v>
      </c>
      <c r="J44" s="220">
        <v>0</v>
      </c>
      <c r="K44" s="220">
        <v>0</v>
      </c>
      <c r="L44" s="221">
        <v>1.3</v>
      </c>
      <c r="M44" s="222">
        <v>22220</v>
      </c>
      <c r="N44" s="459"/>
      <c r="O44" s="459"/>
      <c r="P44" s="8"/>
      <c r="Q44" s="8"/>
      <c r="AB44" s="286"/>
    </row>
    <row r="45" spans="1:28" x14ac:dyDescent="0.2">
      <c r="A45" s="218" t="s">
        <v>53</v>
      </c>
      <c r="B45" s="219">
        <v>18307</v>
      </c>
      <c r="C45" s="220">
        <v>4304</v>
      </c>
      <c r="D45" s="220">
        <v>1291</v>
      </c>
      <c r="E45" s="220">
        <v>338</v>
      </c>
      <c r="F45" s="220">
        <v>73</v>
      </c>
      <c r="G45" s="220">
        <v>19</v>
      </c>
      <c r="H45" s="220">
        <v>4</v>
      </c>
      <c r="I45" s="220">
        <v>2</v>
      </c>
      <c r="J45" s="220">
        <v>1</v>
      </c>
      <c r="K45" s="220">
        <v>0</v>
      </c>
      <c r="L45" s="221">
        <v>1.3</v>
      </c>
      <c r="M45" s="222">
        <v>24339</v>
      </c>
      <c r="N45" s="459"/>
      <c r="O45" s="459"/>
      <c r="P45" s="8"/>
      <c r="Q45" s="8"/>
      <c r="AB45" s="286"/>
    </row>
    <row r="46" spans="1:28" x14ac:dyDescent="0.2">
      <c r="A46" s="218" t="s">
        <v>54</v>
      </c>
      <c r="B46" s="219">
        <v>15883</v>
      </c>
      <c r="C46" s="220">
        <v>3439</v>
      </c>
      <c r="D46" s="220">
        <v>955</v>
      </c>
      <c r="E46" s="220">
        <v>238</v>
      </c>
      <c r="F46" s="220">
        <v>64</v>
      </c>
      <c r="G46" s="220">
        <v>10</v>
      </c>
      <c r="H46" s="220">
        <v>3</v>
      </c>
      <c r="I46" s="220">
        <v>1</v>
      </c>
      <c r="J46" s="220">
        <v>1</v>
      </c>
      <c r="K46" s="220">
        <v>1</v>
      </c>
      <c r="L46" s="221">
        <v>1.3</v>
      </c>
      <c r="M46" s="222">
        <v>20595</v>
      </c>
      <c r="N46" s="459"/>
      <c r="O46" s="459"/>
      <c r="P46" s="8"/>
      <c r="Q46" s="8"/>
      <c r="AB46" s="286"/>
    </row>
    <row r="47" spans="1:28" x14ac:dyDescent="0.2">
      <c r="A47" s="218" t="s">
        <v>76</v>
      </c>
      <c r="B47" s="219">
        <v>15336</v>
      </c>
      <c r="C47" s="220">
        <v>3034</v>
      </c>
      <c r="D47" s="220">
        <v>818</v>
      </c>
      <c r="E47" s="220">
        <v>190</v>
      </c>
      <c r="F47" s="220">
        <v>48</v>
      </c>
      <c r="G47" s="220">
        <v>7</v>
      </c>
      <c r="H47" s="220">
        <v>6</v>
      </c>
      <c r="I47" s="220">
        <v>1</v>
      </c>
      <c r="J47" s="220">
        <v>1</v>
      </c>
      <c r="K47" s="220">
        <v>1</v>
      </c>
      <c r="L47" s="221">
        <v>1.3</v>
      </c>
      <c r="M47" s="222">
        <v>19441</v>
      </c>
      <c r="N47" s="459"/>
      <c r="O47" s="459"/>
      <c r="P47" s="8"/>
      <c r="Q47" s="8"/>
      <c r="AB47" s="286"/>
    </row>
    <row r="48" spans="1:28" x14ac:dyDescent="0.2">
      <c r="A48" s="218" t="s">
        <v>84</v>
      </c>
      <c r="B48" s="219">
        <v>14327</v>
      </c>
      <c r="C48" s="220">
        <v>1921</v>
      </c>
      <c r="D48" s="220">
        <v>407</v>
      </c>
      <c r="E48" s="220">
        <v>153</v>
      </c>
      <c r="F48" s="220">
        <v>93</v>
      </c>
      <c r="G48" s="220">
        <v>70</v>
      </c>
      <c r="H48" s="220">
        <v>63</v>
      </c>
      <c r="I48" s="220">
        <v>43</v>
      </c>
      <c r="J48" s="220">
        <v>26</v>
      </c>
      <c r="K48" s="220">
        <v>61</v>
      </c>
      <c r="L48" s="221">
        <v>1.3</v>
      </c>
      <c r="M48" s="222">
        <v>17164</v>
      </c>
      <c r="N48" s="459"/>
      <c r="O48" s="459"/>
      <c r="P48" s="8"/>
      <c r="Q48" s="8"/>
      <c r="AB48" s="286"/>
    </row>
    <row r="49" spans="1:27" x14ac:dyDescent="0.2">
      <c r="A49" s="218" t="s">
        <v>87</v>
      </c>
      <c r="B49" s="219">
        <v>15022</v>
      </c>
      <c r="C49" s="220">
        <v>1803</v>
      </c>
      <c r="D49" s="220">
        <v>378</v>
      </c>
      <c r="E49" s="220">
        <v>132</v>
      </c>
      <c r="F49" s="220">
        <v>70</v>
      </c>
      <c r="G49" s="220">
        <v>28</v>
      </c>
      <c r="H49" s="220">
        <v>14</v>
      </c>
      <c r="I49" s="220">
        <v>17</v>
      </c>
      <c r="J49" s="220">
        <v>9</v>
      </c>
      <c r="K49" s="220">
        <v>11</v>
      </c>
      <c r="L49" s="221">
        <v>1.2</v>
      </c>
      <c r="M49" s="222">
        <v>17484</v>
      </c>
      <c r="N49" s="459"/>
      <c r="O49" s="459"/>
      <c r="P49" s="8"/>
      <c r="Q49" s="8"/>
    </row>
    <row r="50" spans="1:27" x14ac:dyDescent="0.2">
      <c r="A50" s="218" t="s">
        <v>89</v>
      </c>
      <c r="B50" s="415">
        <v>14863</v>
      </c>
      <c r="C50" s="416">
        <v>1540</v>
      </c>
      <c r="D50" s="416">
        <v>255</v>
      </c>
      <c r="E50" s="416">
        <v>36</v>
      </c>
      <c r="F50" s="416">
        <v>9</v>
      </c>
      <c r="G50" s="416">
        <v>0</v>
      </c>
      <c r="H50" s="416">
        <v>0</v>
      </c>
      <c r="I50" s="416">
        <v>0</v>
      </c>
      <c r="J50" s="416">
        <v>0</v>
      </c>
      <c r="K50" s="416">
        <v>0</v>
      </c>
      <c r="L50" s="417">
        <f>(B50*B40+C50*C40+D50*D40+E50*E40+F50*F40)/M50</f>
        <v>1.1313536490450817</v>
      </c>
      <c r="M50" s="418">
        <v>16703</v>
      </c>
      <c r="N50" s="459"/>
      <c r="O50" s="459"/>
      <c r="U50" s="286"/>
      <c r="V50" s="286"/>
      <c r="W50" s="286"/>
      <c r="X50" s="286"/>
      <c r="Y50" s="286"/>
      <c r="Z50" s="286"/>
      <c r="AA50" s="286"/>
    </row>
    <row r="51" spans="1:27" x14ac:dyDescent="0.2">
      <c r="A51" s="223" t="s">
        <v>108</v>
      </c>
      <c r="B51" s="415">
        <v>15377</v>
      </c>
      <c r="C51" s="416">
        <v>1856</v>
      </c>
      <c r="D51" s="416">
        <v>355</v>
      </c>
      <c r="E51" s="416">
        <v>84</v>
      </c>
      <c r="F51" s="416">
        <v>16</v>
      </c>
      <c r="G51" s="416">
        <v>3</v>
      </c>
      <c r="H51" s="416">
        <v>5</v>
      </c>
      <c r="I51" s="416">
        <v>0</v>
      </c>
      <c r="J51" s="416">
        <v>0</v>
      </c>
      <c r="K51" s="416">
        <v>0</v>
      </c>
      <c r="L51" s="417">
        <v>1.1654046112115732</v>
      </c>
      <c r="M51" s="418">
        <v>17696</v>
      </c>
      <c r="N51" s="459"/>
      <c r="O51" s="459"/>
      <c r="R51" s="286"/>
      <c r="S51" s="286"/>
      <c r="T51" s="286"/>
      <c r="U51" s="286"/>
      <c r="V51" s="286"/>
      <c r="W51" s="286"/>
      <c r="X51" s="286"/>
      <c r="Y51" s="286"/>
      <c r="Z51" s="286"/>
      <c r="AA51" s="286"/>
    </row>
    <row r="52" spans="1:27" x14ac:dyDescent="0.2">
      <c r="A52" s="223" t="s">
        <v>118</v>
      </c>
      <c r="B52" s="415">
        <v>16571</v>
      </c>
      <c r="C52" s="416">
        <v>1964</v>
      </c>
      <c r="D52" s="416">
        <v>411</v>
      </c>
      <c r="E52" s="416">
        <v>67</v>
      </c>
      <c r="F52" s="416">
        <v>23</v>
      </c>
      <c r="G52" s="416">
        <v>4</v>
      </c>
      <c r="H52" s="416">
        <v>1</v>
      </c>
      <c r="I52" s="416">
        <v>0</v>
      </c>
      <c r="J52" s="416">
        <v>0</v>
      </c>
      <c r="K52" s="416">
        <v>0</v>
      </c>
      <c r="L52" s="417">
        <v>1.163069166535371</v>
      </c>
      <c r="M52" s="418">
        <v>19041</v>
      </c>
      <c r="N52" s="459"/>
      <c r="O52" s="459"/>
      <c r="R52" s="286"/>
      <c r="S52" s="286"/>
      <c r="T52" s="286"/>
      <c r="U52" s="286"/>
      <c r="V52" s="286"/>
      <c r="W52" s="286"/>
      <c r="X52" s="286"/>
      <c r="Y52" s="286"/>
      <c r="Z52" s="286"/>
      <c r="AA52" s="286"/>
    </row>
    <row r="53" spans="1:27" x14ac:dyDescent="0.2">
      <c r="A53" s="223" t="s">
        <v>121</v>
      </c>
      <c r="B53" s="415">
        <v>15158</v>
      </c>
      <c r="C53" s="416">
        <v>2108</v>
      </c>
      <c r="D53" s="416">
        <v>458</v>
      </c>
      <c r="E53" s="416">
        <v>103</v>
      </c>
      <c r="F53" s="416">
        <v>29</v>
      </c>
      <c r="G53" s="416">
        <v>4</v>
      </c>
      <c r="H53" s="416">
        <v>3</v>
      </c>
      <c r="I53" s="416">
        <v>1</v>
      </c>
      <c r="J53" s="416">
        <v>0</v>
      </c>
      <c r="K53" s="416">
        <v>0</v>
      </c>
      <c r="L53" s="417">
        <v>1.1955888938647559</v>
      </c>
      <c r="M53" s="418">
        <v>17864</v>
      </c>
      <c r="N53" s="459"/>
      <c r="O53" s="459"/>
      <c r="R53" s="286"/>
      <c r="S53" s="286"/>
      <c r="T53" s="286"/>
      <c r="U53" s="286"/>
      <c r="V53" s="286"/>
      <c r="W53" s="286"/>
      <c r="X53" s="286"/>
      <c r="Y53" s="286"/>
      <c r="Z53" s="286"/>
      <c r="AA53" s="286"/>
    </row>
    <row r="54" spans="1:27" x14ac:dyDescent="0.2">
      <c r="A54" s="223" t="s">
        <v>132</v>
      </c>
      <c r="B54" s="415">
        <v>15019</v>
      </c>
      <c r="C54" s="416">
        <v>2025</v>
      </c>
      <c r="D54" s="416">
        <v>399</v>
      </c>
      <c r="E54" s="416">
        <v>107</v>
      </c>
      <c r="F54" s="416">
        <v>40</v>
      </c>
      <c r="G54" s="416">
        <v>9</v>
      </c>
      <c r="H54" s="416">
        <v>5</v>
      </c>
      <c r="I54" s="416">
        <v>1</v>
      </c>
      <c r="J54" s="416">
        <v>0</v>
      </c>
      <c r="K54" s="416">
        <v>0</v>
      </c>
      <c r="L54" s="417">
        <f>+O3*1000/M54</f>
        <v>1.1923317239420619</v>
      </c>
      <c r="M54" s="418">
        <v>17605</v>
      </c>
      <c r="N54" s="459"/>
      <c r="O54" s="459"/>
    </row>
    <row r="55" spans="1:27" x14ac:dyDescent="0.2">
      <c r="A55" s="223" t="s">
        <v>134</v>
      </c>
      <c r="B55" s="415">
        <v>14725</v>
      </c>
      <c r="C55" s="416">
        <v>2023</v>
      </c>
      <c r="D55" s="416">
        <v>459</v>
      </c>
      <c r="E55" s="416">
        <v>110</v>
      </c>
      <c r="F55" s="416">
        <v>36</v>
      </c>
      <c r="G55" s="416">
        <v>6</v>
      </c>
      <c r="H55" s="416">
        <v>4</v>
      </c>
      <c r="I55" s="416">
        <v>1</v>
      </c>
      <c r="J55" s="416">
        <v>0</v>
      </c>
      <c r="K55" s="416">
        <v>0</v>
      </c>
      <c r="L55" s="417">
        <v>1.2011044638748274</v>
      </c>
      <c r="M55" s="418">
        <v>17384</v>
      </c>
      <c r="N55" s="459"/>
      <c r="O55" s="459"/>
    </row>
    <row r="56" spans="1:27" x14ac:dyDescent="0.2">
      <c r="A56" s="223" t="s">
        <v>137</v>
      </c>
      <c r="B56" s="415">
        <v>13583</v>
      </c>
      <c r="C56" s="416">
        <v>1873</v>
      </c>
      <c r="D56" s="416">
        <v>445</v>
      </c>
      <c r="E56" s="416">
        <v>108</v>
      </c>
      <c r="F56" s="416">
        <v>29</v>
      </c>
      <c r="G56" s="416">
        <v>9</v>
      </c>
      <c r="H56" s="416">
        <v>2</v>
      </c>
      <c r="I56" s="416">
        <v>0</v>
      </c>
      <c r="J56" s="416">
        <v>1</v>
      </c>
      <c r="K56" s="416">
        <v>0</v>
      </c>
      <c r="L56" s="417">
        <f>Q3/Q4</f>
        <v>1.203613707165109</v>
      </c>
      <c r="M56" s="418">
        <f t="shared" ref="M56:M65" si="42">SUM(B56:K56)</f>
        <v>16050</v>
      </c>
      <c r="N56" s="459"/>
      <c r="O56" s="459"/>
    </row>
    <row r="57" spans="1:27" x14ac:dyDescent="0.2">
      <c r="A57" s="223" t="s">
        <v>139</v>
      </c>
      <c r="B57" s="415">
        <v>12152</v>
      </c>
      <c r="C57" s="416">
        <v>1706</v>
      </c>
      <c r="D57" s="416">
        <v>396</v>
      </c>
      <c r="E57" s="416">
        <v>102</v>
      </c>
      <c r="F57" s="416">
        <v>28</v>
      </c>
      <c r="G57" s="416">
        <v>9</v>
      </c>
      <c r="H57" s="416">
        <v>3</v>
      </c>
      <c r="I57" s="416">
        <v>0</v>
      </c>
      <c r="J57" s="416">
        <v>0</v>
      </c>
      <c r="K57" s="416">
        <v>1</v>
      </c>
      <c r="L57" s="417">
        <f>R3/R4</f>
        <v>1.2075432381746198</v>
      </c>
      <c r="M57" s="418">
        <f t="shared" si="42"/>
        <v>14397</v>
      </c>
      <c r="N57" s="459"/>
      <c r="O57" s="459"/>
    </row>
    <row r="58" spans="1:27" x14ac:dyDescent="0.2">
      <c r="A58" s="223" t="s">
        <v>141</v>
      </c>
      <c r="B58" s="415">
        <v>10860</v>
      </c>
      <c r="C58" s="416">
        <v>1454</v>
      </c>
      <c r="D58" s="416">
        <v>299</v>
      </c>
      <c r="E58" s="416">
        <v>68</v>
      </c>
      <c r="F58" s="416">
        <v>12</v>
      </c>
      <c r="G58" s="416">
        <v>3</v>
      </c>
      <c r="H58" s="416">
        <v>3</v>
      </c>
      <c r="I58" s="416">
        <v>0</v>
      </c>
      <c r="J58" s="416">
        <v>0</v>
      </c>
      <c r="K58" s="416">
        <v>0</v>
      </c>
      <c r="L58" s="417">
        <f>S3/S4</f>
        <v>1.1840302386014647</v>
      </c>
      <c r="M58" s="418">
        <f t="shared" si="42"/>
        <v>12699</v>
      </c>
      <c r="N58" s="459"/>
      <c r="O58" s="459"/>
    </row>
    <row r="59" spans="1:27" x14ac:dyDescent="0.2">
      <c r="A59" s="223" t="str">
        <f>T2</f>
        <v>2017/18</v>
      </c>
      <c r="B59" s="415">
        <v>10178</v>
      </c>
      <c r="C59" s="416">
        <v>1222</v>
      </c>
      <c r="D59" s="416">
        <v>261</v>
      </c>
      <c r="E59" s="416">
        <v>47</v>
      </c>
      <c r="F59" s="416">
        <v>11</v>
      </c>
      <c r="G59" s="416">
        <v>11</v>
      </c>
      <c r="H59" s="416">
        <v>1</v>
      </c>
      <c r="I59" s="416">
        <v>0</v>
      </c>
      <c r="J59" s="416">
        <v>0</v>
      </c>
      <c r="K59" s="416">
        <v>1</v>
      </c>
      <c r="L59" s="417">
        <f>T3/T4</f>
        <v>1.1714115240368224</v>
      </c>
      <c r="M59" s="418">
        <f t="shared" si="42"/>
        <v>11732</v>
      </c>
      <c r="N59" s="459"/>
      <c r="O59" s="459"/>
    </row>
    <row r="60" spans="1:27" x14ac:dyDescent="0.2">
      <c r="A60" s="541" t="str">
        <f>U2</f>
        <v>2018/19</v>
      </c>
      <c r="B60" s="415">
        <v>9551</v>
      </c>
      <c r="C60" s="416">
        <v>1167</v>
      </c>
      <c r="D60" s="416">
        <v>212</v>
      </c>
      <c r="E60" s="416">
        <v>60</v>
      </c>
      <c r="F60" s="416">
        <v>11</v>
      </c>
      <c r="G60" s="416">
        <v>3</v>
      </c>
      <c r="H60" s="416">
        <v>1</v>
      </c>
      <c r="I60" s="416">
        <v>0</v>
      </c>
      <c r="J60" s="416">
        <v>1</v>
      </c>
      <c r="K60" s="416">
        <v>0</v>
      </c>
      <c r="L60" s="417">
        <f>U3/U4</f>
        <v>1.1675449754679266</v>
      </c>
      <c r="M60" s="418">
        <f t="shared" si="42"/>
        <v>11006</v>
      </c>
      <c r="N60" s="459"/>
      <c r="O60" s="459"/>
    </row>
    <row r="61" spans="1:27" x14ac:dyDescent="0.2">
      <c r="A61" s="541" t="str">
        <f>V2</f>
        <v>2019/20</v>
      </c>
      <c r="B61" s="415">
        <v>9311</v>
      </c>
      <c r="C61" s="416">
        <v>1248</v>
      </c>
      <c r="D61" s="416">
        <v>264</v>
      </c>
      <c r="E61" s="416">
        <v>58</v>
      </c>
      <c r="F61" s="416">
        <v>21</v>
      </c>
      <c r="G61" s="416">
        <v>8</v>
      </c>
      <c r="H61" s="416">
        <v>2</v>
      </c>
      <c r="I61" s="416">
        <v>2</v>
      </c>
      <c r="J61" s="416">
        <v>1</v>
      </c>
      <c r="K61" s="416">
        <v>1</v>
      </c>
      <c r="L61" s="417">
        <f>V3/V4</f>
        <v>1.1954012458776107</v>
      </c>
      <c r="M61" s="418">
        <f t="shared" si="42"/>
        <v>10916</v>
      </c>
      <c r="N61" s="459"/>
      <c r="O61" s="459"/>
    </row>
    <row r="62" spans="1:27" x14ac:dyDescent="0.2">
      <c r="A62" s="541" t="str">
        <f>W2</f>
        <v>2020/21</v>
      </c>
      <c r="B62" s="415">
        <v>9804</v>
      </c>
      <c r="C62" s="416">
        <v>1347</v>
      </c>
      <c r="D62" s="416">
        <v>290</v>
      </c>
      <c r="E62" s="416">
        <v>83</v>
      </c>
      <c r="F62" s="416">
        <v>18</v>
      </c>
      <c r="G62" s="416">
        <v>5</v>
      </c>
      <c r="H62" s="416">
        <v>5</v>
      </c>
      <c r="I62" s="416">
        <v>2</v>
      </c>
      <c r="J62" s="416">
        <v>0</v>
      </c>
      <c r="K62" s="416">
        <v>0</v>
      </c>
      <c r="L62" s="417">
        <f>W3/W4</f>
        <v>1.2289250476025619</v>
      </c>
      <c r="M62" s="418">
        <f t="shared" si="42"/>
        <v>11554</v>
      </c>
      <c r="N62" s="459"/>
      <c r="O62" s="459"/>
    </row>
    <row r="63" spans="1:27" x14ac:dyDescent="0.2">
      <c r="A63" s="541" t="str">
        <f>X2</f>
        <v>2021/22</v>
      </c>
      <c r="B63" s="415">
        <v>11165</v>
      </c>
      <c r="C63" s="416">
        <v>1914</v>
      </c>
      <c r="D63" s="416">
        <v>420</v>
      </c>
      <c r="E63" s="416">
        <v>145</v>
      </c>
      <c r="F63" s="416">
        <v>42</v>
      </c>
      <c r="G63" s="416">
        <v>16</v>
      </c>
      <c r="H63" s="416">
        <v>6</v>
      </c>
      <c r="I63" s="416">
        <v>2</v>
      </c>
      <c r="J63" s="416">
        <v>3</v>
      </c>
      <c r="K63" s="416">
        <v>3</v>
      </c>
      <c r="L63" s="417">
        <f>X3/X4</f>
        <v>1.2763925342665501</v>
      </c>
      <c r="M63" s="418">
        <f t="shared" si="42"/>
        <v>13716</v>
      </c>
      <c r="N63" s="459"/>
      <c r="O63" s="459"/>
    </row>
    <row r="64" spans="1:27" x14ac:dyDescent="0.2">
      <c r="A64" s="541" t="str">
        <f>Y2</f>
        <v>2022/23</v>
      </c>
      <c r="B64" s="415">
        <v>11179</v>
      </c>
      <c r="C64" s="416">
        <v>1897</v>
      </c>
      <c r="D64" s="416">
        <v>447</v>
      </c>
      <c r="E64" s="416">
        <v>141</v>
      </c>
      <c r="F64" s="416">
        <v>56</v>
      </c>
      <c r="G64" s="416">
        <v>14</v>
      </c>
      <c r="H64" s="416">
        <v>8</v>
      </c>
      <c r="I64" s="416">
        <v>2</v>
      </c>
      <c r="J64" s="416">
        <v>2</v>
      </c>
      <c r="K64" s="416">
        <v>1</v>
      </c>
      <c r="L64" s="417">
        <f>Y3/Y4</f>
        <v>1.2897359423874299</v>
      </c>
      <c r="M64" s="418">
        <f t="shared" si="42"/>
        <v>13747</v>
      </c>
      <c r="N64" s="459"/>
      <c r="O64" s="459"/>
    </row>
    <row r="65" spans="1:27" ht="13.5" thickBot="1" x14ac:dyDescent="0.25">
      <c r="A65" s="539" t="str">
        <f>Z2</f>
        <v>2023/24</v>
      </c>
      <c r="B65" s="184">
        <v>11388</v>
      </c>
      <c r="C65" s="185">
        <v>2049</v>
      </c>
      <c r="D65" s="185">
        <v>546</v>
      </c>
      <c r="E65" s="185">
        <v>175</v>
      </c>
      <c r="F65" s="185">
        <v>59</v>
      </c>
      <c r="G65" s="185">
        <v>25</v>
      </c>
      <c r="H65" s="185">
        <v>12</v>
      </c>
      <c r="I65" s="185">
        <v>2</v>
      </c>
      <c r="J65" s="185">
        <v>1</v>
      </c>
      <c r="K65" s="185">
        <v>1</v>
      </c>
      <c r="L65" s="354">
        <f>Z3/Z4</f>
        <v>1.3240987515780616</v>
      </c>
      <c r="M65" s="106">
        <f t="shared" si="42"/>
        <v>14258</v>
      </c>
      <c r="N65" s="459"/>
      <c r="O65" s="459"/>
    </row>
    <row r="66" spans="1:27" ht="13.5" thickTop="1" x14ac:dyDescent="0.2">
      <c r="A66" s="2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</row>
    <row r="67" spans="1:27" ht="13.5" thickBot="1" x14ac:dyDescent="0.25">
      <c r="A67" s="2" t="s">
        <v>159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  <c r="M67" s="13"/>
      <c r="N67" s="13"/>
      <c r="O67" s="13"/>
    </row>
    <row r="68" spans="1:27" ht="13.5" thickTop="1" x14ac:dyDescent="0.2">
      <c r="A68" s="11"/>
      <c r="B68" s="397" t="s">
        <v>0</v>
      </c>
      <c r="C68" s="328"/>
      <c r="D68" s="328"/>
      <c r="E68" s="328"/>
      <c r="F68" s="328"/>
      <c r="G68" s="328"/>
      <c r="H68" s="328"/>
      <c r="I68" s="328"/>
      <c r="J68" s="328"/>
      <c r="K68" s="513"/>
      <c r="L68" s="1" t="s">
        <v>49</v>
      </c>
      <c r="AA68" s="286"/>
    </row>
    <row r="69" spans="1:27" ht="13.5" thickBot="1" x14ac:dyDescent="0.25">
      <c r="A69" s="12"/>
      <c r="B69" s="75">
        <v>1</v>
      </c>
      <c r="C69" s="76">
        <v>2</v>
      </c>
      <c r="D69" s="76">
        <v>3</v>
      </c>
      <c r="E69" s="76">
        <v>4</v>
      </c>
      <c r="F69" s="76">
        <v>5</v>
      </c>
      <c r="G69" s="76">
        <v>6</v>
      </c>
      <c r="H69" s="76">
        <v>7</v>
      </c>
      <c r="I69" s="76">
        <v>8</v>
      </c>
      <c r="J69" s="77">
        <v>9</v>
      </c>
      <c r="K69" s="512" t="s">
        <v>6</v>
      </c>
      <c r="AA69" s="286"/>
    </row>
    <row r="70" spans="1:27" ht="13.5" thickTop="1" x14ac:dyDescent="0.2">
      <c r="A70" s="205" t="s">
        <v>11</v>
      </c>
      <c r="B70" s="517">
        <v>0.69137713331432527</v>
      </c>
      <c r="C70" s="518">
        <v>0.20296525599771903</v>
      </c>
      <c r="D70" s="518">
        <v>7.3316769174371715E-2</v>
      </c>
      <c r="E70" s="518">
        <v>2.2850393059345851E-2</v>
      </c>
      <c r="F70" s="518">
        <v>5.8246099955195311E-3</v>
      </c>
      <c r="G70" s="518">
        <v>2.2809661520915643E-3</v>
      </c>
      <c r="H70" s="514">
        <v>6.924361533135107E-4</v>
      </c>
      <c r="I70" s="514">
        <v>3.6658384587185858E-4</v>
      </c>
      <c r="J70" s="515">
        <v>1.6292615372082603E-4</v>
      </c>
      <c r="K70" s="516">
        <v>1.6292615372082603E-4</v>
      </c>
      <c r="AA70" s="286"/>
    </row>
    <row r="71" spans="1:27" x14ac:dyDescent="0.2">
      <c r="A71" s="205" t="s">
        <v>4</v>
      </c>
      <c r="B71" s="517">
        <v>0.74049071790211607</v>
      </c>
      <c r="C71" s="518">
        <v>0.1789562508113722</v>
      </c>
      <c r="D71" s="518">
        <v>5.6341685057769701E-2</v>
      </c>
      <c r="E71" s="518">
        <v>1.5643255874334676E-2</v>
      </c>
      <c r="F71" s="518">
        <v>6.1015188887446449E-3</v>
      </c>
      <c r="G71" s="518">
        <v>1.2981955082435415E-3</v>
      </c>
      <c r="H71" s="514">
        <v>5.8418797870959363E-4</v>
      </c>
      <c r="I71" s="514">
        <v>3.8945865247306242E-4</v>
      </c>
      <c r="J71" s="515">
        <v>6.4909775412177079E-5</v>
      </c>
      <c r="K71" s="516">
        <v>1.2981955082435416E-4</v>
      </c>
      <c r="AA71" s="286"/>
    </row>
    <row r="72" spans="1:27" x14ac:dyDescent="0.2">
      <c r="A72" s="205" t="s">
        <v>5</v>
      </c>
      <c r="B72" s="517">
        <v>0.73231950391259415</v>
      </c>
      <c r="C72" s="518">
        <v>0.18440868152960282</v>
      </c>
      <c r="D72" s="518">
        <v>5.7729218957625866E-2</v>
      </c>
      <c r="E72" s="518">
        <v>1.7766622373148286E-2</v>
      </c>
      <c r="F72" s="518">
        <v>4.8230720015748803E-3</v>
      </c>
      <c r="G72" s="518">
        <v>2.1162458782420395E-3</v>
      </c>
      <c r="H72" s="514">
        <v>5.9058024509080177E-4</v>
      </c>
      <c r="I72" s="514">
        <v>1.4764506127270044E-4</v>
      </c>
      <c r="J72" s="515">
        <v>9.8430040848466948E-5</v>
      </c>
      <c r="K72" s="516">
        <v>0</v>
      </c>
      <c r="AA72" s="286"/>
    </row>
    <row r="73" spans="1:27" x14ac:dyDescent="0.2">
      <c r="A73" s="223" t="s">
        <v>41</v>
      </c>
      <c r="B73" s="517">
        <v>0.7613861386138614</v>
      </c>
      <c r="C73" s="518">
        <v>0.17412241224122413</v>
      </c>
      <c r="D73" s="518">
        <v>4.8154815481548152E-2</v>
      </c>
      <c r="E73" s="518">
        <v>1.2241224122412242E-2</v>
      </c>
      <c r="F73" s="518">
        <v>2.7902790279027904E-3</v>
      </c>
      <c r="G73" s="518">
        <v>8.100810081008101E-4</v>
      </c>
      <c r="H73" s="514">
        <v>4.5004500450045003E-4</v>
      </c>
      <c r="I73" s="514">
        <v>4.5004500450045003E-5</v>
      </c>
      <c r="J73" s="515">
        <v>0</v>
      </c>
      <c r="K73" s="516">
        <v>0</v>
      </c>
      <c r="AA73" s="286"/>
    </row>
    <row r="74" spans="1:27" x14ac:dyDescent="0.2">
      <c r="A74" s="223" t="s">
        <v>53</v>
      </c>
      <c r="B74" s="517">
        <v>0.75216730350466332</v>
      </c>
      <c r="C74" s="518">
        <v>0.17683553145157976</v>
      </c>
      <c r="D74" s="518">
        <v>5.3042442171001271E-2</v>
      </c>
      <c r="E74" s="518">
        <v>1.3887176958790418E-2</v>
      </c>
      <c r="F74" s="518">
        <v>2.999301532519824E-3</v>
      </c>
      <c r="G74" s="518">
        <v>7.8064012490241998E-4</v>
      </c>
      <c r="H74" s="514">
        <v>1.6434528945314105E-4</v>
      </c>
      <c r="I74" s="514">
        <v>8.2172644726570524E-5</v>
      </c>
      <c r="J74" s="515">
        <v>4.1086322363285262E-5</v>
      </c>
      <c r="K74" s="516">
        <v>0</v>
      </c>
      <c r="AA74" s="286"/>
    </row>
    <row r="75" spans="1:27" x14ac:dyDescent="0.2">
      <c r="A75" s="223" t="s">
        <v>54</v>
      </c>
      <c r="B75" s="517">
        <v>0.77120660354454962</v>
      </c>
      <c r="C75" s="518">
        <v>0.16698227725176013</v>
      </c>
      <c r="D75" s="518">
        <v>4.6370478271425104E-2</v>
      </c>
      <c r="E75" s="518">
        <v>1.1556202961883952E-2</v>
      </c>
      <c r="F75" s="518">
        <v>3.1075503763049283E-3</v>
      </c>
      <c r="G75" s="518">
        <v>4.8555474629764507E-4</v>
      </c>
      <c r="H75" s="514">
        <v>1.4566642388929351E-4</v>
      </c>
      <c r="I75" s="514">
        <v>4.8555474629764505E-5</v>
      </c>
      <c r="J75" s="515">
        <v>4.8555474629764505E-5</v>
      </c>
      <c r="K75" s="516">
        <v>4.8555474629764505E-5</v>
      </c>
      <c r="L75" s="313"/>
      <c r="AA75" s="286"/>
    </row>
    <row r="76" spans="1:27" x14ac:dyDescent="0.2">
      <c r="A76" s="223" t="s">
        <v>76</v>
      </c>
      <c r="B76" s="517">
        <v>0.78884831027210534</v>
      </c>
      <c r="C76" s="518">
        <v>0.15606193097062909</v>
      </c>
      <c r="D76" s="518">
        <v>4.2076024895838691E-2</v>
      </c>
      <c r="E76" s="518">
        <v>9.7731598168818469E-3</v>
      </c>
      <c r="F76" s="518">
        <v>2.4690087958438352E-3</v>
      </c>
      <c r="G76" s="518">
        <v>3.6006378272722595E-4</v>
      </c>
      <c r="H76" s="514">
        <v>3.0862609948047941E-4</v>
      </c>
      <c r="I76" s="514">
        <v>5.143768324674657E-5</v>
      </c>
      <c r="J76" s="515">
        <v>5.143768324674657E-5</v>
      </c>
      <c r="K76" s="516">
        <v>5.143768324674657E-5</v>
      </c>
      <c r="AA76" s="286"/>
    </row>
    <row r="77" spans="1:27" x14ac:dyDescent="0.2">
      <c r="A77" s="223" t="s">
        <v>84</v>
      </c>
      <c r="B77" s="517">
        <v>0.83471218830109528</v>
      </c>
      <c r="C77" s="518">
        <v>0.11192029829876486</v>
      </c>
      <c r="D77" s="518">
        <v>2.3712421347005359E-2</v>
      </c>
      <c r="E77" s="518">
        <v>8.9140060591936607E-3</v>
      </c>
      <c r="F77" s="518">
        <v>5.41831740852948E-3</v>
      </c>
      <c r="G77" s="518">
        <v>4.0783034257748773E-3</v>
      </c>
      <c r="H77" s="514">
        <v>3.67047308319739E-3</v>
      </c>
      <c r="I77" s="514">
        <v>2.5052435329759961E-3</v>
      </c>
      <c r="J77" s="515">
        <v>1.5147984152878117E-3</v>
      </c>
      <c r="K77" s="516">
        <v>3.5539501281752505E-3</v>
      </c>
      <c r="AA77" s="286"/>
    </row>
    <row r="78" spans="1:27" x14ac:dyDescent="0.2">
      <c r="A78" s="223" t="s">
        <v>87</v>
      </c>
      <c r="B78" s="517">
        <v>0.85918554106611755</v>
      </c>
      <c r="C78" s="518">
        <v>0.10312285518188058</v>
      </c>
      <c r="D78" s="518">
        <v>2.1619766643788608E-2</v>
      </c>
      <c r="E78" s="518">
        <v>7.5497597803706245E-3</v>
      </c>
      <c r="F78" s="518">
        <v>4.0036604895904828E-3</v>
      </c>
      <c r="G78" s="518">
        <v>1.6014641958361931E-3</v>
      </c>
      <c r="H78" s="514">
        <v>8.0073209791809655E-4</v>
      </c>
      <c r="I78" s="514">
        <v>9.7231754747197432E-4</v>
      </c>
      <c r="J78" s="515">
        <v>5.1475634866163353E-4</v>
      </c>
      <c r="K78" s="516">
        <v>6.2914664836421867E-4</v>
      </c>
      <c r="AA78" s="286"/>
    </row>
    <row r="79" spans="1:27" x14ac:dyDescent="0.2">
      <c r="A79" s="218" t="s">
        <v>89</v>
      </c>
      <c r="B79" s="517">
        <v>0.88984014847632198</v>
      </c>
      <c r="C79" s="518">
        <v>9.2199006166556907E-2</v>
      </c>
      <c r="D79" s="518">
        <v>1.5266718553553254E-2</v>
      </c>
      <c r="E79" s="518">
        <v>2.1553014428545769E-3</v>
      </c>
      <c r="F79" s="518">
        <v>5.3882536071364422E-4</v>
      </c>
      <c r="G79" s="518">
        <v>0</v>
      </c>
      <c r="H79" s="514">
        <v>0</v>
      </c>
      <c r="I79" s="514">
        <v>0</v>
      </c>
      <c r="J79" s="515">
        <v>0</v>
      </c>
      <c r="K79" s="516">
        <v>0</v>
      </c>
      <c r="P79" s="286"/>
      <c r="Q79" s="286"/>
      <c r="R79" s="286"/>
      <c r="S79" s="286"/>
      <c r="T79" s="286"/>
      <c r="U79" s="286"/>
      <c r="V79" s="286"/>
      <c r="W79" s="286"/>
      <c r="X79" s="286"/>
      <c r="Y79" s="286"/>
      <c r="Z79" s="286"/>
      <c r="AA79" s="286"/>
    </row>
    <row r="80" spans="1:27" ht="12.75" customHeight="1" x14ac:dyDescent="0.2">
      <c r="A80" s="218" t="s">
        <v>108</v>
      </c>
      <c r="B80" s="517">
        <v>0.86895343580470163</v>
      </c>
      <c r="C80" s="518">
        <v>0.10488245931283906</v>
      </c>
      <c r="D80" s="518">
        <v>2.0061030741410489E-2</v>
      </c>
      <c r="E80" s="518">
        <v>4.7468354430379748E-3</v>
      </c>
      <c r="F80" s="518">
        <v>9.0415913200723324E-4</v>
      </c>
      <c r="G80" s="518">
        <v>1.6952983725135624E-4</v>
      </c>
      <c r="H80" s="514">
        <v>2.8254972875226041E-4</v>
      </c>
      <c r="I80" s="514">
        <v>0</v>
      </c>
      <c r="J80" s="515">
        <v>0</v>
      </c>
      <c r="K80" s="516">
        <v>0</v>
      </c>
      <c r="P80" s="286"/>
      <c r="Q80" s="286"/>
      <c r="R80" s="286"/>
      <c r="S80" s="286"/>
      <c r="T80" s="286"/>
      <c r="U80" s="286"/>
      <c r="V80" s="286"/>
      <c r="W80" s="286"/>
      <c r="X80" s="286"/>
      <c r="Y80" s="286"/>
      <c r="Z80" s="286"/>
      <c r="AA80" s="286"/>
    </row>
    <row r="81" spans="1:27" ht="12.75" customHeight="1" x14ac:dyDescent="0.2">
      <c r="A81" s="218" t="s">
        <v>118</v>
      </c>
      <c r="B81" s="517">
        <v>0.87027992227298989</v>
      </c>
      <c r="C81" s="518">
        <v>0.10314584318050522</v>
      </c>
      <c r="D81" s="518">
        <v>2.1585000787773753E-2</v>
      </c>
      <c r="E81" s="518">
        <v>3.5187227561577646E-3</v>
      </c>
      <c r="F81" s="518">
        <v>1.2079197521138595E-3</v>
      </c>
      <c r="G81" s="518">
        <v>2.1007300036762774E-4</v>
      </c>
      <c r="H81" s="514">
        <v>5.2518250091906935E-5</v>
      </c>
      <c r="I81" s="514">
        <v>0</v>
      </c>
      <c r="J81" s="515">
        <v>0</v>
      </c>
      <c r="K81" s="516"/>
      <c r="P81" s="286"/>
      <c r="Q81" s="286"/>
      <c r="R81" s="286"/>
      <c r="S81" s="286"/>
      <c r="T81" s="286"/>
      <c r="U81" s="286"/>
      <c r="V81" s="286"/>
      <c r="W81" s="286"/>
      <c r="X81" s="286"/>
      <c r="Y81" s="286"/>
      <c r="Z81" s="286"/>
      <c r="AA81" s="286"/>
    </row>
    <row r="82" spans="1:27" ht="12.75" customHeight="1" x14ac:dyDescent="0.2">
      <c r="A82" s="218" t="s">
        <v>133</v>
      </c>
      <c r="B82" s="517">
        <f t="shared" ref="B82:K82" si="43">+B53/$M53</f>
        <v>0.84852216748768472</v>
      </c>
      <c r="C82" s="518">
        <f t="shared" si="43"/>
        <v>0.11800268696820421</v>
      </c>
      <c r="D82" s="518">
        <f t="shared" si="43"/>
        <v>2.5638154948499775E-2</v>
      </c>
      <c r="E82" s="518">
        <f t="shared" si="43"/>
        <v>5.7657859381997313E-3</v>
      </c>
      <c r="F82" s="518">
        <f t="shared" si="43"/>
        <v>1.6233766233766235E-3</v>
      </c>
      <c r="G82" s="518">
        <f t="shared" si="43"/>
        <v>2.2391401701746529E-4</v>
      </c>
      <c r="H82" s="514">
        <f t="shared" si="43"/>
        <v>1.6793551276309896E-4</v>
      </c>
      <c r="I82" s="514">
        <f t="shared" si="43"/>
        <v>5.5978504254366322E-5</v>
      </c>
      <c r="J82" s="515">
        <f t="shared" si="43"/>
        <v>0</v>
      </c>
      <c r="K82" s="516">
        <f t="shared" si="43"/>
        <v>0</v>
      </c>
      <c r="P82" s="286"/>
      <c r="Q82" s="286"/>
      <c r="R82" s="286"/>
      <c r="S82" s="286"/>
      <c r="T82" s="286"/>
      <c r="U82" s="286"/>
      <c r="V82" s="286"/>
      <c r="W82" s="286"/>
      <c r="X82" s="286"/>
      <c r="Y82" s="286"/>
      <c r="Z82" s="286"/>
      <c r="AA82" s="286"/>
    </row>
    <row r="83" spans="1:27" ht="12.75" customHeight="1" x14ac:dyDescent="0.2">
      <c r="A83" s="218" t="s">
        <v>132</v>
      </c>
      <c r="B83" s="517">
        <f t="shared" ref="B83:K83" si="44">+B54/$M54</f>
        <v>0.85310991195683039</v>
      </c>
      <c r="C83" s="518">
        <f t="shared" si="44"/>
        <v>0.11502414086907128</v>
      </c>
      <c r="D83" s="518">
        <f t="shared" si="44"/>
        <v>2.2664015904572565E-2</v>
      </c>
      <c r="E83" s="518">
        <f t="shared" si="44"/>
        <v>6.0778188014768532E-3</v>
      </c>
      <c r="F83" s="518">
        <f t="shared" si="44"/>
        <v>2.272081794944618E-3</v>
      </c>
      <c r="G83" s="518">
        <f t="shared" si="44"/>
        <v>5.1121840386253903E-4</v>
      </c>
      <c r="H83" s="514">
        <f t="shared" si="44"/>
        <v>2.8401022436807724E-4</v>
      </c>
      <c r="I83" s="514">
        <f t="shared" si="44"/>
        <v>5.6802044873615453E-5</v>
      </c>
      <c r="J83" s="515">
        <f t="shared" si="44"/>
        <v>0</v>
      </c>
      <c r="K83" s="516">
        <f t="shared" si="44"/>
        <v>0</v>
      </c>
      <c r="P83" s="286"/>
      <c r="Q83" s="286"/>
      <c r="R83" s="286"/>
      <c r="S83" s="286"/>
      <c r="T83" s="286"/>
      <c r="U83" s="286"/>
      <c r="V83" s="286"/>
      <c r="W83" s="286"/>
      <c r="X83" s="286"/>
      <c r="Y83" s="286"/>
      <c r="Z83" s="286"/>
      <c r="AA83" s="286"/>
    </row>
    <row r="84" spans="1:27" ht="12.75" customHeight="1" x14ac:dyDescent="0.2">
      <c r="A84" s="218" t="s">
        <v>134</v>
      </c>
      <c r="B84" s="517">
        <f t="shared" ref="B84:K84" si="45">+B55/$M55</f>
        <v>0.84704325816843073</v>
      </c>
      <c r="C84" s="518">
        <f t="shared" si="45"/>
        <v>0.11637137597791072</v>
      </c>
      <c r="D84" s="518">
        <f t="shared" si="45"/>
        <v>2.6403589507593188E-2</v>
      </c>
      <c r="E84" s="518">
        <f t="shared" si="45"/>
        <v>6.3276576161988033E-3</v>
      </c>
      <c r="F84" s="518">
        <f t="shared" si="45"/>
        <v>2.0708697653014268E-3</v>
      </c>
      <c r="G84" s="518">
        <f t="shared" si="45"/>
        <v>3.4514496088357109E-4</v>
      </c>
      <c r="H84" s="514">
        <f t="shared" si="45"/>
        <v>2.3009664058904741E-4</v>
      </c>
      <c r="I84" s="514">
        <f t="shared" si="45"/>
        <v>5.7524160147261853E-5</v>
      </c>
      <c r="J84" s="515">
        <f t="shared" si="45"/>
        <v>0</v>
      </c>
      <c r="K84" s="516">
        <f t="shared" si="45"/>
        <v>0</v>
      </c>
      <c r="P84" s="286"/>
      <c r="Q84" s="286"/>
      <c r="R84" s="286"/>
      <c r="S84" s="286"/>
      <c r="T84" s="286"/>
      <c r="U84" s="286"/>
      <c r="V84" s="286"/>
      <c r="W84" s="286"/>
      <c r="X84" s="286"/>
      <c r="Y84" s="286"/>
      <c r="Z84" s="286"/>
      <c r="AA84" s="286"/>
    </row>
    <row r="85" spans="1:27" ht="12.75" customHeight="1" x14ac:dyDescent="0.2">
      <c r="A85" s="218" t="s">
        <v>137</v>
      </c>
      <c r="B85" s="517">
        <f t="shared" ref="B85:K85" si="46">+B56/$M56</f>
        <v>0.84629283489096574</v>
      </c>
      <c r="C85" s="518">
        <f t="shared" si="46"/>
        <v>0.11669781931464175</v>
      </c>
      <c r="D85" s="518">
        <f t="shared" si="46"/>
        <v>2.7725856697819316E-2</v>
      </c>
      <c r="E85" s="518">
        <f t="shared" si="46"/>
        <v>6.7289719626168224E-3</v>
      </c>
      <c r="F85" s="518">
        <f t="shared" si="46"/>
        <v>1.8068535825545172E-3</v>
      </c>
      <c r="G85" s="518">
        <f t="shared" si="46"/>
        <v>5.6074766355140187E-4</v>
      </c>
      <c r="H85" s="514">
        <f t="shared" si="46"/>
        <v>1.2461059190031152E-4</v>
      </c>
      <c r="I85" s="514">
        <f t="shared" si="46"/>
        <v>0</v>
      </c>
      <c r="J85" s="515">
        <f t="shared" si="46"/>
        <v>6.230529595015576E-5</v>
      </c>
      <c r="K85" s="516">
        <f t="shared" si="46"/>
        <v>0</v>
      </c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</row>
    <row r="86" spans="1:27" ht="12.75" customHeight="1" x14ac:dyDescent="0.2">
      <c r="A86" s="218" t="s">
        <v>139</v>
      </c>
      <c r="B86" s="517">
        <f t="shared" ref="B86:K86" si="47">+B57/$M57</f>
        <v>0.84406473570882823</v>
      </c>
      <c r="C86" s="518">
        <f t="shared" si="47"/>
        <v>0.1184969090782802</v>
      </c>
      <c r="D86" s="518">
        <f t="shared" si="47"/>
        <v>2.7505730360491767E-2</v>
      </c>
      <c r="E86" s="518">
        <f t="shared" si="47"/>
        <v>7.0848093352781829E-3</v>
      </c>
      <c r="F86" s="518">
        <f t="shared" si="47"/>
        <v>1.944849621448913E-3</v>
      </c>
      <c r="G86" s="518">
        <f t="shared" si="47"/>
        <v>6.2513023546572201E-4</v>
      </c>
      <c r="H86" s="514">
        <f t="shared" si="47"/>
        <v>2.0837674515524068E-4</v>
      </c>
      <c r="I86" s="514">
        <f t="shared" si="47"/>
        <v>0</v>
      </c>
      <c r="J86" s="515">
        <f t="shared" si="47"/>
        <v>0</v>
      </c>
      <c r="K86" s="516">
        <f t="shared" si="47"/>
        <v>6.9458915051746897E-5</v>
      </c>
      <c r="P86" s="286"/>
      <c r="Q86" s="286"/>
      <c r="R86" s="286"/>
      <c r="S86" s="286"/>
      <c r="T86" s="286"/>
      <c r="U86" s="286"/>
      <c r="V86" s="286"/>
      <c r="W86" s="286"/>
      <c r="X86" s="286"/>
      <c r="Y86" s="286"/>
      <c r="Z86" s="286"/>
      <c r="AA86" s="286"/>
    </row>
    <row r="87" spans="1:27" ht="12.75" customHeight="1" x14ac:dyDescent="0.2">
      <c r="A87" s="218" t="s">
        <v>141</v>
      </c>
      <c r="B87" s="517">
        <f t="shared" ref="B87:K87" si="48">+B58/$M58</f>
        <v>0.85518544767304516</v>
      </c>
      <c r="C87" s="518">
        <f t="shared" si="48"/>
        <v>0.11449720450429168</v>
      </c>
      <c r="D87" s="518">
        <f t="shared" si="48"/>
        <v>2.3545161036302071E-2</v>
      </c>
      <c r="E87" s="518">
        <f t="shared" si="48"/>
        <v>5.3547523427041497E-3</v>
      </c>
      <c r="F87" s="518">
        <f t="shared" si="48"/>
        <v>9.4495629577132057E-4</v>
      </c>
      <c r="G87" s="518">
        <f t="shared" si="48"/>
        <v>2.3623907394283014E-4</v>
      </c>
      <c r="H87" s="514">
        <f t="shared" si="48"/>
        <v>2.3623907394283014E-4</v>
      </c>
      <c r="I87" s="514">
        <f t="shared" si="48"/>
        <v>0</v>
      </c>
      <c r="J87" s="515">
        <f t="shared" si="48"/>
        <v>0</v>
      </c>
      <c r="K87" s="516">
        <f t="shared" si="48"/>
        <v>0</v>
      </c>
      <c r="P87" s="286"/>
      <c r="Q87" s="286"/>
      <c r="R87" s="286"/>
      <c r="S87" s="286"/>
      <c r="T87" s="286"/>
      <c r="U87" s="286"/>
      <c r="V87" s="286"/>
      <c r="W87" s="286"/>
      <c r="X87" s="286"/>
      <c r="Y87" s="286"/>
      <c r="Z87" s="286"/>
      <c r="AA87" s="286"/>
    </row>
    <row r="88" spans="1:27" ht="12.75" customHeight="1" x14ac:dyDescent="0.2">
      <c r="A88" s="218" t="str">
        <f t="shared" ref="A88:A94" si="49">A59</f>
        <v>2017/18</v>
      </c>
      <c r="B88" s="517">
        <f t="shared" ref="B88:K88" si="50">+B59/$M59</f>
        <v>0.86754176610978517</v>
      </c>
      <c r="C88" s="518">
        <f t="shared" si="50"/>
        <v>0.10415956358677123</v>
      </c>
      <c r="D88" s="518">
        <f t="shared" si="50"/>
        <v>2.2246846232526422E-2</v>
      </c>
      <c r="E88" s="518">
        <f t="shared" si="50"/>
        <v>4.0061370610296621E-3</v>
      </c>
      <c r="F88" s="518">
        <f t="shared" si="50"/>
        <v>9.3760654619843165E-4</v>
      </c>
      <c r="G88" s="518">
        <f t="shared" si="50"/>
        <v>9.3760654619843165E-4</v>
      </c>
      <c r="H88" s="514">
        <f t="shared" si="50"/>
        <v>8.5236958745311963E-5</v>
      </c>
      <c r="I88" s="514">
        <f t="shared" si="50"/>
        <v>0</v>
      </c>
      <c r="J88" s="515">
        <f t="shared" si="50"/>
        <v>0</v>
      </c>
      <c r="K88" s="516">
        <f t="shared" si="50"/>
        <v>8.5236958745311963E-5</v>
      </c>
      <c r="P88" s="286"/>
      <c r="Q88" s="286"/>
      <c r="R88" s="286"/>
      <c r="S88" s="286"/>
      <c r="T88" s="286"/>
      <c r="U88" s="286"/>
      <c r="V88" s="286"/>
      <c r="W88" s="286"/>
      <c r="X88" s="286"/>
      <c r="Y88" s="286"/>
      <c r="Z88" s="286"/>
      <c r="AA88" s="286"/>
    </row>
    <row r="89" spans="1:27" ht="12.75" customHeight="1" x14ac:dyDescent="0.2">
      <c r="A89" s="218" t="str">
        <f t="shared" si="49"/>
        <v>2018/19</v>
      </c>
      <c r="B89" s="517">
        <f t="shared" ref="B89:K89" si="51">+B60/$M60</f>
        <v>0.86779938215518804</v>
      </c>
      <c r="C89" s="518">
        <f t="shared" si="51"/>
        <v>0.10603307286934399</v>
      </c>
      <c r="D89" s="518">
        <f t="shared" si="51"/>
        <v>1.9262220606941667E-2</v>
      </c>
      <c r="E89" s="518">
        <f t="shared" si="51"/>
        <v>5.4515718698891517E-3</v>
      </c>
      <c r="F89" s="518">
        <f t="shared" si="51"/>
        <v>9.994548428130111E-4</v>
      </c>
      <c r="G89" s="518">
        <f t="shared" si="51"/>
        <v>2.7257859349445756E-4</v>
      </c>
      <c r="H89" s="514">
        <f t="shared" si="51"/>
        <v>9.0859531164819192E-5</v>
      </c>
      <c r="I89" s="514">
        <f t="shared" si="51"/>
        <v>0</v>
      </c>
      <c r="J89" s="515">
        <f t="shared" si="51"/>
        <v>9.0859531164819192E-5</v>
      </c>
      <c r="K89" s="516">
        <f t="shared" si="51"/>
        <v>0</v>
      </c>
      <c r="P89" s="286"/>
      <c r="Q89" s="286"/>
      <c r="R89" s="286"/>
      <c r="S89" s="286"/>
      <c r="T89" s="286"/>
      <c r="U89" s="286"/>
      <c r="V89" s="286"/>
      <c r="W89" s="286"/>
      <c r="X89" s="286"/>
      <c r="Y89" s="286"/>
      <c r="Z89" s="286"/>
      <c r="AA89" s="286"/>
    </row>
    <row r="90" spans="1:27" ht="12.75" customHeight="1" x14ac:dyDescent="0.2">
      <c r="A90" s="218" t="str">
        <f t="shared" si="49"/>
        <v>2019/20</v>
      </c>
      <c r="B90" s="517">
        <f t="shared" ref="B90:K90" si="52">+B61/$M61</f>
        <v>0.85296812019054602</v>
      </c>
      <c r="C90" s="518">
        <f t="shared" si="52"/>
        <v>0.11432759252473433</v>
      </c>
      <c r="D90" s="518">
        <f t="shared" si="52"/>
        <v>2.4184683034078416E-2</v>
      </c>
      <c r="E90" s="518">
        <f t="shared" si="52"/>
        <v>5.313301575668743E-3</v>
      </c>
      <c r="F90" s="518">
        <f t="shared" si="52"/>
        <v>1.9237816049835104E-3</v>
      </c>
      <c r="G90" s="518">
        <f t="shared" si="52"/>
        <v>7.3286918285086111E-4</v>
      </c>
      <c r="H90" s="514">
        <f t="shared" si="52"/>
        <v>1.8321729571271528E-4</v>
      </c>
      <c r="I90" s="514">
        <f t="shared" si="52"/>
        <v>1.8321729571271528E-4</v>
      </c>
      <c r="J90" s="515">
        <f t="shared" si="52"/>
        <v>9.1608647856357639E-5</v>
      </c>
      <c r="K90" s="516">
        <f t="shared" si="52"/>
        <v>9.1608647856357639E-5</v>
      </c>
      <c r="P90" s="286"/>
      <c r="Q90" s="286"/>
      <c r="R90" s="286"/>
      <c r="S90" s="286"/>
      <c r="T90" s="286"/>
      <c r="U90" s="286"/>
      <c r="V90" s="286"/>
      <c r="W90" s="286"/>
      <c r="X90" s="286"/>
      <c r="Y90" s="286"/>
      <c r="Z90" s="286"/>
      <c r="AA90" s="286"/>
    </row>
    <row r="91" spans="1:27" ht="12.75" customHeight="1" x14ac:dyDescent="0.2">
      <c r="A91" s="218" t="str">
        <f t="shared" si="49"/>
        <v>2020/21</v>
      </c>
      <c r="B91" s="517">
        <f t="shared" ref="B91:K91" si="53">+B62/$M62</f>
        <v>0.84853730309849407</v>
      </c>
      <c r="C91" s="518">
        <f t="shared" si="53"/>
        <v>0.11658300155790202</v>
      </c>
      <c r="D91" s="518">
        <f t="shared" si="53"/>
        <v>2.5099532629392417E-2</v>
      </c>
      <c r="E91" s="518">
        <f t="shared" si="53"/>
        <v>7.1836593387571406E-3</v>
      </c>
      <c r="F91" s="518">
        <f t="shared" si="53"/>
        <v>1.5579020252726328E-3</v>
      </c>
      <c r="G91" s="518">
        <f t="shared" si="53"/>
        <v>4.3275056257573136E-4</v>
      </c>
      <c r="H91" s="514">
        <f t="shared" si="53"/>
        <v>4.3275056257573136E-4</v>
      </c>
      <c r="I91" s="514">
        <f t="shared" si="53"/>
        <v>1.7310022503029253E-4</v>
      </c>
      <c r="J91" s="515">
        <f t="shared" si="53"/>
        <v>0</v>
      </c>
      <c r="K91" s="516">
        <f t="shared" si="53"/>
        <v>0</v>
      </c>
      <c r="P91" s="286"/>
      <c r="Q91" s="286"/>
      <c r="R91" s="286"/>
      <c r="S91" s="286"/>
      <c r="T91" s="286"/>
      <c r="U91" s="286"/>
      <c r="V91" s="286"/>
      <c r="W91" s="286"/>
      <c r="X91" s="286"/>
      <c r="Y91" s="286"/>
      <c r="Z91" s="286"/>
      <c r="AA91" s="286"/>
    </row>
    <row r="92" spans="1:27" ht="16.350000000000001" customHeight="1" x14ac:dyDescent="0.2">
      <c r="A92" s="218" t="str">
        <f t="shared" si="49"/>
        <v>2021/22</v>
      </c>
      <c r="B92" s="517">
        <f t="shared" ref="B92:K92" si="54">+B63/$M63</f>
        <v>0.81401283172936711</v>
      </c>
      <c r="C92" s="518">
        <f t="shared" si="54"/>
        <v>0.13954505686789151</v>
      </c>
      <c r="D92" s="518">
        <f t="shared" si="54"/>
        <v>3.0621172353455819E-2</v>
      </c>
      <c r="E92" s="518">
        <f t="shared" si="54"/>
        <v>1.0571595217264508E-2</v>
      </c>
      <c r="F92" s="518">
        <f t="shared" si="54"/>
        <v>3.0621172353455816E-3</v>
      </c>
      <c r="G92" s="518">
        <f t="shared" si="54"/>
        <v>1.1665208515602217E-3</v>
      </c>
      <c r="H92" s="514">
        <f t="shared" si="54"/>
        <v>4.3744531933508313E-4</v>
      </c>
      <c r="I92" s="514">
        <f t="shared" si="54"/>
        <v>1.4581510644502772E-4</v>
      </c>
      <c r="J92" s="515">
        <f t="shared" si="54"/>
        <v>2.1872265966754156E-4</v>
      </c>
      <c r="K92" s="516">
        <f t="shared" si="54"/>
        <v>2.1872265966754156E-4</v>
      </c>
      <c r="P92" s="286"/>
      <c r="Q92" s="286"/>
      <c r="R92" s="286"/>
      <c r="S92" s="286"/>
      <c r="T92" s="286"/>
      <c r="U92" s="286"/>
      <c r="V92" s="286"/>
      <c r="W92" s="286"/>
      <c r="X92" s="286"/>
      <c r="Y92" s="286"/>
      <c r="Z92" s="286"/>
      <c r="AA92" s="286"/>
    </row>
    <row r="93" spans="1:27" ht="16.350000000000001" customHeight="1" x14ac:dyDescent="0.2">
      <c r="A93" s="218" t="str">
        <f t="shared" si="49"/>
        <v>2022/23</v>
      </c>
      <c r="B93" s="517">
        <f>+B64/$M64</f>
        <v>0.81319560631410492</v>
      </c>
      <c r="C93" s="518">
        <f t="shared" ref="C93:J93" si="55">+C64/$M64</f>
        <v>0.13799374408961956</v>
      </c>
      <c r="D93" s="518">
        <f t="shared" si="55"/>
        <v>3.251618534953081E-2</v>
      </c>
      <c r="E93" s="518">
        <f t="shared" si="55"/>
        <v>1.0256783298174147E-2</v>
      </c>
      <c r="F93" s="518">
        <f t="shared" si="55"/>
        <v>4.0736160616861861E-3</v>
      </c>
      <c r="G93" s="518">
        <f t="shared" si="55"/>
        <v>1.0184040154215465E-3</v>
      </c>
      <c r="H93" s="514">
        <f t="shared" si="55"/>
        <v>5.8194515166945515E-4</v>
      </c>
      <c r="I93" s="514">
        <f t="shared" si="55"/>
        <v>1.4548628791736379E-4</v>
      </c>
      <c r="J93" s="515">
        <f t="shared" si="55"/>
        <v>1.4548628791736379E-4</v>
      </c>
      <c r="K93" s="516">
        <f>+K64/$M64</f>
        <v>7.2743143958681894E-5</v>
      </c>
      <c r="P93" s="286"/>
      <c r="Q93" s="286"/>
      <c r="R93" s="286"/>
      <c r="S93" s="286"/>
      <c r="T93" s="286"/>
      <c r="U93" s="286"/>
      <c r="V93" s="286"/>
      <c r="W93" s="286"/>
      <c r="X93" s="286"/>
      <c r="Y93" s="286"/>
      <c r="Z93" s="286"/>
      <c r="AA93" s="286"/>
    </row>
    <row r="94" spans="1:27" ht="16.350000000000001" customHeight="1" thickBot="1" x14ac:dyDescent="0.25">
      <c r="A94" s="540" t="str">
        <f t="shared" si="49"/>
        <v>2023/24</v>
      </c>
      <c r="B94" s="519">
        <f t="shared" ref="B94:K94" si="56">+B65/$M65</f>
        <v>0.79870949642306077</v>
      </c>
      <c r="C94" s="520">
        <f t="shared" si="56"/>
        <v>0.1437087950624211</v>
      </c>
      <c r="D94" s="520">
        <f t="shared" si="56"/>
        <v>3.829429092439332E-2</v>
      </c>
      <c r="E94" s="520">
        <f t="shared" si="56"/>
        <v>1.2273811193715808E-2</v>
      </c>
      <c r="F94" s="520">
        <f t="shared" si="56"/>
        <v>4.1380277738813295E-3</v>
      </c>
      <c r="G94" s="520">
        <f t="shared" si="56"/>
        <v>1.7534015991022584E-3</v>
      </c>
      <c r="H94" s="521">
        <f t="shared" si="56"/>
        <v>8.4163276756908407E-4</v>
      </c>
      <c r="I94" s="521">
        <f t="shared" si="56"/>
        <v>1.4027212792818068E-4</v>
      </c>
      <c r="J94" s="522">
        <f t="shared" si="56"/>
        <v>7.0136063964090339E-5</v>
      </c>
      <c r="K94" s="523">
        <f t="shared" si="56"/>
        <v>7.0136063964090339E-5</v>
      </c>
      <c r="P94" s="286"/>
      <c r="Q94" s="286"/>
      <c r="R94" s="286"/>
      <c r="S94" s="286"/>
      <c r="T94" s="286"/>
      <c r="U94" s="286"/>
      <c r="V94" s="286"/>
      <c r="W94" s="286"/>
      <c r="X94" s="286"/>
      <c r="Y94" s="286"/>
      <c r="Z94" s="286"/>
      <c r="AA94" s="286"/>
    </row>
    <row r="95" spans="1:27" ht="13.5" thickTop="1" x14ac:dyDescent="0.2">
      <c r="A95" s="1" t="s">
        <v>92</v>
      </c>
      <c r="P95" s="286"/>
      <c r="Q95" s="286"/>
      <c r="R95" s="286"/>
      <c r="S95" s="286"/>
      <c r="T95" s="286"/>
      <c r="U95" s="286"/>
      <c r="V95" s="286"/>
      <c r="W95" s="286"/>
      <c r="X95" s="286"/>
      <c r="Y95" s="286"/>
      <c r="Z95" s="286"/>
      <c r="AA95" s="286"/>
    </row>
    <row r="96" spans="1:27" x14ac:dyDescent="0.2">
      <c r="L96" s="286"/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6"/>
      <c r="Z96" s="286"/>
      <c r="AA96" s="286"/>
    </row>
    <row r="97" spans="2:27" x14ac:dyDescent="0.2">
      <c r="B97" s="376"/>
      <c r="C97" s="376"/>
      <c r="D97" s="376"/>
      <c r="E97" s="376"/>
      <c r="F97" s="376"/>
      <c r="G97" s="376"/>
      <c r="H97" s="376"/>
      <c r="I97" s="376"/>
      <c r="J97" s="376"/>
      <c r="L97" s="286"/>
      <c r="M97" s="286"/>
      <c r="N97" s="286"/>
      <c r="O97" s="286"/>
      <c r="P97" s="286"/>
      <c r="Q97" s="286"/>
      <c r="R97" s="286"/>
      <c r="S97" s="286"/>
      <c r="T97" s="286"/>
      <c r="U97" s="286"/>
      <c r="V97" s="286"/>
      <c r="W97" s="286"/>
      <c r="X97" s="286"/>
      <c r="Y97" s="286"/>
      <c r="Z97" s="286"/>
      <c r="AA97" s="286"/>
    </row>
    <row r="98" spans="2:27" x14ac:dyDescent="0.2">
      <c r="L98" s="286"/>
      <c r="M98" s="286"/>
      <c r="N98" s="286"/>
      <c r="O98" s="286"/>
      <c r="P98" s="286"/>
      <c r="Q98" s="286"/>
      <c r="R98" s="286"/>
      <c r="S98" s="286"/>
      <c r="T98" s="286"/>
      <c r="U98" s="286"/>
      <c r="V98" s="286"/>
      <c r="W98" s="286"/>
      <c r="X98" s="286"/>
      <c r="Y98" s="286"/>
      <c r="Z98" s="286"/>
      <c r="AA98" s="286"/>
    </row>
    <row r="99" spans="2:27" x14ac:dyDescent="0.2">
      <c r="B99" s="379"/>
      <c r="C99" s="379"/>
      <c r="D99" s="379"/>
      <c r="E99" s="379"/>
      <c r="F99" s="379"/>
      <c r="G99" s="379"/>
      <c r="L99" s="286"/>
      <c r="M99" s="286"/>
      <c r="N99" s="286"/>
      <c r="O99" s="286"/>
      <c r="P99" s="286"/>
      <c r="Q99" s="286"/>
      <c r="R99" s="286"/>
      <c r="S99" s="286"/>
      <c r="T99" s="286"/>
      <c r="U99" s="286"/>
    </row>
    <row r="100" spans="2:27" x14ac:dyDescent="0.2">
      <c r="B100" s="379"/>
      <c r="C100" s="379"/>
      <c r="D100" s="379"/>
      <c r="E100" s="379"/>
      <c r="F100" s="379"/>
      <c r="G100" s="379"/>
      <c r="I100" s="376"/>
      <c r="J100" s="376"/>
      <c r="K100" s="376"/>
      <c r="L100" s="286"/>
      <c r="M100" s="286"/>
      <c r="N100" s="286"/>
      <c r="O100" s="286"/>
      <c r="P100" s="286"/>
      <c r="Q100" s="286"/>
      <c r="R100" s="286"/>
      <c r="S100" s="286"/>
      <c r="T100" s="286"/>
      <c r="U100" s="286"/>
    </row>
    <row r="101" spans="2:27" x14ac:dyDescent="0.2">
      <c r="B101" s="379"/>
      <c r="C101" s="379"/>
      <c r="E101" s="379"/>
      <c r="F101" s="379"/>
      <c r="G101" s="379"/>
      <c r="I101" s="376"/>
      <c r="J101" s="376"/>
      <c r="K101" s="376"/>
      <c r="L101" s="286"/>
      <c r="M101" s="286"/>
      <c r="N101" s="286"/>
      <c r="O101" s="286"/>
      <c r="P101" s="286"/>
      <c r="Q101" s="286"/>
      <c r="R101" s="286"/>
      <c r="S101" s="286"/>
      <c r="T101" s="286"/>
      <c r="U101" s="286"/>
    </row>
    <row r="102" spans="2:27" x14ac:dyDescent="0.2">
      <c r="B102" s="379"/>
      <c r="C102" s="379"/>
      <c r="E102" s="379"/>
      <c r="F102" s="379"/>
      <c r="G102" s="379"/>
      <c r="I102" s="376"/>
      <c r="J102" s="376"/>
      <c r="K102" s="376"/>
      <c r="L102" s="286"/>
      <c r="M102" s="286"/>
      <c r="N102" s="286"/>
      <c r="O102" s="286"/>
      <c r="P102" s="286"/>
      <c r="Q102" s="286"/>
      <c r="R102" s="286"/>
      <c r="S102" s="286"/>
      <c r="T102" s="286"/>
      <c r="U102" s="286"/>
    </row>
    <row r="103" spans="2:27" x14ac:dyDescent="0.2">
      <c r="B103" s="379"/>
      <c r="C103" s="379"/>
      <c r="E103" s="379"/>
      <c r="F103" s="379"/>
      <c r="G103" s="379"/>
      <c r="K103" s="376"/>
      <c r="L103" s="286"/>
      <c r="M103" s="286"/>
      <c r="N103" s="286"/>
      <c r="O103" s="286"/>
      <c r="P103" s="286"/>
      <c r="Q103" s="286"/>
      <c r="R103" s="286"/>
      <c r="S103" s="286"/>
      <c r="T103" s="286"/>
      <c r="U103" s="286"/>
    </row>
    <row r="104" spans="2:27" x14ac:dyDescent="0.2">
      <c r="B104" s="379"/>
      <c r="C104" s="379"/>
      <c r="E104" s="379"/>
      <c r="F104" s="379"/>
      <c r="G104" s="379"/>
      <c r="K104" s="376"/>
      <c r="L104" s="286"/>
      <c r="M104" s="286"/>
      <c r="N104" s="286"/>
      <c r="O104" s="286"/>
      <c r="P104" s="286"/>
      <c r="Q104" s="286"/>
      <c r="R104" s="286"/>
      <c r="S104" s="286"/>
      <c r="T104" s="286"/>
      <c r="U104" s="286"/>
    </row>
    <row r="105" spans="2:27" x14ac:dyDescent="0.2">
      <c r="B105" s="379"/>
      <c r="C105" s="379"/>
      <c r="E105" s="379"/>
      <c r="F105" s="379"/>
      <c r="G105" s="379"/>
      <c r="K105" s="376"/>
      <c r="L105" s="286"/>
      <c r="M105" s="286"/>
      <c r="N105" s="286"/>
      <c r="O105" s="286"/>
    </row>
    <row r="106" spans="2:27" x14ac:dyDescent="0.2">
      <c r="B106" s="379"/>
      <c r="C106" s="379"/>
      <c r="E106" s="379"/>
      <c r="F106" s="379"/>
      <c r="G106" s="379"/>
      <c r="K106" s="376"/>
      <c r="L106" s="286"/>
      <c r="M106" s="286"/>
      <c r="N106" s="286"/>
      <c r="O106" s="286"/>
    </row>
    <row r="107" spans="2:27" x14ac:dyDescent="0.2">
      <c r="B107" s="379"/>
      <c r="C107" s="379"/>
      <c r="E107" s="379"/>
      <c r="F107" s="379"/>
      <c r="G107" s="379"/>
      <c r="K107" s="376"/>
      <c r="L107" s="286"/>
      <c r="M107" s="286"/>
      <c r="N107" s="286"/>
      <c r="O107" s="286"/>
    </row>
    <row r="108" spans="2:27" x14ac:dyDescent="0.2">
      <c r="B108" s="379"/>
      <c r="C108" s="379"/>
      <c r="E108" s="379"/>
      <c r="F108" s="379"/>
      <c r="G108" s="379"/>
      <c r="K108" s="376"/>
      <c r="L108" s="286"/>
      <c r="M108" s="286"/>
      <c r="N108" s="286"/>
      <c r="O108" s="286"/>
    </row>
    <row r="109" spans="2:27" x14ac:dyDescent="0.2">
      <c r="B109" s="379"/>
      <c r="C109" s="379"/>
      <c r="E109" s="379"/>
      <c r="F109" s="379"/>
      <c r="G109" s="379"/>
      <c r="K109" s="376"/>
    </row>
    <row r="110" spans="2:27" x14ac:dyDescent="0.2">
      <c r="B110" s="379"/>
      <c r="C110" s="379"/>
      <c r="E110" s="379"/>
      <c r="F110" s="379"/>
      <c r="G110" s="379"/>
      <c r="K110" s="376"/>
    </row>
    <row r="111" spans="2:27" x14ac:dyDescent="0.2">
      <c r="B111" s="379"/>
      <c r="C111" s="379"/>
      <c r="E111" s="379"/>
      <c r="F111" s="379"/>
      <c r="G111" s="379"/>
      <c r="K111" s="376"/>
    </row>
    <row r="112" spans="2:27" x14ac:dyDescent="0.2">
      <c r="B112" s="379"/>
      <c r="C112" s="379"/>
      <c r="E112" s="379"/>
      <c r="F112" s="379"/>
      <c r="G112" s="379"/>
      <c r="K112" s="376"/>
    </row>
    <row r="113" spans="2:7" x14ac:dyDescent="0.2">
      <c r="B113" s="379"/>
      <c r="C113" s="379"/>
      <c r="E113" s="379"/>
      <c r="F113" s="379"/>
      <c r="G113" s="379"/>
    </row>
    <row r="114" spans="2:7" x14ac:dyDescent="0.2">
      <c r="B114" s="379"/>
      <c r="C114" s="379"/>
      <c r="E114" s="379"/>
      <c r="F114" s="379"/>
      <c r="G114" s="379"/>
    </row>
    <row r="115" spans="2:7" x14ac:dyDescent="0.2">
      <c r="B115" s="379"/>
      <c r="C115" s="379"/>
      <c r="E115" s="379"/>
      <c r="F115" s="379"/>
      <c r="G115" s="379"/>
    </row>
    <row r="116" spans="2:7" x14ac:dyDescent="0.2">
      <c r="B116" s="379"/>
      <c r="C116" s="379"/>
      <c r="E116" s="379"/>
      <c r="F116" s="379"/>
      <c r="G116" s="379"/>
    </row>
    <row r="117" spans="2:7" x14ac:dyDescent="0.2">
      <c r="B117" s="379"/>
      <c r="C117" s="379"/>
      <c r="E117" s="379"/>
      <c r="F117" s="379"/>
      <c r="G117" s="379"/>
    </row>
    <row r="118" spans="2:7" x14ac:dyDescent="0.2">
      <c r="B118" s="379"/>
      <c r="C118" s="379"/>
      <c r="E118" s="379"/>
      <c r="F118" s="379"/>
      <c r="G118" s="379"/>
    </row>
    <row r="119" spans="2:7" x14ac:dyDescent="0.2">
      <c r="B119" s="379"/>
      <c r="C119" s="379"/>
      <c r="E119" s="379"/>
      <c r="F119" s="379"/>
      <c r="G119" s="379"/>
    </row>
    <row r="120" spans="2:7" x14ac:dyDescent="0.2">
      <c r="B120" s="379"/>
      <c r="C120" s="379"/>
      <c r="E120" s="379"/>
      <c r="F120" s="379"/>
      <c r="G120" s="379"/>
    </row>
    <row r="121" spans="2:7" x14ac:dyDescent="0.2">
      <c r="B121" s="379"/>
      <c r="C121" s="379"/>
      <c r="E121" s="379"/>
      <c r="F121" s="379"/>
      <c r="G121" s="379"/>
    </row>
    <row r="122" spans="2:7" x14ac:dyDescent="0.2">
      <c r="B122" s="379"/>
      <c r="C122" s="379"/>
      <c r="E122" s="379"/>
      <c r="F122" s="379"/>
      <c r="G122" s="379"/>
    </row>
    <row r="123" spans="2:7" x14ac:dyDescent="0.2">
      <c r="B123" s="379"/>
      <c r="C123" s="379"/>
      <c r="E123" s="379"/>
      <c r="F123" s="379"/>
      <c r="G123" s="379"/>
    </row>
    <row r="124" spans="2:7" x14ac:dyDescent="0.2">
      <c r="B124" s="379"/>
      <c r="C124" s="379"/>
      <c r="E124" s="379"/>
      <c r="F124" s="379"/>
      <c r="G124" s="379"/>
    </row>
    <row r="125" spans="2:7" x14ac:dyDescent="0.2">
      <c r="B125" s="379"/>
      <c r="C125" s="379"/>
      <c r="E125" s="379"/>
      <c r="F125" s="379"/>
      <c r="G125" s="379"/>
    </row>
    <row r="126" spans="2:7" x14ac:dyDescent="0.2">
      <c r="B126" s="379"/>
      <c r="C126" s="379"/>
      <c r="E126" s="379"/>
      <c r="F126" s="379"/>
      <c r="G126" s="379"/>
    </row>
    <row r="127" spans="2:7" x14ac:dyDescent="0.2">
      <c r="B127" s="379"/>
      <c r="C127" s="379"/>
      <c r="E127" s="379"/>
      <c r="F127" s="379"/>
      <c r="G127" s="379"/>
    </row>
    <row r="128" spans="2:7" x14ac:dyDescent="0.2">
      <c r="B128" s="379"/>
      <c r="C128" s="379"/>
      <c r="E128" s="379"/>
      <c r="F128" s="379"/>
      <c r="G128" s="379"/>
    </row>
    <row r="129" spans="2:18" x14ac:dyDescent="0.2">
      <c r="B129" s="379"/>
      <c r="C129" s="379"/>
      <c r="E129" s="379"/>
      <c r="F129" s="379"/>
      <c r="G129" s="379"/>
    </row>
    <row r="130" spans="2:18" x14ac:dyDescent="0.2">
      <c r="B130" s="379"/>
      <c r="C130" s="379"/>
      <c r="E130" s="379"/>
      <c r="F130" s="379"/>
      <c r="G130" s="379"/>
    </row>
    <row r="131" spans="2:18" x14ac:dyDescent="0.2">
      <c r="B131" s="379"/>
      <c r="C131" s="379"/>
      <c r="E131" s="379"/>
      <c r="F131" s="379"/>
      <c r="G131" s="379"/>
    </row>
    <row r="132" spans="2:18" x14ac:dyDescent="0.2">
      <c r="B132" s="379"/>
      <c r="C132" s="379"/>
      <c r="E132" s="379"/>
      <c r="F132" s="379"/>
      <c r="G132" s="379"/>
    </row>
    <row r="133" spans="2:18" x14ac:dyDescent="0.2">
      <c r="B133" s="379"/>
      <c r="C133" s="379"/>
      <c r="E133" s="379"/>
      <c r="F133" s="379"/>
      <c r="G133" s="379"/>
    </row>
    <row r="134" spans="2:18" x14ac:dyDescent="0.2">
      <c r="B134" s="379"/>
      <c r="C134" s="379"/>
      <c r="D134" s="18"/>
      <c r="E134" s="379"/>
      <c r="F134" s="379"/>
      <c r="G134" s="379"/>
    </row>
    <row r="135" spans="2:18" x14ac:dyDescent="0.2">
      <c r="B135" s="379"/>
      <c r="C135" s="379"/>
      <c r="D135" s="18"/>
      <c r="E135" s="379"/>
      <c r="F135" s="379"/>
      <c r="G135" s="379"/>
    </row>
    <row r="136" spans="2:18" x14ac:dyDescent="0.2">
      <c r="B136" s="379"/>
      <c r="C136" s="379"/>
      <c r="D136" s="18"/>
      <c r="E136" s="379"/>
      <c r="F136" s="379"/>
      <c r="G136" s="379"/>
      <c r="H136" s="18"/>
      <c r="R136" s="18"/>
    </row>
    <row r="137" spans="2:18" x14ac:dyDescent="0.2">
      <c r="B137" s="379"/>
      <c r="C137" s="379"/>
      <c r="D137" s="379"/>
      <c r="E137" s="379"/>
      <c r="F137" s="379"/>
      <c r="G137" s="379"/>
      <c r="H137" s="18"/>
      <c r="R137" s="18"/>
    </row>
    <row r="138" spans="2:18" x14ac:dyDescent="0.2">
      <c r="B138" s="379"/>
      <c r="C138" s="379"/>
      <c r="D138" s="379"/>
      <c r="E138" s="379"/>
      <c r="F138" s="379"/>
      <c r="G138" s="379"/>
      <c r="H138" s="18"/>
      <c r="P138" s="379"/>
      <c r="Q138" s="379"/>
      <c r="R138" s="18"/>
    </row>
    <row r="139" spans="2:18" x14ac:dyDescent="0.2">
      <c r="B139" s="379"/>
      <c r="C139" s="379"/>
      <c r="D139" s="379"/>
      <c r="E139" s="379"/>
      <c r="F139" s="379"/>
      <c r="G139" s="379"/>
      <c r="H139" s="18"/>
      <c r="P139" s="379"/>
      <c r="Q139" s="379"/>
      <c r="R139" s="18"/>
    </row>
    <row r="140" spans="2:18" x14ac:dyDescent="0.2">
      <c r="B140" s="379"/>
      <c r="C140" s="379"/>
      <c r="D140" s="379"/>
      <c r="E140" s="379"/>
      <c r="F140" s="379"/>
      <c r="G140" s="379"/>
    </row>
    <row r="141" spans="2:18" x14ac:dyDescent="0.2">
      <c r="B141" s="379"/>
      <c r="C141" s="379"/>
      <c r="D141" s="379"/>
      <c r="E141" s="379"/>
      <c r="F141" s="379"/>
      <c r="G141" s="379"/>
    </row>
    <row r="142" spans="2:18" x14ac:dyDescent="0.2">
      <c r="B142" s="379"/>
      <c r="C142" s="379"/>
      <c r="D142" s="379"/>
      <c r="E142" s="379"/>
      <c r="F142" s="379"/>
      <c r="G142" s="379"/>
    </row>
    <row r="143" spans="2:18" x14ac:dyDescent="0.2">
      <c r="B143" s="379"/>
      <c r="C143" s="379"/>
      <c r="D143" s="379"/>
      <c r="E143" s="379"/>
      <c r="F143" s="379"/>
      <c r="G143" s="379"/>
    </row>
    <row r="144" spans="2:18" x14ac:dyDescent="0.2">
      <c r="B144" s="379"/>
      <c r="C144" s="379"/>
      <c r="D144" s="379"/>
      <c r="E144" s="379"/>
      <c r="F144" s="379"/>
      <c r="G144" s="379"/>
    </row>
    <row r="145" spans="2:7" x14ac:dyDescent="0.2">
      <c r="B145" s="379"/>
      <c r="C145" s="379"/>
      <c r="D145" s="379"/>
      <c r="E145" s="379"/>
      <c r="F145" s="379"/>
      <c r="G145" s="379"/>
    </row>
    <row r="146" spans="2:7" x14ac:dyDescent="0.2">
      <c r="B146" s="379"/>
      <c r="C146" s="379"/>
      <c r="D146" s="379"/>
      <c r="E146" s="379"/>
      <c r="F146" s="379"/>
      <c r="G146" s="379"/>
    </row>
    <row r="147" spans="2:7" x14ac:dyDescent="0.2">
      <c r="B147" s="379"/>
      <c r="C147" s="379"/>
      <c r="D147" s="379"/>
      <c r="E147" s="379"/>
      <c r="F147" s="379"/>
      <c r="G147" s="379"/>
    </row>
    <row r="148" spans="2:7" x14ac:dyDescent="0.2">
      <c r="B148" s="379"/>
      <c r="C148" s="379"/>
      <c r="D148" s="379"/>
      <c r="E148" s="379"/>
      <c r="F148" s="379"/>
      <c r="G148" s="379"/>
    </row>
    <row r="149" spans="2:7" x14ac:dyDescent="0.2">
      <c r="B149" s="379"/>
      <c r="C149" s="379"/>
      <c r="D149" s="379"/>
      <c r="E149" s="379"/>
      <c r="F149" s="379"/>
      <c r="G149" s="379"/>
    </row>
    <row r="150" spans="2:7" x14ac:dyDescent="0.2">
      <c r="B150" s="379"/>
      <c r="C150" s="379"/>
      <c r="D150" s="379"/>
      <c r="E150" s="379"/>
      <c r="F150" s="379"/>
      <c r="G150" s="379"/>
    </row>
    <row r="151" spans="2:7" x14ac:dyDescent="0.2">
      <c r="B151" s="379"/>
      <c r="C151" s="379"/>
      <c r="D151" s="379"/>
      <c r="E151" s="379"/>
      <c r="F151" s="379"/>
      <c r="G151" s="379"/>
    </row>
    <row r="152" spans="2:7" x14ac:dyDescent="0.2">
      <c r="B152" s="379"/>
      <c r="C152" s="379"/>
      <c r="D152" s="379"/>
      <c r="E152" s="379"/>
      <c r="F152" s="379"/>
      <c r="G152" s="379"/>
    </row>
    <row r="153" spans="2:7" x14ac:dyDescent="0.2">
      <c r="B153" s="379"/>
      <c r="C153" s="379"/>
      <c r="D153" s="379"/>
      <c r="E153" s="379"/>
      <c r="F153" s="379"/>
      <c r="G153" s="379"/>
    </row>
    <row r="154" spans="2:7" x14ac:dyDescent="0.2">
      <c r="B154" s="379"/>
      <c r="C154" s="379"/>
      <c r="D154" s="379"/>
      <c r="E154" s="379"/>
      <c r="F154" s="379"/>
      <c r="G154" s="379"/>
    </row>
    <row r="155" spans="2:7" x14ac:dyDescent="0.2">
      <c r="B155" s="379"/>
      <c r="C155" s="379"/>
      <c r="D155" s="379"/>
      <c r="E155" s="379"/>
      <c r="F155" s="379"/>
      <c r="G155" s="379"/>
    </row>
    <row r="156" spans="2:7" x14ac:dyDescent="0.2">
      <c r="B156" s="379"/>
      <c r="C156" s="379"/>
      <c r="D156" s="379"/>
      <c r="E156" s="379"/>
      <c r="F156" s="379"/>
      <c r="G156" s="379"/>
    </row>
    <row r="157" spans="2:7" x14ac:dyDescent="0.2">
      <c r="B157" s="379"/>
      <c r="C157" s="379"/>
      <c r="D157" s="379"/>
      <c r="E157" s="379"/>
      <c r="F157" s="379"/>
      <c r="G157" s="379"/>
    </row>
    <row r="158" spans="2:7" x14ac:dyDescent="0.2">
      <c r="B158" s="379"/>
      <c r="C158" s="379"/>
      <c r="D158" s="379"/>
      <c r="E158" s="379"/>
      <c r="F158" s="379"/>
      <c r="G158" s="379"/>
    </row>
    <row r="159" spans="2:7" x14ac:dyDescent="0.2">
      <c r="B159" s="379"/>
      <c r="C159" s="379"/>
      <c r="D159" s="379"/>
      <c r="E159" s="379"/>
      <c r="F159" s="379"/>
      <c r="G159" s="379"/>
    </row>
    <row r="160" spans="2:7" x14ac:dyDescent="0.2">
      <c r="B160" s="379"/>
      <c r="C160" s="379"/>
      <c r="D160" s="379"/>
      <c r="E160" s="379"/>
      <c r="F160" s="379"/>
      <c r="G160" s="379"/>
    </row>
    <row r="161" spans="2:7" x14ac:dyDescent="0.2">
      <c r="B161" s="379"/>
      <c r="C161" s="379"/>
      <c r="D161" s="379"/>
      <c r="E161" s="379"/>
      <c r="F161" s="379"/>
      <c r="G161" s="379"/>
    </row>
    <row r="162" spans="2:7" x14ac:dyDescent="0.2">
      <c r="B162" s="379"/>
      <c r="C162" s="379"/>
      <c r="D162" s="379"/>
      <c r="E162" s="379"/>
      <c r="F162" s="379"/>
      <c r="G162" s="379"/>
    </row>
    <row r="163" spans="2:7" x14ac:dyDescent="0.2">
      <c r="B163" s="379"/>
      <c r="C163" s="379"/>
      <c r="D163" s="379"/>
      <c r="E163" s="379"/>
      <c r="F163" s="379"/>
      <c r="G163" s="379"/>
    </row>
    <row r="164" spans="2:7" x14ac:dyDescent="0.2">
      <c r="B164" s="379"/>
      <c r="C164" s="379"/>
      <c r="D164" s="379"/>
      <c r="E164" s="379"/>
      <c r="F164" s="379"/>
      <c r="G164" s="379"/>
    </row>
    <row r="165" spans="2:7" x14ac:dyDescent="0.2">
      <c r="B165" s="379"/>
      <c r="C165" s="379"/>
      <c r="D165" s="379"/>
      <c r="E165" s="379"/>
      <c r="F165" s="379"/>
      <c r="G165" s="379"/>
    </row>
    <row r="166" spans="2:7" x14ac:dyDescent="0.2">
      <c r="B166" s="379"/>
      <c r="C166" s="379"/>
      <c r="D166" s="379"/>
      <c r="E166" s="379"/>
      <c r="F166" s="379"/>
      <c r="G166" s="379"/>
    </row>
    <row r="167" spans="2:7" x14ac:dyDescent="0.2">
      <c r="B167" s="379"/>
      <c r="C167" s="379"/>
      <c r="D167" s="379"/>
      <c r="E167" s="379"/>
      <c r="F167" s="379"/>
      <c r="G167" s="379"/>
    </row>
    <row r="168" spans="2:7" x14ac:dyDescent="0.2">
      <c r="B168" s="379"/>
      <c r="C168" s="379"/>
      <c r="D168" s="379"/>
      <c r="E168" s="379"/>
      <c r="F168" s="379"/>
      <c r="G168" s="379"/>
    </row>
    <row r="169" spans="2:7" x14ac:dyDescent="0.2">
      <c r="B169" s="379"/>
      <c r="C169" s="379"/>
      <c r="D169" s="379"/>
      <c r="E169" s="379"/>
      <c r="F169" s="379"/>
      <c r="G169" s="379"/>
    </row>
    <row r="170" spans="2:7" x14ac:dyDescent="0.2">
      <c r="B170" s="379"/>
      <c r="C170" s="379"/>
      <c r="D170" s="379"/>
      <c r="E170" s="379"/>
      <c r="F170" s="379"/>
      <c r="G170" s="379"/>
    </row>
    <row r="171" spans="2:7" x14ac:dyDescent="0.2">
      <c r="B171" s="379"/>
      <c r="C171" s="379"/>
      <c r="D171" s="379"/>
      <c r="E171" s="379"/>
      <c r="F171" s="379"/>
      <c r="G171" s="379"/>
    </row>
    <row r="172" spans="2:7" x14ac:dyDescent="0.2">
      <c r="B172" s="379"/>
      <c r="C172" s="379"/>
      <c r="D172" s="379"/>
      <c r="E172" s="379"/>
      <c r="F172" s="379"/>
      <c r="G172" s="379"/>
    </row>
    <row r="173" spans="2:7" x14ac:dyDescent="0.2">
      <c r="B173" s="379"/>
      <c r="C173" s="379"/>
      <c r="D173" s="379"/>
      <c r="E173" s="379"/>
      <c r="F173" s="379"/>
      <c r="G173" s="379"/>
    </row>
    <row r="174" spans="2:7" x14ac:dyDescent="0.2">
      <c r="B174" s="379"/>
      <c r="C174" s="379"/>
      <c r="D174" s="379"/>
      <c r="E174" s="379"/>
      <c r="F174" s="379"/>
      <c r="G174" s="379"/>
    </row>
    <row r="175" spans="2:7" x14ac:dyDescent="0.2">
      <c r="B175" s="379"/>
      <c r="C175" s="379"/>
      <c r="D175" s="379"/>
      <c r="E175" s="379"/>
      <c r="F175" s="379"/>
      <c r="G175" s="379"/>
    </row>
    <row r="176" spans="2:7" x14ac:dyDescent="0.2">
      <c r="B176" s="379"/>
      <c r="C176" s="379"/>
      <c r="D176" s="379"/>
      <c r="E176" s="379"/>
      <c r="F176" s="379"/>
      <c r="G176" s="379"/>
    </row>
    <row r="177" spans="2:7" x14ac:dyDescent="0.2">
      <c r="B177" s="379"/>
      <c r="C177" s="379"/>
      <c r="D177" s="379"/>
      <c r="E177" s="379"/>
      <c r="F177" s="379"/>
      <c r="G177" s="379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S137"/>
  <sheetViews>
    <sheetView zoomScaleNormal="100" workbookViewId="0">
      <pane xSplit="1" ySplit="4" topLeftCell="B80" activePane="bottomRight" state="frozen"/>
      <selection sqref="A1:B4"/>
      <selection pane="topRight" sqref="A1:B4"/>
      <selection pane="bottomLeft" sqref="A1:B4"/>
      <selection pane="bottomRight" activeCell="C104" sqref="C104"/>
    </sheetView>
  </sheetViews>
  <sheetFormatPr defaultColWidth="9.140625" defaultRowHeight="12.75" x14ac:dyDescent="0.2"/>
  <cols>
    <col min="1" max="1" width="20.5703125" style="1" customWidth="1"/>
    <col min="2" max="2" width="8.42578125" style="8" bestFit="1" customWidth="1"/>
    <col min="3" max="3" width="10.42578125" style="8" customWidth="1"/>
    <col min="4" max="4" width="7.85546875" style="8" bestFit="1" customWidth="1"/>
    <col min="5" max="5" width="20.85546875" style="13" bestFit="1" customWidth="1"/>
    <col min="6" max="6" width="20.5703125" style="14" customWidth="1"/>
    <col min="7" max="7" width="16" style="8" bestFit="1" customWidth="1"/>
    <col min="8" max="8" width="7.42578125" style="8" bestFit="1" customWidth="1"/>
    <col min="9" max="9" width="9" style="15" customWidth="1"/>
    <col min="10" max="10" width="13" style="15" customWidth="1"/>
    <col min="11" max="11" width="9" style="1" customWidth="1"/>
    <col min="12" max="16384" width="9.140625" style="1"/>
  </cols>
  <sheetData>
    <row r="1" spans="1:19" x14ac:dyDescent="0.2">
      <c r="A1" s="2" t="s">
        <v>161</v>
      </c>
    </row>
    <row r="2" spans="1:19" ht="5.0999999999999996" customHeight="1" thickBot="1" x14ac:dyDescent="0.25"/>
    <row r="3" spans="1:19" s="16" customFormat="1" ht="45" customHeight="1" thickTop="1" thickBot="1" x14ac:dyDescent="0.25">
      <c r="A3" s="23" t="s">
        <v>93</v>
      </c>
      <c r="B3" s="275" t="s">
        <v>110</v>
      </c>
      <c r="C3" s="276" t="s">
        <v>111</v>
      </c>
      <c r="D3" s="276" t="s">
        <v>112</v>
      </c>
      <c r="E3" s="276" t="s">
        <v>116</v>
      </c>
      <c r="F3" s="276" t="s">
        <v>117</v>
      </c>
      <c r="G3" s="276" t="s">
        <v>57</v>
      </c>
      <c r="H3" s="276" t="s">
        <v>113</v>
      </c>
      <c r="I3" s="276" t="s">
        <v>114</v>
      </c>
      <c r="J3" s="462" t="s">
        <v>70</v>
      </c>
      <c r="K3" s="277" t="s">
        <v>115</v>
      </c>
      <c r="L3" s="299"/>
      <c r="M3" s="299"/>
    </row>
    <row r="4" spans="1:19" ht="14.25" thickTop="1" thickBot="1" x14ac:dyDescent="0.25">
      <c r="A4" s="25" t="s">
        <v>11</v>
      </c>
      <c r="B4" s="26"/>
      <c r="C4" s="26"/>
      <c r="D4" s="27"/>
      <c r="E4" s="26"/>
      <c r="F4" s="26"/>
      <c r="G4" s="26"/>
      <c r="H4" s="26"/>
      <c r="I4" s="26"/>
      <c r="J4" s="26"/>
      <c r="K4" s="28"/>
    </row>
    <row r="5" spans="1:19" x14ac:dyDescent="0.2">
      <c r="A5" s="186" t="s">
        <v>94</v>
      </c>
      <c r="B5" s="107">
        <v>33828</v>
      </c>
      <c r="C5" s="108">
        <v>22793</v>
      </c>
      <c r="D5" s="271">
        <v>1.4841398675031807</v>
      </c>
      <c r="E5" s="108">
        <v>2776</v>
      </c>
      <c r="F5" s="110">
        <v>8.2062196996570885E-2</v>
      </c>
      <c r="G5" s="110" t="s">
        <v>73</v>
      </c>
      <c r="H5" s="108">
        <v>14008</v>
      </c>
      <c r="I5" s="108">
        <v>12148</v>
      </c>
      <c r="J5" s="110">
        <v>0.61457465011187651</v>
      </c>
      <c r="K5" s="111" t="s">
        <v>15</v>
      </c>
    </row>
    <row r="6" spans="1:19" x14ac:dyDescent="0.2">
      <c r="A6" s="188" t="s">
        <v>95</v>
      </c>
      <c r="B6" s="112">
        <v>2074</v>
      </c>
      <c r="C6" s="113">
        <v>1960</v>
      </c>
      <c r="D6" s="272">
        <v>1.0581632653061224</v>
      </c>
      <c r="E6" s="113">
        <v>1753</v>
      </c>
      <c r="F6" s="56">
        <v>0.84522661523625842</v>
      </c>
      <c r="G6" s="56" t="s">
        <v>73</v>
      </c>
      <c r="H6" s="113">
        <v>1424</v>
      </c>
      <c r="I6" s="113">
        <v>1321</v>
      </c>
      <c r="J6" s="56">
        <v>0.72653061224489801</v>
      </c>
      <c r="K6" s="57" t="s">
        <v>15</v>
      </c>
      <c r="L6" s="8"/>
    </row>
    <row r="7" spans="1:19" ht="13.5" thickBot="1" x14ac:dyDescent="0.25">
      <c r="A7" s="189" t="s">
        <v>18</v>
      </c>
      <c r="B7" s="114">
        <v>35902</v>
      </c>
      <c r="C7" s="115">
        <v>24551</v>
      </c>
      <c r="D7" s="273">
        <v>1.4623436927212741</v>
      </c>
      <c r="E7" s="115">
        <v>29549</v>
      </c>
      <c r="F7" s="116">
        <v>0.82304606985683249</v>
      </c>
      <c r="G7" s="116" t="s">
        <v>73</v>
      </c>
      <c r="H7" s="115">
        <v>15398</v>
      </c>
      <c r="I7" s="115">
        <v>13456</v>
      </c>
      <c r="J7" s="116">
        <v>0.62718422874831981</v>
      </c>
      <c r="K7" s="117" t="s">
        <v>15</v>
      </c>
    </row>
    <row r="8" spans="1:19" ht="13.5" thickBot="1" x14ac:dyDescent="0.25">
      <c r="A8" s="25" t="s">
        <v>4</v>
      </c>
      <c r="B8" s="26"/>
      <c r="C8" s="26"/>
      <c r="D8" s="27"/>
      <c r="E8" s="26"/>
      <c r="F8" s="26"/>
      <c r="G8" s="26"/>
      <c r="H8" s="26"/>
      <c r="I8" s="301"/>
      <c r="J8" s="26"/>
      <c r="K8" s="302"/>
    </row>
    <row r="9" spans="1:19" x14ac:dyDescent="0.2">
      <c r="A9" s="186" t="s">
        <v>94</v>
      </c>
      <c r="B9" s="107">
        <v>17894</v>
      </c>
      <c r="C9" s="108">
        <v>12565</v>
      </c>
      <c r="D9" s="271">
        <v>1.4241146040588937</v>
      </c>
      <c r="E9" s="108">
        <v>14148</v>
      </c>
      <c r="F9" s="110">
        <v>0.79065608583882863</v>
      </c>
      <c r="G9" s="270">
        <v>11126</v>
      </c>
      <c r="H9" s="270">
        <v>8275</v>
      </c>
      <c r="I9" s="108">
        <v>6949</v>
      </c>
      <c r="J9" s="110">
        <v>0.65857540787902902</v>
      </c>
      <c r="K9" s="246">
        <f>H9/G9</f>
        <v>0.74375337048355206</v>
      </c>
    </row>
    <row r="10" spans="1:19" x14ac:dyDescent="0.2">
      <c r="A10" s="188" t="s">
        <v>95</v>
      </c>
      <c r="B10" s="112">
        <v>3326</v>
      </c>
      <c r="C10" s="113">
        <v>3068</v>
      </c>
      <c r="D10" s="272">
        <v>1.0840938722294655</v>
      </c>
      <c r="E10" s="113">
        <v>2705</v>
      </c>
      <c r="F10" s="56">
        <v>0.8132892363199038</v>
      </c>
      <c r="G10" s="113">
        <v>2574</v>
      </c>
      <c r="H10" s="113">
        <v>2207</v>
      </c>
      <c r="I10" s="113">
        <v>1856</v>
      </c>
      <c r="J10" s="56">
        <v>0.71936114732724898</v>
      </c>
      <c r="K10" s="57">
        <f>H10/G10</f>
        <v>0.85742035742035738</v>
      </c>
    </row>
    <row r="11" spans="1:19" ht="13.5" thickBot="1" x14ac:dyDescent="0.25">
      <c r="A11" s="189" t="s">
        <v>18</v>
      </c>
      <c r="B11" s="114">
        <v>21220</v>
      </c>
      <c r="C11" s="115">
        <v>15406</v>
      </c>
      <c r="D11" s="273">
        <v>1.3773854342463976</v>
      </c>
      <c r="E11" s="115">
        <v>16853</v>
      </c>
      <c r="F11" s="116">
        <v>0.79420358152686144</v>
      </c>
      <c r="G11" s="115">
        <v>13598</v>
      </c>
      <c r="H11" s="115">
        <v>10446</v>
      </c>
      <c r="I11" s="115">
        <v>8797</v>
      </c>
      <c r="J11" s="116">
        <v>0.6780475139556017</v>
      </c>
      <c r="K11" s="117">
        <f>H11/G11</f>
        <v>0.76820120605971465</v>
      </c>
    </row>
    <row r="12" spans="1:19" ht="13.5" thickBot="1" x14ac:dyDescent="0.25">
      <c r="A12" s="25" t="s">
        <v>5</v>
      </c>
      <c r="B12" s="26"/>
      <c r="C12" s="26"/>
      <c r="D12" s="27"/>
      <c r="E12" s="26"/>
      <c r="F12" s="26"/>
      <c r="G12" s="26"/>
      <c r="H12" s="26"/>
      <c r="I12" s="301"/>
      <c r="J12" s="26"/>
      <c r="K12" s="302"/>
    </row>
    <row r="13" spans="1:19" x14ac:dyDescent="0.2">
      <c r="A13" s="186" t="s">
        <v>94</v>
      </c>
      <c r="B13" s="107">
        <v>25576</v>
      </c>
      <c r="C13" s="108">
        <v>17963</v>
      </c>
      <c r="D13" s="271">
        <v>1.4238156209987196</v>
      </c>
      <c r="E13" s="108">
        <v>19630</v>
      </c>
      <c r="F13" s="110">
        <v>0.76751642164529243</v>
      </c>
      <c r="G13" s="108">
        <v>15609</v>
      </c>
      <c r="H13" s="108">
        <v>12162</v>
      </c>
      <c r="I13" s="108">
        <v>10239</v>
      </c>
      <c r="J13" s="110">
        <v>0.67705839781773647</v>
      </c>
      <c r="K13" s="111">
        <f>H13/G13</f>
        <v>0.77916586584662695</v>
      </c>
    </row>
    <row r="14" spans="1:19" x14ac:dyDescent="0.2">
      <c r="A14" s="188" t="s">
        <v>95</v>
      </c>
      <c r="B14" s="112">
        <v>2635</v>
      </c>
      <c r="C14" s="113">
        <v>2519</v>
      </c>
      <c r="D14" s="272">
        <v>1.0460500198491465</v>
      </c>
      <c r="E14" s="113">
        <v>2077</v>
      </c>
      <c r="F14" s="56">
        <v>0.78823529411764703</v>
      </c>
      <c r="G14" s="113">
        <v>2039</v>
      </c>
      <c r="H14" s="113">
        <v>1708</v>
      </c>
      <c r="I14" s="113">
        <v>1577</v>
      </c>
      <c r="J14" s="56">
        <v>0.67804684398570858</v>
      </c>
      <c r="K14" s="57">
        <f>H14/G14</f>
        <v>0.83766552231486024</v>
      </c>
    </row>
    <row r="15" spans="1:19" ht="13.5" thickBot="1" x14ac:dyDescent="0.25">
      <c r="A15" s="189" t="s">
        <v>18</v>
      </c>
      <c r="B15" s="114">
        <v>28211</v>
      </c>
      <c r="C15" s="115">
        <v>20319</v>
      </c>
      <c r="D15" s="273">
        <v>1.3884049411880506</v>
      </c>
      <c r="E15" s="115">
        <v>21707</v>
      </c>
      <c r="F15" s="116">
        <v>0.76945163234199421</v>
      </c>
      <c r="G15" s="115">
        <v>17579</v>
      </c>
      <c r="H15" s="304">
        <v>13870</v>
      </c>
      <c r="I15" s="304">
        <v>11816</v>
      </c>
      <c r="J15" s="116">
        <v>0.6826123332841183</v>
      </c>
      <c r="K15" s="117">
        <f>H15/G15</f>
        <v>0.7890096137436714</v>
      </c>
      <c r="L15" s="254"/>
      <c r="M15" s="252"/>
      <c r="N15" s="252"/>
      <c r="O15" s="252"/>
      <c r="P15" s="252"/>
      <c r="Q15" s="252"/>
      <c r="R15" s="252"/>
      <c r="S15" s="252"/>
    </row>
    <row r="16" spans="1:19" ht="13.5" thickBot="1" x14ac:dyDescent="0.25">
      <c r="A16" s="25" t="s">
        <v>41</v>
      </c>
      <c r="B16" s="26"/>
      <c r="C16" s="26"/>
      <c r="D16" s="27"/>
      <c r="E16" s="26"/>
      <c r="F16" s="26"/>
      <c r="G16" s="26"/>
      <c r="H16" s="26"/>
      <c r="I16" s="301"/>
      <c r="J16" s="26"/>
      <c r="K16" s="302"/>
      <c r="M16" s="286"/>
      <c r="N16" s="286"/>
      <c r="O16" s="286"/>
      <c r="P16" s="286"/>
      <c r="Q16" s="286"/>
      <c r="R16" s="252"/>
      <c r="S16" s="252"/>
    </row>
    <row r="17" spans="1:19" x14ac:dyDescent="0.2">
      <c r="A17" s="186" t="s">
        <v>94</v>
      </c>
      <c r="B17" s="107">
        <v>26161</v>
      </c>
      <c r="C17" s="108">
        <v>19402</v>
      </c>
      <c r="D17" s="271">
        <v>1.3483661478198123</v>
      </c>
      <c r="E17" s="108">
        <v>16990</v>
      </c>
      <c r="F17" s="110">
        <v>0.64944000611597419</v>
      </c>
      <c r="G17" s="108">
        <v>16990</v>
      </c>
      <c r="H17" s="108">
        <v>12769</v>
      </c>
      <c r="I17" s="108">
        <v>10736</v>
      </c>
      <c r="J17" s="110">
        <v>0.65812802803834658</v>
      </c>
      <c r="K17" s="111">
        <f>H17/G17</f>
        <v>0.75155974102413181</v>
      </c>
      <c r="M17" s="286"/>
      <c r="N17" s="286"/>
      <c r="O17" s="286"/>
      <c r="P17" s="286"/>
      <c r="Q17" s="286"/>
      <c r="R17" s="252"/>
      <c r="S17" s="252"/>
    </row>
    <row r="18" spans="1:19" x14ac:dyDescent="0.2">
      <c r="A18" s="188" t="s">
        <v>95</v>
      </c>
      <c r="B18" s="112">
        <v>3289</v>
      </c>
      <c r="C18" s="113">
        <v>3097</v>
      </c>
      <c r="D18" s="272">
        <v>1.0619954794962867</v>
      </c>
      <c r="E18" s="113">
        <v>2674</v>
      </c>
      <c r="F18" s="56">
        <v>0.8130130738826391</v>
      </c>
      <c r="G18" s="113">
        <v>2674</v>
      </c>
      <c r="H18" s="113">
        <v>2116</v>
      </c>
      <c r="I18" s="113">
        <v>1881</v>
      </c>
      <c r="J18" s="56">
        <v>0.68324184694865997</v>
      </c>
      <c r="K18" s="57">
        <f>H18/G18</f>
        <v>0.79132385938668659</v>
      </c>
      <c r="M18" s="286"/>
      <c r="N18" s="286"/>
      <c r="O18" s="286"/>
      <c r="P18" s="286"/>
      <c r="Q18" s="286"/>
      <c r="R18" s="252"/>
      <c r="S18" s="252"/>
    </row>
    <row r="19" spans="1:19" ht="13.5" thickBot="1" x14ac:dyDescent="0.25">
      <c r="A19" s="189" t="s">
        <v>18</v>
      </c>
      <c r="B19" s="114">
        <v>29450</v>
      </c>
      <c r="C19" s="115">
        <v>22220</v>
      </c>
      <c r="D19" s="273">
        <v>1.3253825382538253</v>
      </c>
      <c r="E19" s="115">
        <v>19520</v>
      </c>
      <c r="F19" s="116">
        <v>0.66281833616298813</v>
      </c>
      <c r="G19" s="115">
        <v>19520</v>
      </c>
      <c r="H19" s="304">
        <v>14885</v>
      </c>
      <c r="I19" s="304">
        <v>12617</v>
      </c>
      <c r="J19" s="116">
        <v>0.6698919891989199</v>
      </c>
      <c r="K19" s="117">
        <f>H19/G19</f>
        <v>0.76255122950819676</v>
      </c>
      <c r="M19" s="286"/>
      <c r="N19" s="286"/>
      <c r="O19" s="286"/>
      <c r="P19" s="286"/>
      <c r="Q19" s="286"/>
      <c r="R19" s="252"/>
      <c r="S19" s="252"/>
    </row>
    <row r="20" spans="1:19" ht="13.5" thickBot="1" x14ac:dyDescent="0.25">
      <c r="A20" s="25" t="s">
        <v>53</v>
      </c>
      <c r="B20" s="26"/>
      <c r="C20" s="26"/>
      <c r="D20" s="27"/>
      <c r="E20" s="26"/>
      <c r="F20" s="26"/>
      <c r="G20" s="26"/>
      <c r="H20" s="26"/>
      <c r="I20" s="301"/>
      <c r="J20" s="26"/>
      <c r="K20" s="302"/>
      <c r="M20" s="286"/>
      <c r="N20" s="286"/>
      <c r="O20" s="286"/>
      <c r="P20" s="286"/>
      <c r="Q20" s="286"/>
      <c r="R20" s="252"/>
      <c r="S20" s="252"/>
    </row>
    <row r="21" spans="1:19" x14ac:dyDescent="0.2">
      <c r="A21" s="186" t="s">
        <v>94</v>
      </c>
      <c r="B21" s="107">
        <v>29230</v>
      </c>
      <c r="C21" s="108">
        <v>21302</v>
      </c>
      <c r="D21" s="271">
        <v>1.3721716270772697</v>
      </c>
      <c r="E21" s="108">
        <v>23279</v>
      </c>
      <c r="F21" s="110">
        <v>0.79640780020526858</v>
      </c>
      <c r="G21" s="108">
        <v>18686</v>
      </c>
      <c r="H21" s="108">
        <v>13315</v>
      </c>
      <c r="I21" s="108">
        <v>11384</v>
      </c>
      <c r="J21" s="110">
        <v>0.62505867993615627</v>
      </c>
      <c r="K21" s="111">
        <f>H21/G21</f>
        <v>0.71256555710157332</v>
      </c>
      <c r="M21" s="286"/>
      <c r="N21" s="286"/>
      <c r="O21" s="286"/>
      <c r="P21" s="286"/>
      <c r="Q21" s="286"/>
      <c r="R21" s="252"/>
      <c r="S21" s="252"/>
    </row>
    <row r="22" spans="1:19" x14ac:dyDescent="0.2">
      <c r="A22" s="188" t="s">
        <v>95</v>
      </c>
      <c r="B22" s="112">
        <v>3443</v>
      </c>
      <c r="C22" s="113">
        <v>3251</v>
      </c>
      <c r="D22" s="272">
        <v>1.0590587511534912</v>
      </c>
      <c r="E22" s="113">
        <v>2904</v>
      </c>
      <c r="F22" s="56">
        <v>0.8434504792332268</v>
      </c>
      <c r="G22" s="113">
        <v>2842</v>
      </c>
      <c r="H22" s="113">
        <v>2222</v>
      </c>
      <c r="I22" s="113">
        <v>2060</v>
      </c>
      <c r="J22" s="56">
        <v>0.68348200553675797</v>
      </c>
      <c r="K22" s="57">
        <f>H22/G22</f>
        <v>0.78184377199155519</v>
      </c>
      <c r="M22" s="286"/>
      <c r="N22" s="286"/>
      <c r="O22" s="286"/>
      <c r="P22" s="286"/>
      <c r="Q22" s="286"/>
      <c r="R22" s="252"/>
      <c r="S22" s="252"/>
    </row>
    <row r="23" spans="1:19" ht="13.5" thickBot="1" x14ac:dyDescent="0.25">
      <c r="A23" s="189" t="s">
        <v>18</v>
      </c>
      <c r="B23" s="114">
        <v>32673</v>
      </c>
      <c r="C23" s="115">
        <v>24339</v>
      </c>
      <c r="D23" s="273">
        <v>1.3424134105756194</v>
      </c>
      <c r="E23" s="115">
        <v>26183</v>
      </c>
      <c r="F23" s="116">
        <v>0.80136504147155141</v>
      </c>
      <c r="G23" s="115">
        <v>21394</v>
      </c>
      <c r="H23" s="115">
        <v>15507</v>
      </c>
      <c r="I23" s="115">
        <v>13434</v>
      </c>
      <c r="J23" s="116">
        <v>0.63712560088746462</v>
      </c>
      <c r="K23" s="117">
        <f>H23/G23</f>
        <v>0.72482939141815461</v>
      </c>
      <c r="M23" s="286"/>
      <c r="N23" s="286"/>
      <c r="O23" s="286"/>
      <c r="P23" s="286"/>
      <c r="Q23" s="286"/>
      <c r="R23" s="252"/>
      <c r="S23" s="252"/>
    </row>
    <row r="24" spans="1:19" ht="13.5" thickBot="1" x14ac:dyDescent="0.25">
      <c r="A24" s="25" t="s">
        <v>54</v>
      </c>
      <c r="B24" s="26"/>
      <c r="C24" s="26"/>
      <c r="D24" s="27"/>
      <c r="E24" s="26"/>
      <c r="F24" s="26"/>
      <c r="G24" s="26"/>
      <c r="H24" s="26"/>
      <c r="I24" s="301"/>
      <c r="J24" s="26"/>
      <c r="K24" s="302"/>
      <c r="M24" s="286"/>
      <c r="N24" s="286"/>
      <c r="O24" s="286"/>
      <c r="P24" s="286"/>
      <c r="Q24" s="286"/>
      <c r="R24" s="252"/>
      <c r="S24" s="252"/>
    </row>
    <row r="25" spans="1:19" x14ac:dyDescent="0.2">
      <c r="A25" s="186" t="s">
        <v>94</v>
      </c>
      <c r="B25" s="107">
        <v>24240</v>
      </c>
      <c r="C25" s="108">
        <v>18103</v>
      </c>
      <c r="D25" s="271">
        <v>1.3390045848754351</v>
      </c>
      <c r="E25" s="108">
        <v>19244</v>
      </c>
      <c r="F25" s="110">
        <v>0.79389438943894386</v>
      </c>
      <c r="G25" s="108">
        <v>15609</v>
      </c>
      <c r="H25" s="108">
        <v>11732</v>
      </c>
      <c r="I25" s="108">
        <v>9937</v>
      </c>
      <c r="J25" s="110">
        <v>0.64806938076561893</v>
      </c>
      <c r="K25" s="246">
        <v>0.75161765648023571</v>
      </c>
      <c r="M25" s="298"/>
      <c r="N25" s="252"/>
      <c r="O25" s="252"/>
      <c r="P25" s="252"/>
      <c r="Q25" s="252"/>
      <c r="R25" s="252"/>
      <c r="S25" s="252"/>
    </row>
    <row r="26" spans="1:19" x14ac:dyDescent="0.2">
      <c r="A26" s="188" t="s">
        <v>95</v>
      </c>
      <c r="B26" s="112">
        <v>2767</v>
      </c>
      <c r="C26" s="113">
        <v>2627</v>
      </c>
      <c r="D26" s="272">
        <v>1.0532927293490675</v>
      </c>
      <c r="E26" s="113">
        <v>2090</v>
      </c>
      <c r="F26" s="56">
        <v>0.75533068305023487</v>
      </c>
      <c r="G26" s="113">
        <v>2037</v>
      </c>
      <c r="H26" s="113">
        <v>1654</v>
      </c>
      <c r="I26" s="113">
        <v>1371</v>
      </c>
      <c r="J26" s="56">
        <v>0.62961553102398171</v>
      </c>
      <c r="K26" s="101">
        <v>0.81197839960726559</v>
      </c>
      <c r="M26" s="298"/>
      <c r="N26" s="252"/>
      <c r="O26" s="252"/>
      <c r="P26" s="252"/>
      <c r="Q26" s="252"/>
      <c r="R26" s="252"/>
      <c r="S26" s="252"/>
    </row>
    <row r="27" spans="1:19" ht="13.5" thickBot="1" x14ac:dyDescent="0.25">
      <c r="A27" s="189" t="s">
        <v>18</v>
      </c>
      <c r="B27" s="114">
        <v>27007</v>
      </c>
      <c r="C27" s="115">
        <v>20595</v>
      </c>
      <c r="D27" s="273">
        <v>1.31133770332605</v>
      </c>
      <c r="E27" s="115">
        <v>21334</v>
      </c>
      <c r="F27" s="116">
        <v>0.78994334802088351</v>
      </c>
      <c r="G27" s="115">
        <v>17577</v>
      </c>
      <c r="H27" s="115">
        <v>13361</v>
      </c>
      <c r="I27" s="115">
        <v>11300</v>
      </c>
      <c r="J27" s="116">
        <v>0.64874969652828351</v>
      </c>
      <c r="K27" s="269">
        <v>0.76014109347442682</v>
      </c>
      <c r="M27" s="298"/>
      <c r="N27" s="252"/>
      <c r="O27" s="252"/>
      <c r="P27" s="252"/>
      <c r="Q27" s="252"/>
      <c r="R27" s="252"/>
      <c r="S27" s="252"/>
    </row>
    <row r="28" spans="1:19" ht="13.5" thickBot="1" x14ac:dyDescent="0.25">
      <c r="A28" s="25" t="s">
        <v>76</v>
      </c>
      <c r="B28" s="26"/>
      <c r="C28" s="26"/>
      <c r="D28" s="27"/>
      <c r="E28" s="26"/>
      <c r="F28" s="26"/>
      <c r="G28" s="26"/>
      <c r="H28" s="26"/>
      <c r="I28" s="301"/>
      <c r="J28" s="26"/>
      <c r="K28" s="302"/>
      <c r="L28" s="252"/>
      <c r="M28" s="252"/>
      <c r="N28" s="252"/>
      <c r="O28" s="252"/>
      <c r="P28" s="252"/>
      <c r="Q28" s="252"/>
      <c r="R28" s="252"/>
    </row>
    <row r="29" spans="1:19" x14ac:dyDescent="0.2">
      <c r="A29" s="186" t="s">
        <v>94</v>
      </c>
      <c r="B29" s="107">
        <v>22090</v>
      </c>
      <c r="C29" s="108">
        <v>16841</v>
      </c>
      <c r="D29" s="271">
        <v>1.3116798289887774</v>
      </c>
      <c r="E29" s="108">
        <v>16790</v>
      </c>
      <c r="F29" s="110">
        <v>0.76007243096423727</v>
      </c>
      <c r="G29" s="108">
        <v>14090</v>
      </c>
      <c r="H29" s="108">
        <v>11398</v>
      </c>
      <c r="I29" s="270">
        <v>9499</v>
      </c>
      <c r="J29" s="110">
        <v>0.67680066504364345</v>
      </c>
      <c r="K29" s="246">
        <v>0.80894251242015613</v>
      </c>
      <c r="L29" s="286"/>
      <c r="M29" s="286"/>
      <c r="N29" s="286"/>
      <c r="O29" s="286"/>
      <c r="P29" s="286"/>
      <c r="Q29" s="286"/>
      <c r="R29" s="252"/>
    </row>
    <row r="30" spans="1:19" x14ac:dyDescent="0.2">
      <c r="A30" s="188" t="s">
        <v>95</v>
      </c>
      <c r="B30" s="112">
        <v>2883</v>
      </c>
      <c r="C30" s="113">
        <v>2753</v>
      </c>
      <c r="D30" s="272">
        <v>1.0472212132219396</v>
      </c>
      <c r="E30" s="113">
        <v>2341</v>
      </c>
      <c r="F30" s="56">
        <v>0.81200138744363515</v>
      </c>
      <c r="G30" s="113">
        <v>2288</v>
      </c>
      <c r="H30" s="113">
        <v>1829</v>
      </c>
      <c r="I30" s="137">
        <v>1658</v>
      </c>
      <c r="J30" s="56">
        <v>0.66436614602252086</v>
      </c>
      <c r="K30" s="101">
        <v>0.79938811188811187</v>
      </c>
      <c r="L30" s="286"/>
      <c r="M30" s="286"/>
      <c r="N30" s="286"/>
      <c r="O30" s="286"/>
      <c r="P30" s="286"/>
      <c r="Q30" s="286"/>
      <c r="R30" s="252"/>
    </row>
    <row r="31" spans="1:19" ht="13.5" thickBot="1" x14ac:dyDescent="0.25">
      <c r="A31" s="189" t="s">
        <v>18</v>
      </c>
      <c r="B31" s="114">
        <v>24973</v>
      </c>
      <c r="C31" s="115">
        <v>19441</v>
      </c>
      <c r="D31" s="273">
        <v>1.284553263721002</v>
      </c>
      <c r="E31" s="115">
        <v>19131</v>
      </c>
      <c r="F31" s="116">
        <v>0.76606735274096027</v>
      </c>
      <c r="G31" s="115">
        <v>16309</v>
      </c>
      <c r="H31" s="304">
        <v>13203</v>
      </c>
      <c r="I31" s="304">
        <v>11149</v>
      </c>
      <c r="J31" s="116">
        <v>0.67913173190679488</v>
      </c>
      <c r="K31" s="117">
        <v>0.80955300754184811</v>
      </c>
      <c r="L31" s="254"/>
      <c r="M31" s="286"/>
      <c r="N31" s="286"/>
      <c r="O31" s="286"/>
      <c r="P31" s="286"/>
      <c r="Q31" s="286"/>
    </row>
    <row r="32" spans="1:19" ht="13.5" thickBot="1" x14ac:dyDescent="0.25">
      <c r="A32" s="25" t="s">
        <v>84</v>
      </c>
      <c r="B32" s="26"/>
      <c r="C32" s="26"/>
      <c r="D32" s="27"/>
      <c r="E32" s="26"/>
      <c r="F32" s="26"/>
      <c r="G32" s="26"/>
      <c r="H32" s="26"/>
      <c r="I32" s="301"/>
      <c r="J32" s="26"/>
      <c r="K32" s="302"/>
      <c r="L32" s="286"/>
      <c r="M32" s="286"/>
      <c r="N32" s="286"/>
      <c r="O32" s="286"/>
      <c r="P32" s="286"/>
      <c r="Q32" s="286"/>
    </row>
    <row r="33" spans="1:18" x14ac:dyDescent="0.2">
      <c r="A33" s="186" t="s">
        <v>94</v>
      </c>
      <c r="B33" s="107">
        <v>19455</v>
      </c>
      <c r="C33" s="108">
        <v>14282</v>
      </c>
      <c r="D33" s="271">
        <v>1.3622041730850021</v>
      </c>
      <c r="E33" s="108">
        <v>14941</v>
      </c>
      <c r="F33" s="110">
        <v>0.76797738370598823</v>
      </c>
      <c r="G33" s="108">
        <v>12576</v>
      </c>
      <c r="H33" s="270">
        <v>10723</v>
      </c>
      <c r="I33" s="270">
        <v>9081</v>
      </c>
      <c r="J33" s="110">
        <v>0.75080520935443218</v>
      </c>
      <c r="K33" s="246">
        <v>0.8526558524173028</v>
      </c>
      <c r="L33" s="286"/>
      <c r="M33" s="286"/>
      <c r="N33" s="286"/>
      <c r="O33" s="286"/>
      <c r="P33" s="286"/>
      <c r="Q33" s="286"/>
      <c r="R33" s="252"/>
    </row>
    <row r="34" spans="1:18" x14ac:dyDescent="0.2">
      <c r="A34" s="188" t="s">
        <v>95</v>
      </c>
      <c r="B34" s="112">
        <v>3166</v>
      </c>
      <c r="C34" s="113">
        <v>3050</v>
      </c>
      <c r="D34" s="272">
        <v>1.0380327868852459</v>
      </c>
      <c r="E34" s="113">
        <v>2536</v>
      </c>
      <c r="F34" s="56">
        <v>0.80101073910296905</v>
      </c>
      <c r="G34" s="113">
        <v>2491</v>
      </c>
      <c r="H34" s="137">
        <v>1958</v>
      </c>
      <c r="I34" s="137">
        <v>1786</v>
      </c>
      <c r="J34" s="56">
        <v>0.64196721311475413</v>
      </c>
      <c r="K34" s="101">
        <v>0.78602970694500196</v>
      </c>
      <c r="M34" s="252"/>
      <c r="N34" s="252"/>
      <c r="O34" s="252"/>
      <c r="P34" s="252"/>
      <c r="Q34" s="252"/>
      <c r="R34" s="252"/>
    </row>
    <row r="35" spans="1:18" ht="13.5" thickBot="1" x14ac:dyDescent="0.25">
      <c r="A35" s="189" t="s">
        <v>18</v>
      </c>
      <c r="B35" s="114">
        <v>22621</v>
      </c>
      <c r="C35" s="115">
        <v>17164</v>
      </c>
      <c r="D35" s="273">
        <v>1.3179328827779073</v>
      </c>
      <c r="E35" s="115">
        <v>17477</v>
      </c>
      <c r="F35" s="116">
        <v>0.77260068078334287</v>
      </c>
      <c r="G35" s="115">
        <v>14989</v>
      </c>
      <c r="H35" s="304">
        <v>12645</v>
      </c>
      <c r="I35" s="304">
        <v>10858</v>
      </c>
      <c r="J35" s="116">
        <v>0.73671638312747612</v>
      </c>
      <c r="K35" s="117">
        <v>0.84361865367936484</v>
      </c>
    </row>
    <row r="36" spans="1:18" ht="13.5" thickBot="1" x14ac:dyDescent="0.25">
      <c r="A36" s="25" t="s">
        <v>87</v>
      </c>
      <c r="B36" s="26"/>
      <c r="C36" s="26"/>
      <c r="D36" s="27"/>
      <c r="E36" s="26"/>
      <c r="F36" s="26"/>
      <c r="G36" s="26"/>
      <c r="H36" s="26"/>
      <c r="I36" s="301"/>
      <c r="J36" s="26"/>
      <c r="K36" s="302"/>
    </row>
    <row r="37" spans="1:18" x14ac:dyDescent="0.2">
      <c r="A37" s="186" t="s">
        <v>94</v>
      </c>
      <c r="B37" s="107">
        <v>16819</v>
      </c>
      <c r="C37" s="108">
        <v>13365</v>
      </c>
      <c r="D37" s="271">
        <v>1.2584362139917695</v>
      </c>
      <c r="E37" s="108">
        <v>13915</v>
      </c>
      <c r="F37" s="110">
        <v>0.82733812949640284</v>
      </c>
      <c r="G37" s="108">
        <v>12030</v>
      </c>
      <c r="H37" s="270">
        <v>10543</v>
      </c>
      <c r="I37" s="270">
        <v>8591</v>
      </c>
      <c r="J37" s="110">
        <v>0.78885147774036668</v>
      </c>
      <c r="K37" s="246">
        <v>0.87639235245220282</v>
      </c>
    </row>
    <row r="38" spans="1:18" x14ac:dyDescent="0.2">
      <c r="A38" s="188" t="s">
        <v>95</v>
      </c>
      <c r="B38" s="112">
        <v>4419</v>
      </c>
      <c r="C38" s="113">
        <v>4244</v>
      </c>
      <c r="D38" s="272">
        <v>1.0412346842601319</v>
      </c>
      <c r="E38" s="113">
        <v>3733</v>
      </c>
      <c r="F38" s="56">
        <v>0.84476125820321335</v>
      </c>
      <c r="G38" s="113">
        <v>3642</v>
      </c>
      <c r="H38" s="137">
        <v>3124</v>
      </c>
      <c r="I38" s="137">
        <v>2759</v>
      </c>
      <c r="J38" s="56">
        <v>0.73609802073515551</v>
      </c>
      <c r="K38" s="101">
        <v>0.85777045579352007</v>
      </c>
    </row>
    <row r="39" spans="1:18" ht="13.5" thickBot="1" x14ac:dyDescent="0.25">
      <c r="A39" s="189" t="s">
        <v>18</v>
      </c>
      <c r="B39" s="114">
        <v>21238</v>
      </c>
      <c r="C39" s="115">
        <v>17484</v>
      </c>
      <c r="D39" s="273">
        <v>1.2147105925417525</v>
      </c>
      <c r="E39" s="115">
        <v>17648</v>
      </c>
      <c r="F39" s="116">
        <v>0.83096336754873346</v>
      </c>
      <c r="G39" s="115">
        <v>15600</v>
      </c>
      <c r="H39" s="304">
        <v>13629</v>
      </c>
      <c r="I39" s="304">
        <v>11342</v>
      </c>
      <c r="J39" s="116">
        <v>0.779512697323267</v>
      </c>
      <c r="K39" s="117">
        <v>0.87365384615384611</v>
      </c>
    </row>
    <row r="40" spans="1:18" ht="13.5" thickBot="1" x14ac:dyDescent="0.25">
      <c r="A40" s="25" t="s">
        <v>89</v>
      </c>
      <c r="B40" s="26"/>
      <c r="C40" s="26"/>
      <c r="D40" s="27"/>
      <c r="E40" s="26"/>
      <c r="F40" s="26"/>
      <c r="G40" s="26"/>
      <c r="H40" s="26"/>
      <c r="I40" s="301"/>
      <c r="J40" s="26"/>
      <c r="K40" s="302"/>
    </row>
    <row r="41" spans="1:18" x14ac:dyDescent="0.2">
      <c r="A41" s="186" t="s">
        <v>94</v>
      </c>
      <c r="B41" s="107">
        <v>14927</v>
      </c>
      <c r="C41" s="108">
        <v>12999</v>
      </c>
      <c r="D41" s="271">
        <f>B41/C41</f>
        <v>1.1483191014693439</v>
      </c>
      <c r="E41" s="108">
        <v>12655</v>
      </c>
      <c r="F41" s="110">
        <f>E41/B41</f>
        <v>0.8477925906076238</v>
      </c>
      <c r="G41" s="108">
        <v>11248</v>
      </c>
      <c r="H41" s="270">
        <v>9902</v>
      </c>
      <c r="I41" s="270">
        <v>8212</v>
      </c>
      <c r="J41" s="110">
        <f>H41/C41</f>
        <v>0.76175090391568578</v>
      </c>
      <c r="K41" s="246">
        <f>H41/G41</f>
        <v>0.8803342816500711</v>
      </c>
    </row>
    <row r="42" spans="1:18" x14ac:dyDescent="0.2">
      <c r="A42" s="188" t="s">
        <v>95</v>
      </c>
      <c r="B42" s="112">
        <v>3970</v>
      </c>
      <c r="C42" s="113">
        <v>3808</v>
      </c>
      <c r="D42" s="272">
        <f>B42/C42</f>
        <v>1.0425420168067228</v>
      </c>
      <c r="E42" s="113">
        <v>3500</v>
      </c>
      <c r="F42" s="56">
        <f>E42/B42</f>
        <v>0.88161209068010071</v>
      </c>
      <c r="G42" s="113">
        <v>3408</v>
      </c>
      <c r="H42" s="137">
        <v>2727</v>
      </c>
      <c r="I42" s="137">
        <v>2455</v>
      </c>
      <c r="J42" s="56">
        <f>H42/C42</f>
        <v>0.71612394957983194</v>
      </c>
      <c r="K42" s="101">
        <f>H42/G42</f>
        <v>0.80017605633802813</v>
      </c>
    </row>
    <row r="43" spans="1:18" ht="13.5" thickBot="1" x14ac:dyDescent="0.25">
      <c r="A43" s="420" t="s">
        <v>18</v>
      </c>
      <c r="B43" s="421">
        <v>18897</v>
      </c>
      <c r="C43" s="422">
        <v>16703</v>
      </c>
      <c r="D43" s="423">
        <f>B43/C43</f>
        <v>1.1313536490450817</v>
      </c>
      <c r="E43" s="422">
        <v>16155</v>
      </c>
      <c r="F43" s="424">
        <f>E43/B43</f>
        <v>0.85489760279409432</v>
      </c>
      <c r="G43" s="425">
        <v>14593</v>
      </c>
      <c r="H43" s="425">
        <v>12593</v>
      </c>
      <c r="I43" s="422">
        <v>10658</v>
      </c>
      <c r="J43" s="424">
        <f>H43/C43</f>
        <v>0.75393641860743577</v>
      </c>
      <c r="K43" s="426">
        <f>H43/G43</f>
        <v>0.86294798876173506</v>
      </c>
    </row>
    <row r="44" spans="1:18" ht="13.5" thickBot="1" x14ac:dyDescent="0.25">
      <c r="A44" s="25" t="s">
        <v>108</v>
      </c>
      <c r="B44" s="26"/>
      <c r="C44" s="26"/>
      <c r="D44" s="27"/>
      <c r="E44" s="26"/>
      <c r="F44" s="26"/>
      <c r="G44" s="26"/>
      <c r="H44" s="26"/>
      <c r="I44" s="301"/>
      <c r="J44" s="26"/>
      <c r="K44" s="302"/>
    </row>
    <row r="45" spans="1:18" x14ac:dyDescent="0.2">
      <c r="A45" s="186" t="s">
        <v>94</v>
      </c>
      <c r="B45" s="107">
        <v>15984</v>
      </c>
      <c r="C45" s="108">
        <v>13379</v>
      </c>
      <c r="D45" s="271">
        <f>B45/C45</f>
        <v>1.1947081246729949</v>
      </c>
      <c r="E45" s="108">
        <v>13958</v>
      </c>
      <c r="F45" s="110">
        <f>E45/B45</f>
        <v>0.8732482482482482</v>
      </c>
      <c r="G45" s="108">
        <v>12069</v>
      </c>
      <c r="H45" s="270">
        <v>10660</v>
      </c>
      <c r="I45" s="270">
        <v>8786</v>
      </c>
      <c r="J45" s="444">
        <f>H45/C45</f>
        <v>0.79677105912250545</v>
      </c>
      <c r="K45" s="246">
        <f>H45/G45</f>
        <v>0.88325461927251636</v>
      </c>
    </row>
    <row r="46" spans="1:18" x14ac:dyDescent="0.2">
      <c r="A46" s="188" t="s">
        <v>95</v>
      </c>
      <c r="B46" s="112">
        <v>4639</v>
      </c>
      <c r="C46" s="113">
        <v>4449</v>
      </c>
      <c r="D46" s="272">
        <f>B46/C46</f>
        <v>1.0427062261182287</v>
      </c>
      <c r="E46" s="113">
        <v>4109</v>
      </c>
      <c r="F46" s="56">
        <f>E46/B46</f>
        <v>0.88575123949126966</v>
      </c>
      <c r="G46" s="113">
        <v>3996</v>
      </c>
      <c r="H46" s="137">
        <v>3124</v>
      </c>
      <c r="I46" s="137">
        <v>2792</v>
      </c>
      <c r="J46" s="445">
        <f>H46/C46</f>
        <v>0.70218026522814114</v>
      </c>
      <c r="K46" s="101">
        <f>H46/G46</f>
        <v>0.78178178178178181</v>
      </c>
    </row>
    <row r="47" spans="1:18" ht="13.5" thickBot="1" x14ac:dyDescent="0.25">
      <c r="A47" s="196" t="s">
        <v>18</v>
      </c>
      <c r="B47" s="118">
        <v>20623</v>
      </c>
      <c r="C47" s="119">
        <v>17696</v>
      </c>
      <c r="D47" s="274">
        <f>B47/C47</f>
        <v>1.1654046112115732</v>
      </c>
      <c r="E47" s="119">
        <v>18067</v>
      </c>
      <c r="F47" s="120">
        <f>E47/B47</f>
        <v>0.87606070891722831</v>
      </c>
      <c r="G47" s="326">
        <v>15972</v>
      </c>
      <c r="H47" s="326">
        <v>13741</v>
      </c>
      <c r="I47" s="119">
        <v>11563</v>
      </c>
      <c r="J47" s="446">
        <f>H47/C47</f>
        <v>0.776503164556962</v>
      </c>
      <c r="K47" s="247">
        <f>H47/G47</f>
        <v>0.86031805659904836</v>
      </c>
    </row>
    <row r="48" spans="1:18" ht="14.25" thickTop="1" thickBot="1" x14ac:dyDescent="0.25">
      <c r="A48" s="25" t="s">
        <v>118</v>
      </c>
      <c r="B48" s="26"/>
      <c r="C48" s="26"/>
      <c r="D48" s="27"/>
      <c r="E48" s="26"/>
      <c r="F48" s="26"/>
      <c r="G48" s="26"/>
      <c r="H48" s="26"/>
      <c r="I48" s="301"/>
      <c r="J48" s="26"/>
      <c r="K48" s="302"/>
    </row>
    <row r="49" spans="1:11" x14ac:dyDescent="0.2">
      <c r="A49" s="186" t="s">
        <v>94</v>
      </c>
      <c r="B49" s="107">
        <v>16894</v>
      </c>
      <c r="C49" s="108">
        <v>14212</v>
      </c>
      <c r="D49" s="271">
        <f>B49/C49</f>
        <v>1.1887137630171687</v>
      </c>
      <c r="E49" s="108">
        <v>14957</v>
      </c>
      <c r="F49" s="110">
        <f>E49/B49</f>
        <v>0.88534390908014682</v>
      </c>
      <c r="G49" s="108">
        <v>13018</v>
      </c>
      <c r="H49" s="270">
        <v>11036</v>
      </c>
      <c r="I49" s="270">
        <v>9436</v>
      </c>
      <c r="J49" s="444">
        <f>H49/C49</f>
        <v>0.77652687869406134</v>
      </c>
      <c r="K49" s="246">
        <f>H49/G49</f>
        <v>0.8477492702412045</v>
      </c>
    </row>
    <row r="50" spans="1:11" x14ac:dyDescent="0.2">
      <c r="A50" s="188" t="s">
        <v>95</v>
      </c>
      <c r="B50" s="112">
        <v>5252</v>
      </c>
      <c r="C50" s="113">
        <v>5000</v>
      </c>
      <c r="D50" s="272">
        <f>B50/C50</f>
        <v>1.0504</v>
      </c>
      <c r="E50" s="113">
        <v>4677</v>
      </c>
      <c r="F50" s="56">
        <f>E50/B50</f>
        <v>0.89051789794364056</v>
      </c>
      <c r="G50" s="113">
        <v>4520</v>
      </c>
      <c r="H50" s="137">
        <v>3469</v>
      </c>
      <c r="I50" s="137">
        <v>3101</v>
      </c>
      <c r="J50" s="445">
        <f>H50/C50</f>
        <v>0.69379999999999997</v>
      </c>
      <c r="K50" s="101">
        <f>H50/G50</f>
        <v>0.76747787610619467</v>
      </c>
    </row>
    <row r="51" spans="1:11" ht="13.5" thickBot="1" x14ac:dyDescent="0.25">
      <c r="A51" s="196" t="s">
        <v>18</v>
      </c>
      <c r="B51" s="118">
        <v>22146</v>
      </c>
      <c r="C51" s="119">
        <v>19041</v>
      </c>
      <c r="D51" s="274">
        <f>B51/C51</f>
        <v>1.163069166535371</v>
      </c>
      <c r="E51" s="119">
        <v>19634</v>
      </c>
      <c r="F51" s="120">
        <f>E51/B51</f>
        <v>0.88657093831843226</v>
      </c>
      <c r="G51" s="326">
        <v>17418</v>
      </c>
      <c r="H51" s="326">
        <v>14447</v>
      </c>
      <c r="I51" s="119">
        <v>12515</v>
      </c>
      <c r="J51" s="446">
        <f>H51/C51</f>
        <v>0.75873115907777955</v>
      </c>
      <c r="K51" s="247">
        <f>H51/G51</f>
        <v>0.82942932598461361</v>
      </c>
    </row>
    <row r="52" spans="1:11" ht="14.25" thickTop="1" thickBot="1" x14ac:dyDescent="0.25">
      <c r="A52" s="25" t="s">
        <v>121</v>
      </c>
      <c r="B52" s="26"/>
      <c r="C52" s="26"/>
      <c r="D52" s="27"/>
      <c r="E52" s="26"/>
      <c r="F52" s="26"/>
      <c r="G52" s="26"/>
      <c r="H52" s="26"/>
      <c r="I52" s="301"/>
      <c r="J52" s="26"/>
      <c r="K52" s="302"/>
    </row>
    <row r="53" spans="1:11" x14ac:dyDescent="0.2">
      <c r="A53" s="186" t="s">
        <v>94</v>
      </c>
      <c r="B53" s="107">
        <v>16082</v>
      </c>
      <c r="C53" s="108">
        <v>13177</v>
      </c>
      <c r="D53" s="271">
        <f>B53/C53</f>
        <v>1.2204598922364727</v>
      </c>
      <c r="E53" s="108">
        <v>14327</v>
      </c>
      <c r="F53" s="110">
        <f>E53/B53</f>
        <v>0.89087178211665219</v>
      </c>
      <c r="G53" s="108">
        <v>12136</v>
      </c>
      <c r="H53" s="270">
        <v>10432</v>
      </c>
      <c r="I53" s="270">
        <v>8712</v>
      </c>
      <c r="J53" s="444">
        <f>H53/C53</f>
        <v>0.79168247704333305</v>
      </c>
      <c r="K53" s="246">
        <f>H53/G53</f>
        <v>0.85959129861568884</v>
      </c>
    </row>
    <row r="54" spans="1:11" x14ac:dyDescent="0.2">
      <c r="A54" s="188" t="s">
        <v>95</v>
      </c>
      <c r="B54" s="112">
        <v>5276</v>
      </c>
      <c r="C54" s="113">
        <v>4953</v>
      </c>
      <c r="D54" s="272">
        <f>B54/C54</f>
        <v>1.0652130022208763</v>
      </c>
      <c r="E54" s="113">
        <v>4746</v>
      </c>
      <c r="F54" s="56">
        <f>E54/B54</f>
        <v>0.89954510993176651</v>
      </c>
      <c r="G54" s="113">
        <v>4509</v>
      </c>
      <c r="H54" s="137">
        <v>3443</v>
      </c>
      <c r="I54" s="137">
        <v>3105</v>
      </c>
      <c r="J54" s="445">
        <f>H54/C54</f>
        <v>0.6951342620633959</v>
      </c>
      <c r="K54" s="101">
        <f>H54/G54</f>
        <v>0.76358394322466183</v>
      </c>
    </row>
    <row r="55" spans="1:11" ht="13.5" thickBot="1" x14ac:dyDescent="0.25">
      <c r="A55" s="196" t="s">
        <v>18</v>
      </c>
      <c r="B55" s="118">
        <v>21358</v>
      </c>
      <c r="C55" s="119">
        <v>17864</v>
      </c>
      <c r="D55" s="274">
        <f>B55/C55</f>
        <v>1.1955888938647559</v>
      </c>
      <c r="E55" s="119">
        <f>+E53+E54</f>
        <v>19073</v>
      </c>
      <c r="F55" s="120">
        <f>E55/B55</f>
        <v>0.89301432718419327</v>
      </c>
      <c r="G55" s="326">
        <v>16458</v>
      </c>
      <c r="H55" s="326">
        <v>13820</v>
      </c>
      <c r="I55" s="119">
        <v>11804</v>
      </c>
      <c r="J55" s="446">
        <f>H55/C55</f>
        <v>0.77362292879534256</v>
      </c>
      <c r="K55" s="247">
        <f>H55/G55</f>
        <v>0.83971320938145577</v>
      </c>
    </row>
    <row r="56" spans="1:11" ht="14.25" thickTop="1" thickBot="1" x14ac:dyDescent="0.25">
      <c r="A56" s="25" t="s">
        <v>132</v>
      </c>
      <c r="B56" s="26"/>
      <c r="C56" s="26"/>
      <c r="D56" s="27"/>
      <c r="E56" s="26"/>
      <c r="F56" s="26"/>
      <c r="G56" s="26"/>
      <c r="H56" s="26"/>
      <c r="I56" s="301"/>
      <c r="J56" s="26"/>
      <c r="K56" s="302"/>
    </row>
    <row r="57" spans="1:11" x14ac:dyDescent="0.2">
      <c r="A57" s="186" t="s">
        <v>94</v>
      </c>
      <c r="B57" s="107">
        <v>15772</v>
      </c>
      <c r="C57" s="108">
        <v>12948</v>
      </c>
      <c r="D57" s="271">
        <f>B57/C57</f>
        <v>1.2181031819586037</v>
      </c>
      <c r="E57" s="270">
        <v>13932</v>
      </c>
      <c r="F57" s="110">
        <f>E57/B57</f>
        <v>0.88333756023332488</v>
      </c>
      <c r="G57" s="108">
        <v>11864</v>
      </c>
      <c r="H57" s="270">
        <v>10382</v>
      </c>
      <c r="I57" s="270">
        <v>8909</v>
      </c>
      <c r="J57" s="444">
        <f>H57/C57</f>
        <v>0.80182267531665119</v>
      </c>
      <c r="K57" s="246">
        <f>H57/G57</f>
        <v>0.87508428860418075</v>
      </c>
    </row>
    <row r="58" spans="1:11" x14ac:dyDescent="0.2">
      <c r="A58" s="188" t="s">
        <v>95</v>
      </c>
      <c r="B58" s="112">
        <v>5219</v>
      </c>
      <c r="C58" s="113">
        <v>4864</v>
      </c>
      <c r="D58" s="272">
        <f>B58/C58</f>
        <v>1.072985197368421</v>
      </c>
      <c r="E58" s="137">
        <v>4715</v>
      </c>
      <c r="F58" s="56">
        <f>E58/B58</f>
        <v>0.90342977581912243</v>
      </c>
      <c r="G58" s="113">
        <v>4467</v>
      </c>
      <c r="H58" s="137">
        <v>3465</v>
      </c>
      <c r="I58" s="137">
        <v>3147</v>
      </c>
      <c r="J58" s="445">
        <f>H58/C58</f>
        <v>0.71237664473684215</v>
      </c>
      <c r="K58" s="101">
        <f>H58/G58</f>
        <v>0.77568838146406982</v>
      </c>
    </row>
    <row r="59" spans="1:11" ht="13.5" thickBot="1" x14ac:dyDescent="0.25">
      <c r="A59" s="196" t="s">
        <v>18</v>
      </c>
      <c r="B59" s="118">
        <v>20991</v>
      </c>
      <c r="C59" s="119">
        <v>17605</v>
      </c>
      <c r="D59" s="274">
        <f>B59/C59</f>
        <v>1.1923317239420619</v>
      </c>
      <c r="E59" s="119">
        <v>18647</v>
      </c>
      <c r="F59" s="120">
        <f>E59/B59</f>
        <v>0.88833309513601066</v>
      </c>
      <c r="G59" s="326">
        <v>16196</v>
      </c>
      <c r="H59" s="326">
        <v>13798</v>
      </c>
      <c r="I59" s="119">
        <v>12043</v>
      </c>
      <c r="J59" s="446">
        <f>H59/C59</f>
        <v>0.78375461516614597</v>
      </c>
      <c r="K59" s="247">
        <f>H59/G59</f>
        <v>0.85193875030871824</v>
      </c>
    </row>
    <row r="60" spans="1:11" ht="14.25" thickTop="1" thickBot="1" x14ac:dyDescent="0.25">
      <c r="A60" s="25" t="s">
        <v>134</v>
      </c>
      <c r="B60" s="26"/>
      <c r="C60" s="26"/>
      <c r="D60" s="27"/>
      <c r="E60" s="26"/>
      <c r="F60" s="26"/>
      <c r="G60" s="26"/>
      <c r="H60" s="26"/>
      <c r="I60" s="301"/>
      <c r="J60" s="26"/>
      <c r="K60" s="302"/>
    </row>
    <row r="61" spans="1:11" x14ac:dyDescent="0.2">
      <c r="A61" s="186" t="s">
        <v>94</v>
      </c>
      <c r="B61" s="107">
        <v>15529</v>
      </c>
      <c r="C61" s="108">
        <v>12647</v>
      </c>
      <c r="D61" s="271">
        <f>B61/C61</f>
        <v>1.2278801296750217</v>
      </c>
      <c r="E61" s="108">
        <v>14049</v>
      </c>
      <c r="F61" s="110">
        <f>E61/B61</f>
        <v>0.90469444265567645</v>
      </c>
      <c r="G61" s="108">
        <v>11827</v>
      </c>
      <c r="H61" s="270">
        <v>10261</v>
      </c>
      <c r="I61" s="270">
        <v>8715</v>
      </c>
      <c r="J61" s="444">
        <f>H61/C61</f>
        <v>0.81133865738910416</v>
      </c>
      <c r="K61" s="246">
        <f>H61/G61</f>
        <v>0.86759110509850346</v>
      </c>
    </row>
    <row r="62" spans="1:11" x14ac:dyDescent="0.2">
      <c r="A62" s="188" t="s">
        <v>95</v>
      </c>
      <c r="B62" s="112">
        <v>5351</v>
      </c>
      <c r="C62" s="113">
        <v>4974</v>
      </c>
      <c r="D62" s="272">
        <f>B62/C62</f>
        <v>1.0757941294732609</v>
      </c>
      <c r="E62" s="113">
        <v>4898</v>
      </c>
      <c r="F62" s="56">
        <f>E62/B62</f>
        <v>0.91534292655578398</v>
      </c>
      <c r="G62" s="113">
        <v>4613</v>
      </c>
      <c r="H62" s="137">
        <v>3546</v>
      </c>
      <c r="I62" s="137">
        <v>3176</v>
      </c>
      <c r="J62" s="445">
        <f>H62/C62</f>
        <v>0.71290711700844389</v>
      </c>
      <c r="K62" s="101">
        <f>H62/G62</f>
        <v>0.76869716019943635</v>
      </c>
    </row>
    <row r="63" spans="1:11" ht="13.5" thickBot="1" x14ac:dyDescent="0.25">
      <c r="A63" s="196" t="s">
        <v>18</v>
      </c>
      <c r="B63" s="118">
        <f>'voš_vše '!P3*1000</f>
        <v>20880</v>
      </c>
      <c r="C63" s="119">
        <f>'voš_vše '!P4*1000</f>
        <v>17384</v>
      </c>
      <c r="D63" s="274">
        <f>B63/C63</f>
        <v>1.2011044638748274</v>
      </c>
      <c r="E63" s="119">
        <v>18947</v>
      </c>
      <c r="F63" s="120">
        <f>E63/B63</f>
        <v>0.90742337164750952</v>
      </c>
      <c r="G63" s="326">
        <v>16264</v>
      </c>
      <c r="H63" s="326">
        <f>'voš_vše '!P5*1000</f>
        <v>13740</v>
      </c>
      <c r="I63" s="119">
        <f>'voš_vše '!P6*1000</f>
        <v>11877</v>
      </c>
      <c r="J63" s="446">
        <f>H63/C63</f>
        <v>0.79038196042337783</v>
      </c>
      <c r="K63" s="247">
        <f>H63/G63</f>
        <v>0.84481062469257251</v>
      </c>
    </row>
    <row r="64" spans="1:11" ht="14.25" thickTop="1" thickBot="1" x14ac:dyDescent="0.25">
      <c r="A64" s="25" t="s">
        <v>137</v>
      </c>
      <c r="B64" s="26"/>
      <c r="C64" s="26"/>
      <c r="D64" s="27"/>
      <c r="E64" s="26"/>
      <c r="F64" s="26"/>
      <c r="G64" s="26"/>
      <c r="H64" s="26"/>
      <c r="I64" s="301"/>
      <c r="J64" s="26"/>
      <c r="K64" s="302"/>
    </row>
    <row r="65" spans="1:11" x14ac:dyDescent="0.2">
      <c r="A65" s="186" t="s">
        <v>94</v>
      </c>
      <c r="B65" s="107">
        <v>14151</v>
      </c>
      <c r="C65" s="108">
        <v>11516</v>
      </c>
      <c r="D65" s="271">
        <f>B65/C65</f>
        <v>1.2288120875303925</v>
      </c>
      <c r="E65" s="108">
        <v>12468</v>
      </c>
      <c r="F65" s="110">
        <f>E65/B65</f>
        <v>0.88106847572609714</v>
      </c>
      <c r="G65" s="108">
        <v>10564</v>
      </c>
      <c r="H65" s="270">
        <v>9417</v>
      </c>
      <c r="I65" s="270">
        <v>8144</v>
      </c>
      <c r="J65" s="444">
        <f>H65/C65</f>
        <v>0.81773185133726989</v>
      </c>
      <c r="K65" s="246">
        <f>H65/G65</f>
        <v>0.89142370314274899</v>
      </c>
    </row>
    <row r="66" spans="1:11" x14ac:dyDescent="0.2">
      <c r="A66" s="188" t="s">
        <v>95</v>
      </c>
      <c r="B66" s="112">
        <v>5167</v>
      </c>
      <c r="C66" s="113">
        <v>4785</v>
      </c>
      <c r="D66" s="272">
        <f>B66/C66</f>
        <v>1.0798328108672937</v>
      </c>
      <c r="E66" s="113">
        <v>4648</v>
      </c>
      <c r="F66" s="56">
        <f>E66/B66</f>
        <v>0.89955486742790791</v>
      </c>
      <c r="G66" s="113">
        <v>4360</v>
      </c>
      <c r="H66" s="137">
        <v>3135</v>
      </c>
      <c r="I66" s="137">
        <v>2825</v>
      </c>
      <c r="J66" s="445">
        <f>H66/C66</f>
        <v>0.65517241379310343</v>
      </c>
      <c r="K66" s="101">
        <f>H66/G66</f>
        <v>0.71903669724770647</v>
      </c>
    </row>
    <row r="67" spans="1:11" ht="13.5" thickBot="1" x14ac:dyDescent="0.25">
      <c r="A67" s="196" t="s">
        <v>18</v>
      </c>
      <c r="B67" s="118">
        <f>'voš_vše '!Q3*1000</f>
        <v>19318</v>
      </c>
      <c r="C67" s="119">
        <f>'voš_vše '!Q4*1000</f>
        <v>16050</v>
      </c>
      <c r="D67" s="274">
        <f>B67/C67</f>
        <v>1.203613707165109</v>
      </c>
      <c r="E67" s="119">
        <v>17116</v>
      </c>
      <c r="F67" s="120">
        <f>E67/B67</f>
        <v>0.88601304482865717</v>
      </c>
      <c r="G67" s="326">
        <v>14740</v>
      </c>
      <c r="H67" s="326">
        <v>12482</v>
      </c>
      <c r="I67" s="119">
        <v>10951</v>
      </c>
      <c r="J67" s="446">
        <f>H67/C67</f>
        <v>0.7776947040498442</v>
      </c>
      <c r="K67" s="247">
        <f>H67/G67</f>
        <v>0.84681139755766621</v>
      </c>
    </row>
    <row r="68" spans="1:11" ht="14.25" thickTop="1" thickBot="1" x14ac:dyDescent="0.25">
      <c r="A68" s="25" t="s">
        <v>139</v>
      </c>
      <c r="B68" s="26"/>
      <c r="C68" s="26"/>
      <c r="D68" s="27"/>
      <c r="E68" s="26"/>
      <c r="F68" s="26"/>
      <c r="G68" s="26"/>
      <c r="H68" s="26"/>
      <c r="I68" s="301"/>
      <c r="J68" s="26"/>
      <c r="K68" s="302"/>
    </row>
    <row r="69" spans="1:11" x14ac:dyDescent="0.2">
      <c r="A69" s="186" t="s">
        <v>94</v>
      </c>
      <c r="B69" s="107">
        <v>12492</v>
      </c>
      <c r="C69" s="108">
        <v>10145</v>
      </c>
      <c r="D69" s="271">
        <f>B69/C69</f>
        <v>1.2313454903893544</v>
      </c>
      <c r="E69" s="108">
        <v>11012</v>
      </c>
      <c r="F69" s="110">
        <f>E69/B69</f>
        <v>0.88152417547230222</v>
      </c>
      <c r="G69" s="108">
        <v>9284</v>
      </c>
      <c r="H69" s="270">
        <v>8398</v>
      </c>
      <c r="I69" s="270">
        <v>7134</v>
      </c>
      <c r="J69" s="444">
        <f>H69/C69</f>
        <v>0.82779694430754069</v>
      </c>
      <c r="K69" s="246">
        <f>H69/G69</f>
        <v>0.90456699698405862</v>
      </c>
    </row>
    <row r="70" spans="1:11" x14ac:dyDescent="0.2">
      <c r="A70" s="188" t="s">
        <v>95</v>
      </c>
      <c r="B70" s="112">
        <f>B71-B69</f>
        <v>4893</v>
      </c>
      <c r="C70" s="113">
        <v>4523</v>
      </c>
      <c r="D70" s="272">
        <f>B70/C70</f>
        <v>1.0818041123148352</v>
      </c>
      <c r="E70" s="113">
        <f>E71-E69</f>
        <v>4266</v>
      </c>
      <c r="F70" s="56">
        <f>E70/B70</f>
        <v>0.8718577559779277</v>
      </c>
      <c r="G70" s="113">
        <v>4024</v>
      </c>
      <c r="H70" s="137">
        <v>3250</v>
      </c>
      <c r="I70" s="137">
        <v>2914</v>
      </c>
      <c r="J70" s="445">
        <f>H70/C70</f>
        <v>0.71854963519787751</v>
      </c>
      <c r="K70" s="101">
        <f>H70/G70</f>
        <v>0.80765407554671964</v>
      </c>
    </row>
    <row r="71" spans="1:11" ht="13.5" thickBot="1" x14ac:dyDescent="0.25">
      <c r="A71" s="196" t="s">
        <v>18</v>
      </c>
      <c r="B71" s="118">
        <f>'voš_vše '!R3*1000</f>
        <v>17385</v>
      </c>
      <c r="C71" s="119">
        <f>'voš_vše '!R4*1000</f>
        <v>14397</v>
      </c>
      <c r="D71" s="274">
        <f>B71/C71</f>
        <v>1.2075432381746196</v>
      </c>
      <c r="E71" s="119">
        <v>15278</v>
      </c>
      <c r="F71" s="120">
        <f>E71/B71</f>
        <v>0.87880356629278111</v>
      </c>
      <c r="G71" s="326">
        <v>13149</v>
      </c>
      <c r="H71" s="326">
        <v>11580</v>
      </c>
      <c r="I71" s="119">
        <v>10032</v>
      </c>
      <c r="J71" s="446">
        <f>H71/C71</f>
        <v>0.80433423629922896</v>
      </c>
      <c r="K71" s="247">
        <f>H71/G71</f>
        <v>0.88067533652749264</v>
      </c>
    </row>
    <row r="72" spans="1:11" ht="14.25" thickTop="1" thickBot="1" x14ac:dyDescent="0.25">
      <c r="A72" s="25" t="s">
        <v>141</v>
      </c>
      <c r="B72" s="26"/>
      <c r="C72" s="26"/>
      <c r="D72" s="27"/>
      <c r="E72" s="26"/>
      <c r="F72" s="26"/>
      <c r="G72" s="26"/>
      <c r="H72" s="26"/>
      <c r="I72" s="301"/>
      <c r="J72" s="26"/>
      <c r="K72" s="302"/>
    </row>
    <row r="73" spans="1:11" x14ac:dyDescent="0.2">
      <c r="A73" s="186" t="s">
        <v>94</v>
      </c>
      <c r="B73" s="107">
        <v>10674</v>
      </c>
      <c r="C73" s="108">
        <v>8881</v>
      </c>
      <c r="D73" s="271">
        <f>B73/C73</f>
        <v>1.2018916788649927</v>
      </c>
      <c r="E73" s="108">
        <v>9472</v>
      </c>
      <c r="F73" s="110">
        <f>E73/B73</f>
        <v>0.88738991943039158</v>
      </c>
      <c r="G73" s="108">
        <v>8121</v>
      </c>
      <c r="H73" s="270">
        <v>7398</v>
      </c>
      <c r="I73" s="270">
        <v>6342</v>
      </c>
      <c r="J73" s="444">
        <f>H73/C73</f>
        <v>0.83301430019141987</v>
      </c>
      <c r="K73" s="246">
        <f>H73/G73</f>
        <v>0.91097155522718876</v>
      </c>
    </row>
    <row r="74" spans="1:11" x14ac:dyDescent="0.2">
      <c r="A74" s="188" t="s">
        <v>95</v>
      </c>
      <c r="B74" s="112">
        <f>B75-B73</f>
        <v>4362</v>
      </c>
      <c r="C74" s="113">
        <v>4033</v>
      </c>
      <c r="D74" s="272">
        <f>B74/C74</f>
        <v>1.0815769898338705</v>
      </c>
      <c r="E74" s="113">
        <f>E75-E73</f>
        <v>3784</v>
      </c>
      <c r="F74" s="56">
        <f>E74/B74</f>
        <v>0.86749197615772577</v>
      </c>
      <c r="G74" s="113">
        <v>3564</v>
      </c>
      <c r="H74" s="137">
        <v>3035</v>
      </c>
      <c r="I74" s="137">
        <v>2708</v>
      </c>
      <c r="J74" s="445">
        <f>H74/C74</f>
        <v>0.75254153235804611</v>
      </c>
      <c r="K74" s="101">
        <f>H74/G74</f>
        <v>0.85157126823793494</v>
      </c>
    </row>
    <row r="75" spans="1:11" ht="13.5" thickBot="1" x14ac:dyDescent="0.25">
      <c r="A75" s="196" t="s">
        <v>18</v>
      </c>
      <c r="B75" s="118">
        <f>'voš_vše '!S3*1000</f>
        <v>15036</v>
      </c>
      <c r="C75" s="119">
        <f>'voš_vše '!S4*1000</f>
        <v>12699</v>
      </c>
      <c r="D75" s="274">
        <f>B75/C75</f>
        <v>1.1840302386014647</v>
      </c>
      <c r="E75" s="119">
        <v>13256</v>
      </c>
      <c r="F75" s="120">
        <f>E75/B75</f>
        <v>0.88161745144985371</v>
      </c>
      <c r="G75" s="326">
        <v>11550</v>
      </c>
      <c r="H75" s="326">
        <v>10362</v>
      </c>
      <c r="I75" s="119">
        <v>9025</v>
      </c>
      <c r="J75" s="446">
        <f>H75/C75</f>
        <v>0.81596976139853528</v>
      </c>
      <c r="K75" s="247">
        <f>H75/G75</f>
        <v>0.89714285714285713</v>
      </c>
    </row>
    <row r="76" spans="1:11" ht="14.25" thickTop="1" thickBot="1" x14ac:dyDescent="0.25">
      <c r="A76" s="25" t="s">
        <v>144</v>
      </c>
      <c r="B76" s="26"/>
      <c r="C76" s="26"/>
      <c r="D76" s="27"/>
      <c r="E76" s="26"/>
      <c r="F76" s="26"/>
      <c r="G76" s="26"/>
      <c r="H76" s="26"/>
      <c r="I76" s="301"/>
      <c r="J76" s="26"/>
      <c r="K76" s="302"/>
    </row>
    <row r="77" spans="1:11" x14ac:dyDescent="0.2">
      <c r="A77" s="186" t="s">
        <v>94</v>
      </c>
      <c r="B77" s="107">
        <v>9151</v>
      </c>
      <c r="C77" s="108">
        <v>7657</v>
      </c>
      <c r="D77" s="271">
        <f>B77/C77</f>
        <v>1.1951155805145619</v>
      </c>
      <c r="E77" s="108">
        <v>7910</v>
      </c>
      <c r="F77" s="110">
        <f>E77/B77</f>
        <v>0.86438640585728332</v>
      </c>
      <c r="G77" s="108">
        <v>6909</v>
      </c>
      <c r="H77" s="270">
        <v>6362</v>
      </c>
      <c r="I77" s="270">
        <v>5449</v>
      </c>
      <c r="J77" s="444">
        <f>H77/C77</f>
        <v>0.83087371033041657</v>
      </c>
      <c r="K77" s="246">
        <f>H77/G77</f>
        <v>0.92082790563033723</v>
      </c>
    </row>
    <row r="78" spans="1:11" x14ac:dyDescent="0.2">
      <c r="A78" s="188" t="s">
        <v>95</v>
      </c>
      <c r="B78" s="112">
        <f>B79-B77</f>
        <v>4592</v>
      </c>
      <c r="C78" s="113">
        <v>4271</v>
      </c>
      <c r="D78" s="272">
        <f>B78/C78</f>
        <v>1.0751580426129712</v>
      </c>
      <c r="E78" s="113">
        <f>E79-E77</f>
        <v>4049</v>
      </c>
      <c r="F78" s="56">
        <f>E78/B78</f>
        <v>0.88175087108013939</v>
      </c>
      <c r="G78" s="113">
        <v>3854</v>
      </c>
      <c r="H78" s="137">
        <v>3230</v>
      </c>
      <c r="I78" s="137">
        <v>2879</v>
      </c>
      <c r="J78" s="445">
        <f>H78/C78</f>
        <v>0.75626317021774758</v>
      </c>
      <c r="K78" s="101">
        <f>H78/G78</f>
        <v>0.83809029579657501</v>
      </c>
    </row>
    <row r="79" spans="1:11" ht="13.5" thickBot="1" x14ac:dyDescent="0.25">
      <c r="A79" s="196" t="s">
        <v>18</v>
      </c>
      <c r="B79" s="118">
        <f>'voš_vše '!T3*1000</f>
        <v>13743</v>
      </c>
      <c r="C79" s="119">
        <f>'voš_vše '!T4*1000</f>
        <v>11732</v>
      </c>
      <c r="D79" s="274">
        <f>B79/C79</f>
        <v>1.1714115240368224</v>
      </c>
      <c r="E79" s="119">
        <v>11959</v>
      </c>
      <c r="F79" s="120">
        <f>E79/B79</f>
        <v>0.87018845957942226</v>
      </c>
      <c r="G79" s="326">
        <v>10614</v>
      </c>
      <c r="H79" s="326">
        <f>'voš_vše '!T5*1000</f>
        <v>9825</v>
      </c>
      <c r="I79" s="119">
        <f>'voš_vše '!T6*1000</f>
        <v>8304</v>
      </c>
      <c r="J79" s="446">
        <f>H79/C79</f>
        <v>0.83745311967269009</v>
      </c>
      <c r="K79" s="247">
        <f>H79/G79</f>
        <v>0.92566421707179203</v>
      </c>
    </row>
    <row r="80" spans="1:11" ht="14.25" thickTop="1" thickBot="1" x14ac:dyDescent="0.25">
      <c r="A80" s="25" t="s">
        <v>147</v>
      </c>
      <c r="B80" s="26"/>
      <c r="C80" s="26"/>
      <c r="D80" s="27"/>
      <c r="E80" s="26"/>
      <c r="F80" s="26"/>
      <c r="G80" s="26"/>
      <c r="H80" s="26"/>
      <c r="I80" s="301"/>
      <c r="J80" s="26"/>
      <c r="K80" s="302"/>
    </row>
    <row r="81" spans="1:11" x14ac:dyDescent="0.2">
      <c r="A81" s="186" t="s">
        <v>94</v>
      </c>
      <c r="B81" s="107">
        <v>8497</v>
      </c>
      <c r="C81" s="108">
        <v>7105</v>
      </c>
      <c r="D81" s="271">
        <f>B81/C81</f>
        <v>1.1959183673469387</v>
      </c>
      <c r="E81" s="108">
        <v>7606</v>
      </c>
      <c r="F81" s="110">
        <f>E81/B81</f>
        <v>0.89513946098623043</v>
      </c>
      <c r="G81" s="108">
        <v>6549</v>
      </c>
      <c r="H81" s="270">
        <v>5929</v>
      </c>
      <c r="I81" s="270">
        <v>5080</v>
      </c>
      <c r="J81" s="444">
        <f>H81/C81</f>
        <v>0.83448275862068966</v>
      </c>
      <c r="K81" s="246">
        <f>H81/G81</f>
        <v>0.9053290578714307</v>
      </c>
    </row>
    <row r="82" spans="1:11" x14ac:dyDescent="0.2">
      <c r="A82" s="188" t="s">
        <v>95</v>
      </c>
      <c r="B82" s="112">
        <f>B83-B81</f>
        <v>4353</v>
      </c>
      <c r="C82" s="113">
        <v>4271</v>
      </c>
      <c r="D82" s="272">
        <f>B82/C82</f>
        <v>1.019199250760946</v>
      </c>
      <c r="E82" s="113">
        <f>E83-E81</f>
        <v>3914</v>
      </c>
      <c r="F82" s="56">
        <f>E82/B82</f>
        <v>0.89915001148633122</v>
      </c>
      <c r="G82" s="113">
        <v>3728</v>
      </c>
      <c r="H82" s="137">
        <v>3167</v>
      </c>
      <c r="I82" s="137">
        <v>2793</v>
      </c>
      <c r="J82" s="445">
        <f>H82/C82</f>
        <v>0.74151252634043552</v>
      </c>
      <c r="K82" s="101">
        <f>H82/G82</f>
        <v>0.84951716738197425</v>
      </c>
    </row>
    <row r="83" spans="1:11" ht="13.5" thickBot="1" x14ac:dyDescent="0.25">
      <c r="A83" s="196" t="s">
        <v>18</v>
      </c>
      <c r="B83" s="118">
        <f>'voš_vše '!U3*1000</f>
        <v>12850</v>
      </c>
      <c r="C83" s="119">
        <f>'voš_vše '!U4*1000</f>
        <v>11006</v>
      </c>
      <c r="D83" s="274">
        <f>B83/C83</f>
        <v>1.1675449754679266</v>
      </c>
      <c r="E83" s="119">
        <v>11520</v>
      </c>
      <c r="F83" s="120">
        <f>E83/B83</f>
        <v>0.89649805447470821</v>
      </c>
      <c r="G83" s="326">
        <v>10154</v>
      </c>
      <c r="H83" s="326">
        <f>'voš_vše '!U5*1000</f>
        <v>9028</v>
      </c>
      <c r="I83" s="119">
        <f>'voš_vše '!U6*1000</f>
        <v>7844</v>
      </c>
      <c r="J83" s="446">
        <f>H83/C83</f>
        <v>0.82027984735598769</v>
      </c>
      <c r="K83" s="247">
        <f>H83/G83</f>
        <v>0.88910774079180621</v>
      </c>
    </row>
    <row r="84" spans="1:11" ht="14.25" thickTop="1" thickBot="1" x14ac:dyDescent="0.25">
      <c r="A84" s="25" t="s">
        <v>150</v>
      </c>
      <c r="B84" s="26"/>
      <c r="C84" s="26"/>
      <c r="D84" s="27"/>
      <c r="E84" s="26"/>
      <c r="F84" s="26"/>
      <c r="G84" s="26"/>
      <c r="H84" s="26"/>
      <c r="I84" s="301"/>
      <c r="J84" s="26"/>
      <c r="K84" s="302"/>
    </row>
    <row r="85" spans="1:11" x14ac:dyDescent="0.2">
      <c r="A85" s="186" t="s">
        <v>94</v>
      </c>
      <c r="B85" s="107">
        <v>8644</v>
      </c>
      <c r="C85" s="108">
        <v>7045</v>
      </c>
      <c r="D85" s="271">
        <f>B85/C85</f>
        <v>1.2269694819020582</v>
      </c>
      <c r="E85" s="108">
        <v>7577</v>
      </c>
      <c r="F85" s="110">
        <f>E85/B85</f>
        <v>0.87656177695511339</v>
      </c>
      <c r="G85" s="108">
        <v>6409</v>
      </c>
      <c r="H85" s="270">
        <v>5924</v>
      </c>
      <c r="I85" s="270">
        <v>5081</v>
      </c>
      <c r="J85" s="444">
        <f>H85/C85</f>
        <v>0.8408800567778566</v>
      </c>
      <c r="K85" s="246">
        <f>H85/G85</f>
        <v>0.92432516773287565</v>
      </c>
    </row>
    <row r="86" spans="1:11" x14ac:dyDescent="0.2">
      <c r="A86" s="188" t="s">
        <v>95</v>
      </c>
      <c r="B86" s="112">
        <f>B87-B85</f>
        <v>4405</v>
      </c>
      <c r="C86" s="113">
        <v>4097</v>
      </c>
      <c r="D86" s="272">
        <f>B86/C86</f>
        <v>1.0751769587503051</v>
      </c>
      <c r="E86" s="113">
        <f>E87-E85</f>
        <v>3943</v>
      </c>
      <c r="F86" s="56">
        <f>E86/B86</f>
        <v>0.89511918274687852</v>
      </c>
      <c r="G86" s="113">
        <v>3669</v>
      </c>
      <c r="H86" s="137">
        <v>3040</v>
      </c>
      <c r="I86" s="137">
        <v>2760</v>
      </c>
      <c r="J86" s="445">
        <f>H86/C86</f>
        <v>0.74200634610690752</v>
      </c>
      <c r="K86" s="101">
        <f>H86/G86</f>
        <v>0.82856364131916049</v>
      </c>
    </row>
    <row r="87" spans="1:11" ht="13.5" thickBot="1" x14ac:dyDescent="0.25">
      <c r="A87" s="196" t="s">
        <v>18</v>
      </c>
      <c r="B87" s="118">
        <f>'voš_vše '!V3*1000</f>
        <v>13049</v>
      </c>
      <c r="C87" s="119">
        <f>'voš_vše '!V4*1000</f>
        <v>10916</v>
      </c>
      <c r="D87" s="274">
        <f>B87/C87</f>
        <v>1.1954012458776109</v>
      </c>
      <c r="E87" s="119">
        <v>11520</v>
      </c>
      <c r="F87" s="120">
        <f>E87/B87</f>
        <v>0.88282627021227678</v>
      </c>
      <c r="G87" s="326">
        <v>9930</v>
      </c>
      <c r="H87" s="326">
        <f>'voš_vše '!V5*1000</f>
        <v>8900</v>
      </c>
      <c r="I87" s="119">
        <f>'voš_vše '!V6*1000</f>
        <v>7833</v>
      </c>
      <c r="J87" s="446">
        <f>H87/C87</f>
        <v>0.81531696592158298</v>
      </c>
      <c r="K87" s="247">
        <f>H87/G87</f>
        <v>0.89627391742195373</v>
      </c>
    </row>
    <row r="88" spans="1:11" ht="14.25" thickTop="1" thickBot="1" x14ac:dyDescent="0.25">
      <c r="A88" s="25" t="s">
        <v>152</v>
      </c>
      <c r="B88" s="26"/>
      <c r="C88" s="26"/>
      <c r="D88" s="27"/>
      <c r="E88" s="26"/>
      <c r="F88" s="26"/>
      <c r="G88" s="26"/>
      <c r="H88" s="26"/>
      <c r="I88" s="301"/>
      <c r="J88" s="26"/>
      <c r="K88" s="302"/>
    </row>
    <row r="89" spans="1:11" x14ac:dyDescent="0.2">
      <c r="A89" s="186" t="s">
        <v>94</v>
      </c>
      <c r="B89" s="107">
        <v>9308</v>
      </c>
      <c r="C89" s="108">
        <v>7398</v>
      </c>
      <c r="D89" s="271">
        <f>B89/C89</f>
        <v>1.2581778859151123</v>
      </c>
      <c r="E89" s="108">
        <v>8111</v>
      </c>
      <c r="F89" s="110">
        <f>E89/B89</f>
        <v>0.87140094542329183</v>
      </c>
      <c r="G89" s="108">
        <v>6828</v>
      </c>
      <c r="H89" s="270">
        <v>6087</v>
      </c>
      <c r="I89" s="270">
        <v>5266</v>
      </c>
      <c r="J89" s="444">
        <f>H89/C89</f>
        <v>0.82278994322789945</v>
      </c>
      <c r="K89" s="246">
        <f>H89/G89</f>
        <v>0.89147627416520214</v>
      </c>
    </row>
    <row r="90" spans="1:11" x14ac:dyDescent="0.2">
      <c r="A90" s="188" t="s">
        <v>95</v>
      </c>
      <c r="B90" s="112">
        <v>4891</v>
      </c>
      <c r="C90" s="113">
        <v>4425</v>
      </c>
      <c r="D90" s="272">
        <f>B90/C90</f>
        <v>1.1053107344632769</v>
      </c>
      <c r="E90" s="113">
        <v>4318</v>
      </c>
      <c r="F90" s="56">
        <f>E90/B90</f>
        <v>0.88284604375383358</v>
      </c>
      <c r="G90" s="113">
        <v>4017</v>
      </c>
      <c r="H90" s="137">
        <v>3213</v>
      </c>
      <c r="I90" s="137">
        <v>2831</v>
      </c>
      <c r="J90" s="445">
        <f>H90/C90</f>
        <v>0.72610169491525423</v>
      </c>
      <c r="K90" s="101">
        <f>H90/G90</f>
        <v>0.79985063480209107</v>
      </c>
    </row>
    <row r="91" spans="1:11" ht="13.5" thickBot="1" x14ac:dyDescent="0.25">
      <c r="A91" s="196" t="s">
        <v>18</v>
      </c>
      <c r="B91" s="118">
        <f>'voš_vše '!W3*1000</f>
        <v>14199</v>
      </c>
      <c r="C91" s="119">
        <f>'voš_vše '!W4*1000</f>
        <v>11554</v>
      </c>
      <c r="D91" s="274">
        <f>B91/C91</f>
        <v>1.2289250476025619</v>
      </c>
      <c r="E91" s="119">
        <v>12429</v>
      </c>
      <c r="F91" s="120">
        <f>E91/B91</f>
        <v>0.87534333403760833</v>
      </c>
      <c r="G91" s="119">
        <v>10637</v>
      </c>
      <c r="H91" s="326">
        <f>'voš_vše '!W5*1000</f>
        <v>9212</v>
      </c>
      <c r="I91" s="119">
        <f>'voš_vše '!W6*1000</f>
        <v>8074.9999999999991</v>
      </c>
      <c r="J91" s="446">
        <f>H91/C91</f>
        <v>0.7972996364895274</v>
      </c>
      <c r="K91" s="247">
        <f>H91/G91</f>
        <v>0.86603365610604499</v>
      </c>
    </row>
    <row r="92" spans="1:11" ht="14.25" thickTop="1" thickBot="1" x14ac:dyDescent="0.25">
      <c r="A92" s="25" t="s">
        <v>154</v>
      </c>
      <c r="B92" s="26"/>
      <c r="C92" s="26"/>
      <c r="D92" s="27"/>
      <c r="E92" s="26"/>
      <c r="F92" s="26"/>
      <c r="G92" s="26"/>
      <c r="H92" s="26"/>
      <c r="I92" s="301"/>
      <c r="J92" s="26"/>
      <c r="K92" s="302"/>
    </row>
    <row r="93" spans="1:11" x14ac:dyDescent="0.2">
      <c r="A93" s="186" t="s">
        <v>94</v>
      </c>
      <c r="B93" s="107">
        <v>11141</v>
      </c>
      <c r="C93" s="108">
        <v>8463</v>
      </c>
      <c r="D93" s="271">
        <f>B93/C93</f>
        <v>1.3164362519201229</v>
      </c>
      <c r="E93" s="108">
        <v>10087</v>
      </c>
      <c r="F93" s="110">
        <f>E93/B93</f>
        <v>0.90539448882506057</v>
      </c>
      <c r="G93" s="108">
        <v>7743</v>
      </c>
      <c r="H93" s="270">
        <v>7095</v>
      </c>
      <c r="I93" s="270">
        <v>6107</v>
      </c>
      <c r="J93" s="444">
        <f>H93/C93</f>
        <v>0.83835519319390284</v>
      </c>
      <c r="K93" s="246">
        <f>H93/G93</f>
        <v>0.91631150716776444</v>
      </c>
    </row>
    <row r="94" spans="1:11" x14ac:dyDescent="0.2">
      <c r="A94" s="188" t="s">
        <v>95</v>
      </c>
      <c r="B94" s="112">
        <v>6366</v>
      </c>
      <c r="C94" s="113">
        <v>5622</v>
      </c>
      <c r="D94" s="272">
        <f>B94/C94</f>
        <v>1.1323372465314834</v>
      </c>
      <c r="E94" s="113">
        <v>5644</v>
      </c>
      <c r="F94" s="56">
        <f>E94/B94</f>
        <v>0.88658498272070374</v>
      </c>
      <c r="G94" s="113">
        <v>5031</v>
      </c>
      <c r="H94" s="137">
        <v>3833</v>
      </c>
      <c r="I94" s="137">
        <v>3287</v>
      </c>
      <c r="J94" s="445">
        <f>H94/C94</f>
        <v>0.68178584133760223</v>
      </c>
      <c r="K94" s="101">
        <f>H94/G94</f>
        <v>0.76187636652752933</v>
      </c>
    </row>
    <row r="95" spans="1:11" ht="13.5" thickBot="1" x14ac:dyDescent="0.25">
      <c r="A95" s="196" t="s">
        <v>18</v>
      </c>
      <c r="B95" s="118">
        <f>'voš_vše '!X3*1000</f>
        <v>17507</v>
      </c>
      <c r="C95" s="119">
        <f>'voš_vše '!X4*1000</f>
        <v>13716</v>
      </c>
      <c r="D95" s="274">
        <f>B95/C95</f>
        <v>1.2763925342665501</v>
      </c>
      <c r="E95" s="119">
        <v>15731</v>
      </c>
      <c r="F95" s="120">
        <f>E95/B95</f>
        <v>0.89855486376877824</v>
      </c>
      <c r="G95" s="119">
        <v>12466</v>
      </c>
      <c r="H95" s="326">
        <f>'voš_vše '!X5*1000</f>
        <v>10793</v>
      </c>
      <c r="I95" s="119">
        <f>'voš_vše '!X6*1000</f>
        <v>9369</v>
      </c>
      <c r="J95" s="446">
        <f>H95/C95</f>
        <v>0.78689122193059202</v>
      </c>
      <c r="K95" s="247">
        <f>H95/G95</f>
        <v>0.86579496229744901</v>
      </c>
    </row>
    <row r="96" spans="1:11" ht="14.25" thickTop="1" thickBot="1" x14ac:dyDescent="0.25">
      <c r="A96" s="25" t="s">
        <v>156</v>
      </c>
      <c r="B96" s="26"/>
      <c r="C96" s="26"/>
      <c r="D96" s="27"/>
      <c r="E96" s="26"/>
      <c r="F96" s="26"/>
      <c r="G96" s="26"/>
      <c r="H96" s="26"/>
      <c r="I96" s="301"/>
      <c r="J96" s="26"/>
      <c r="K96" s="302"/>
    </row>
    <row r="97" spans="1:11" x14ac:dyDescent="0.2">
      <c r="A97" s="186" t="s">
        <v>94</v>
      </c>
      <c r="B97" s="107">
        <v>11654</v>
      </c>
      <c r="C97" s="108">
        <v>8816</v>
      </c>
      <c r="D97" s="271">
        <f>B97/C97</f>
        <v>1.3219147005444647</v>
      </c>
      <c r="E97" s="108">
        <v>10543</v>
      </c>
      <c r="F97" s="110">
        <f>E97/B97</f>
        <v>0.90466792517590522</v>
      </c>
      <c r="G97" s="108">
        <v>8458</v>
      </c>
      <c r="H97" s="270">
        <v>7059</v>
      </c>
      <c r="I97" s="270">
        <v>5964</v>
      </c>
      <c r="J97" s="444">
        <f>H97/C97</f>
        <v>0.8007032667876588</v>
      </c>
      <c r="K97" s="246">
        <f>H97/G97</f>
        <v>0.83459446677701588</v>
      </c>
    </row>
    <row r="98" spans="1:11" x14ac:dyDescent="0.2">
      <c r="A98" s="188" t="s">
        <v>95</v>
      </c>
      <c r="B98" s="112">
        <v>6076</v>
      </c>
      <c r="C98" s="113">
        <v>5356</v>
      </c>
      <c r="D98" s="272">
        <f>B98/C98</f>
        <v>1.1344286781179984</v>
      </c>
      <c r="E98" s="113">
        <v>5474</v>
      </c>
      <c r="F98" s="56">
        <f>E98/B98</f>
        <v>0.90092165898617516</v>
      </c>
      <c r="G98" s="113">
        <v>4979</v>
      </c>
      <c r="H98" s="137">
        <v>3767</v>
      </c>
      <c r="I98" s="137">
        <v>3121</v>
      </c>
      <c r="J98" s="445">
        <f>H98/C98</f>
        <v>0.70332337565347269</v>
      </c>
      <c r="K98" s="101">
        <f>H98/G98</f>
        <v>0.7565776260293231</v>
      </c>
    </row>
    <row r="99" spans="1:11" ht="13.5" thickBot="1" x14ac:dyDescent="0.25">
      <c r="A99" s="196" t="s">
        <v>18</v>
      </c>
      <c r="B99" s="118">
        <f>'voš_vše '!Y3*1000</f>
        <v>17730</v>
      </c>
      <c r="C99" s="119">
        <f>'voš_vše '!Y4*1000</f>
        <v>13747</v>
      </c>
      <c r="D99" s="274">
        <f>B99/C99</f>
        <v>1.2897359423874299</v>
      </c>
      <c r="E99" s="119">
        <v>16017</v>
      </c>
      <c r="F99" s="120">
        <f>E99/B99</f>
        <v>0.90338409475465309</v>
      </c>
      <c r="G99" s="119">
        <v>13105</v>
      </c>
      <c r="H99" s="326">
        <f>'voš_vše '!Y5*1000</f>
        <v>10652</v>
      </c>
      <c r="I99" s="119">
        <f>'voš_vše '!Y6*1000</f>
        <v>9048</v>
      </c>
      <c r="J99" s="446">
        <f>H99/C99</f>
        <v>0.77485996944787949</v>
      </c>
      <c r="K99" s="247">
        <f>H99/G99</f>
        <v>0.81281953452880584</v>
      </c>
    </row>
    <row r="100" spans="1:11" ht="14.25" thickTop="1" thickBot="1" x14ac:dyDescent="0.25">
      <c r="A100" s="25" t="s">
        <v>157</v>
      </c>
      <c r="B100" s="26"/>
      <c r="C100" s="26"/>
      <c r="D100" s="27"/>
      <c r="E100" s="26"/>
      <c r="F100" s="26"/>
      <c r="G100" s="26"/>
      <c r="H100" s="26"/>
      <c r="I100" s="301"/>
      <c r="J100" s="26"/>
      <c r="K100" s="302"/>
    </row>
    <row r="101" spans="1:11" x14ac:dyDescent="0.2">
      <c r="A101" s="186" t="s">
        <v>94</v>
      </c>
      <c r="B101" s="107">
        <v>11838</v>
      </c>
      <c r="C101" s="108">
        <v>8894</v>
      </c>
      <c r="D101" s="271">
        <f>B101/C101</f>
        <v>1.3310096694400719</v>
      </c>
      <c r="E101" s="108">
        <v>10873</v>
      </c>
      <c r="F101" s="110">
        <f>E101/B101</f>
        <v>0.91848285183307987</v>
      </c>
      <c r="G101" s="108">
        <v>8429</v>
      </c>
      <c r="H101" s="270">
        <v>7040</v>
      </c>
      <c r="I101" s="270">
        <v>6013</v>
      </c>
      <c r="J101" s="444">
        <f>H101/C101</f>
        <v>0.79154486170451988</v>
      </c>
      <c r="K101" s="246">
        <f>H101/G101</f>
        <v>0.83521176889310711</v>
      </c>
    </row>
    <row r="102" spans="1:11" x14ac:dyDescent="0.2">
      <c r="A102" s="188" t="s">
        <v>95</v>
      </c>
      <c r="B102" s="112">
        <v>7041</v>
      </c>
      <c r="C102" s="113">
        <v>5861</v>
      </c>
      <c r="D102" s="272">
        <f>B102/C102</f>
        <v>1.2013308309162258</v>
      </c>
      <c r="E102" s="113">
        <v>6386</v>
      </c>
      <c r="F102" s="56">
        <f>E102/B102</f>
        <v>0.90697344127254653</v>
      </c>
      <c r="G102" s="113">
        <v>5470</v>
      </c>
      <c r="H102" s="137">
        <v>3733</v>
      </c>
      <c r="I102" s="137">
        <v>3189</v>
      </c>
      <c r="J102" s="445">
        <f>H102/C102</f>
        <v>0.63692202695785705</v>
      </c>
      <c r="K102" s="101">
        <f>H102/G102</f>
        <v>0.68244972577696528</v>
      </c>
    </row>
    <row r="103" spans="1:11" ht="13.5" thickBot="1" x14ac:dyDescent="0.25">
      <c r="A103" s="196" t="s">
        <v>18</v>
      </c>
      <c r="B103" s="118">
        <f>'voš_vše '!Z3*1000</f>
        <v>18879</v>
      </c>
      <c r="C103" s="119">
        <f>'voš_vše '!Z4*1000</f>
        <v>14258</v>
      </c>
      <c r="D103" s="274">
        <f>B103/C103</f>
        <v>1.3240987515780613</v>
      </c>
      <c r="E103" s="119">
        <v>16017</v>
      </c>
      <c r="F103" s="120">
        <f>E103/B103</f>
        <v>0.84840298744636899</v>
      </c>
      <c r="G103" s="119">
        <v>13105</v>
      </c>
      <c r="H103" s="326">
        <f>'voš_vše '!Z5*1000</f>
        <v>10645</v>
      </c>
      <c r="I103" s="119">
        <f>'voš_vše '!Z6*1000</f>
        <v>9184</v>
      </c>
      <c r="J103" s="446">
        <f>H103/C103</f>
        <v>0.74659840089774165</v>
      </c>
      <c r="K103" s="247">
        <f>H103/G103</f>
        <v>0.81228538725677224</v>
      </c>
    </row>
    <row r="104" spans="1:11" ht="13.5" thickTop="1" x14ac:dyDescent="0.2">
      <c r="A104" s="1" t="s">
        <v>101</v>
      </c>
    </row>
    <row r="105" spans="1:11" x14ac:dyDescent="0.2">
      <c r="A105" s="419"/>
    </row>
    <row r="137" spans="4:4" x14ac:dyDescent="0.2">
      <c r="D137" s="470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Q171"/>
  <sheetViews>
    <sheetView zoomScaleNormal="100" workbookViewId="0">
      <pane xSplit="1" ySplit="4" topLeftCell="B107" activePane="bottomRight" state="frozen"/>
      <selection sqref="A1:B4"/>
      <selection pane="topRight" sqref="A1:B4"/>
      <selection pane="bottomLeft" sqref="A1:B4"/>
      <selection pane="bottomRight" activeCell="A2" sqref="A2"/>
    </sheetView>
  </sheetViews>
  <sheetFormatPr defaultColWidth="9.140625"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42578125" style="1" customWidth="1"/>
    <col min="6" max="7" width="9.42578125" style="1" customWidth="1"/>
    <col min="8" max="9" width="11.42578125" style="1" customWidth="1"/>
    <col min="10" max="16384" width="9.140625" style="1"/>
  </cols>
  <sheetData>
    <row r="1" spans="1:17" x14ac:dyDescent="0.2">
      <c r="A1" s="2" t="s">
        <v>162</v>
      </c>
      <c r="B1" s="16"/>
      <c r="C1" s="16"/>
      <c r="D1" s="16"/>
      <c r="E1" s="16"/>
      <c r="F1" s="16"/>
      <c r="G1" s="16"/>
      <c r="H1" s="16"/>
      <c r="I1" s="16"/>
    </row>
    <row r="2" spans="1:17" ht="5.0999999999999996" customHeight="1" thickBot="1" x14ac:dyDescent="0.25">
      <c r="B2" s="16"/>
      <c r="C2" s="16"/>
      <c r="D2" s="16"/>
      <c r="E2" s="16"/>
      <c r="F2" s="16"/>
      <c r="G2" s="16"/>
      <c r="H2" s="16"/>
      <c r="I2" s="16"/>
    </row>
    <row r="3" spans="1:17" ht="78" thickTop="1" thickBot="1" x14ac:dyDescent="0.25">
      <c r="A3" s="29" t="s">
        <v>50</v>
      </c>
      <c r="B3" s="278" t="s">
        <v>16</v>
      </c>
      <c r="C3" s="279" t="s">
        <v>47</v>
      </c>
      <c r="D3" s="279" t="s">
        <v>17</v>
      </c>
      <c r="E3" s="279" t="s">
        <v>57</v>
      </c>
      <c r="F3" s="279" t="s">
        <v>23</v>
      </c>
      <c r="G3" s="279" t="s">
        <v>42</v>
      </c>
      <c r="H3" s="335" t="s">
        <v>70</v>
      </c>
      <c r="I3" s="280" t="s">
        <v>71</v>
      </c>
    </row>
    <row r="4" spans="1:17" ht="14.25" thickTop="1" thickBot="1" x14ac:dyDescent="0.25">
      <c r="A4" s="30" t="s">
        <v>98</v>
      </c>
      <c r="B4" s="24"/>
      <c r="C4" s="24"/>
      <c r="D4" s="24"/>
      <c r="E4" s="24"/>
      <c r="F4" s="24"/>
      <c r="G4" s="24"/>
      <c r="H4" s="24"/>
      <c r="I4" s="31"/>
    </row>
    <row r="5" spans="1:17" x14ac:dyDescent="0.2">
      <c r="A5" s="207" t="s">
        <v>51</v>
      </c>
      <c r="B5" s="121">
        <v>27339</v>
      </c>
      <c r="C5" s="122">
        <v>19539</v>
      </c>
      <c r="D5" s="281">
        <v>1.3992015968063871</v>
      </c>
      <c r="E5" s="281" t="s">
        <v>73</v>
      </c>
      <c r="F5" s="122">
        <v>10277</v>
      </c>
      <c r="G5" s="122">
        <v>8835</v>
      </c>
      <c r="H5" s="336">
        <v>0.52597369363836433</v>
      </c>
      <c r="I5" s="123" t="s">
        <v>15</v>
      </c>
    </row>
    <row r="6" spans="1:17" x14ac:dyDescent="0.2">
      <c r="A6" s="208" t="s">
        <v>52</v>
      </c>
      <c r="B6" s="124">
        <v>6585</v>
      </c>
      <c r="C6" s="125">
        <v>5804</v>
      </c>
      <c r="D6" s="282">
        <v>1.1345623707787733</v>
      </c>
      <c r="E6" s="282" t="s">
        <v>73</v>
      </c>
      <c r="F6" s="125">
        <v>4793</v>
      </c>
      <c r="G6" s="125">
        <v>4135</v>
      </c>
      <c r="H6" s="337">
        <v>0.82580978635423841</v>
      </c>
      <c r="I6" s="126" t="s">
        <v>15</v>
      </c>
    </row>
    <row r="7" spans="1:17" x14ac:dyDescent="0.2">
      <c r="A7" s="209" t="s">
        <v>43</v>
      </c>
      <c r="B7" s="127">
        <v>1978</v>
      </c>
      <c r="C7" s="128">
        <v>1807</v>
      </c>
      <c r="D7" s="283">
        <v>1.0946319867183176</v>
      </c>
      <c r="E7" s="283" t="s">
        <v>73</v>
      </c>
      <c r="F7" s="128">
        <v>710</v>
      </c>
      <c r="G7" s="128">
        <v>566</v>
      </c>
      <c r="H7" s="338">
        <v>0.39291643608190369</v>
      </c>
      <c r="I7" s="129" t="s">
        <v>15</v>
      </c>
    </row>
    <row r="8" spans="1:17" ht="13.5" thickBot="1" x14ac:dyDescent="0.25">
      <c r="A8" s="210" t="s">
        <v>44</v>
      </c>
      <c r="B8" s="130">
        <v>35092</v>
      </c>
      <c r="C8" s="131">
        <v>24551</v>
      </c>
      <c r="D8" s="284">
        <v>1.4293511465928068</v>
      </c>
      <c r="E8" s="284" t="s">
        <v>73</v>
      </c>
      <c r="F8" s="131">
        <v>15398</v>
      </c>
      <c r="G8" s="131">
        <v>13456</v>
      </c>
      <c r="H8" s="339">
        <v>0.62718422874831981</v>
      </c>
      <c r="I8" s="132" t="s">
        <v>15</v>
      </c>
    </row>
    <row r="9" spans="1:17" ht="13.5" thickBot="1" x14ac:dyDescent="0.25">
      <c r="A9" s="32" t="s">
        <v>4</v>
      </c>
      <c r="B9" s="24"/>
      <c r="C9" s="24"/>
      <c r="D9" s="24"/>
      <c r="E9" s="24"/>
      <c r="F9" s="24"/>
      <c r="G9" s="24"/>
      <c r="H9" s="24"/>
      <c r="I9" s="31"/>
    </row>
    <row r="10" spans="1:17" x14ac:dyDescent="0.2">
      <c r="A10" s="207" t="s">
        <v>51</v>
      </c>
      <c r="B10" s="121">
        <v>15280</v>
      </c>
      <c r="C10" s="122">
        <v>11632</v>
      </c>
      <c r="D10" s="281">
        <v>1.3136176066024758</v>
      </c>
      <c r="E10" s="340">
        <v>10012</v>
      </c>
      <c r="F10" s="122">
        <v>6832</v>
      </c>
      <c r="G10" s="122">
        <v>5665</v>
      </c>
      <c r="H10" s="336">
        <v>0.5873452544704264</v>
      </c>
      <c r="I10" s="123" t="s">
        <v>15</v>
      </c>
    </row>
    <row r="11" spans="1:17" x14ac:dyDescent="0.2">
      <c r="A11" s="208" t="s">
        <v>52</v>
      </c>
      <c r="B11" s="124">
        <v>4503</v>
      </c>
      <c r="C11" s="125">
        <v>3983</v>
      </c>
      <c r="D11" s="282">
        <v>1.1305548581471252</v>
      </c>
      <c r="E11" s="341">
        <v>3436</v>
      </c>
      <c r="F11" s="125">
        <v>3189</v>
      </c>
      <c r="G11" s="125">
        <v>2556</v>
      </c>
      <c r="H11" s="337">
        <v>0.80065277429073567</v>
      </c>
      <c r="I11" s="126" t="s">
        <v>15</v>
      </c>
    </row>
    <row r="12" spans="1:17" x14ac:dyDescent="0.2">
      <c r="A12" s="209" t="s">
        <v>43</v>
      </c>
      <c r="B12" s="127">
        <v>1437</v>
      </c>
      <c r="C12" s="128">
        <v>1361</v>
      </c>
      <c r="D12" s="283">
        <v>1.0558412931667891</v>
      </c>
      <c r="E12" s="342">
        <v>1141</v>
      </c>
      <c r="F12" s="128">
        <v>707</v>
      </c>
      <c r="G12" s="128">
        <v>598</v>
      </c>
      <c r="H12" s="338">
        <v>0.51947097722263047</v>
      </c>
      <c r="I12" s="129" t="s">
        <v>15</v>
      </c>
    </row>
    <row r="13" spans="1:17" ht="13.5" thickBot="1" x14ac:dyDescent="0.25">
      <c r="A13" s="210" t="s">
        <v>44</v>
      </c>
      <c r="B13" s="130">
        <v>21220</v>
      </c>
      <c r="C13" s="131">
        <v>15406</v>
      </c>
      <c r="D13" s="284">
        <v>1.3773854342463976</v>
      </c>
      <c r="E13" s="349">
        <v>13598</v>
      </c>
      <c r="F13" s="131">
        <v>10446</v>
      </c>
      <c r="G13" s="131">
        <v>8797</v>
      </c>
      <c r="H13" s="339">
        <v>0.6780475139556017</v>
      </c>
      <c r="I13" s="132" t="s">
        <v>15</v>
      </c>
      <c r="J13" s="344"/>
      <c r="K13" s="344"/>
      <c r="L13" s="344"/>
      <c r="M13" s="344"/>
      <c r="N13" s="344"/>
      <c r="O13" s="252"/>
      <c r="P13" s="252"/>
      <c r="Q13" s="252"/>
    </row>
    <row r="14" spans="1:17" ht="13.5" thickBot="1" x14ac:dyDescent="0.25">
      <c r="A14" s="32" t="s">
        <v>5</v>
      </c>
      <c r="B14" s="24"/>
      <c r="C14" s="24"/>
      <c r="D14" s="24"/>
      <c r="E14" s="350"/>
      <c r="F14" s="24"/>
      <c r="G14" s="24"/>
      <c r="H14" s="24"/>
      <c r="I14" s="31"/>
      <c r="J14" s="344"/>
      <c r="K14" s="344"/>
      <c r="L14" s="344"/>
      <c r="M14" s="344"/>
      <c r="N14" s="344"/>
      <c r="O14" s="252"/>
      <c r="P14" s="252"/>
      <c r="Q14" s="252"/>
    </row>
    <row r="15" spans="1:17" x14ac:dyDescent="0.2">
      <c r="A15" s="207" t="s">
        <v>51</v>
      </c>
      <c r="B15" s="121">
        <v>20931</v>
      </c>
      <c r="C15" s="122">
        <v>15814</v>
      </c>
      <c r="D15" s="281">
        <v>1.3235740483116225</v>
      </c>
      <c r="E15" s="340">
        <v>13160</v>
      </c>
      <c r="F15" s="122">
        <v>9616</v>
      </c>
      <c r="G15" s="122">
        <v>8044</v>
      </c>
      <c r="H15" s="336">
        <v>0.60806879979764761</v>
      </c>
      <c r="I15" s="123">
        <f>F15/E15</f>
        <v>0.73069908814589668</v>
      </c>
      <c r="J15" s="344"/>
      <c r="K15" s="344"/>
      <c r="L15" s="344"/>
      <c r="M15" s="344"/>
      <c r="N15" s="344"/>
      <c r="O15" s="252"/>
      <c r="P15" s="252"/>
      <c r="Q15" s="252"/>
    </row>
    <row r="16" spans="1:17" x14ac:dyDescent="0.2">
      <c r="A16" s="208" t="s">
        <v>52</v>
      </c>
      <c r="B16" s="124">
        <v>5606</v>
      </c>
      <c r="C16" s="125">
        <v>4878</v>
      </c>
      <c r="D16" s="282">
        <v>1.1492414924149241</v>
      </c>
      <c r="E16" s="341">
        <v>4188</v>
      </c>
      <c r="F16" s="125">
        <v>3727</v>
      </c>
      <c r="G16" s="125">
        <v>3139</v>
      </c>
      <c r="H16" s="337">
        <v>0.76404264042640424</v>
      </c>
      <c r="I16" s="126">
        <f>F16/E16</f>
        <v>0.88992359121298947</v>
      </c>
      <c r="J16" s="344"/>
      <c r="K16" s="344"/>
      <c r="L16" s="344"/>
      <c r="M16" s="344"/>
      <c r="N16" s="344"/>
      <c r="O16" s="252"/>
      <c r="P16" s="252"/>
      <c r="Q16" s="252"/>
    </row>
    <row r="17" spans="1:17" x14ac:dyDescent="0.2">
      <c r="A17" s="209" t="s">
        <v>43</v>
      </c>
      <c r="B17" s="127">
        <v>1674</v>
      </c>
      <c r="C17" s="128">
        <v>1605</v>
      </c>
      <c r="D17" s="283">
        <v>1.0429906542056075</v>
      </c>
      <c r="E17" s="342">
        <v>1332</v>
      </c>
      <c r="F17" s="128">
        <v>792</v>
      </c>
      <c r="G17" s="128">
        <v>663</v>
      </c>
      <c r="H17" s="338">
        <v>0.49345794392523362</v>
      </c>
      <c r="I17" s="129">
        <f>F17/E17</f>
        <v>0.59459459459459463</v>
      </c>
      <c r="J17" s="344"/>
      <c r="K17" s="344"/>
      <c r="L17" s="344"/>
      <c r="M17" s="344"/>
      <c r="N17" s="344"/>
      <c r="O17" s="254"/>
      <c r="P17" s="252"/>
      <c r="Q17" s="252"/>
    </row>
    <row r="18" spans="1:17" ht="13.5" thickBot="1" x14ac:dyDescent="0.25">
      <c r="A18" s="210" t="s">
        <v>44</v>
      </c>
      <c r="B18" s="130">
        <v>28211</v>
      </c>
      <c r="C18" s="131">
        <v>20319</v>
      </c>
      <c r="D18" s="284">
        <v>1.3884049411880506</v>
      </c>
      <c r="E18" s="349">
        <v>17579</v>
      </c>
      <c r="F18" s="131">
        <v>13835</v>
      </c>
      <c r="G18" s="131">
        <v>11803</v>
      </c>
      <c r="H18" s="339">
        <v>0.68088980756927009</v>
      </c>
      <c r="I18" s="132">
        <f>F18/E18</f>
        <v>0.78701860174071336</v>
      </c>
      <c r="J18" s="344"/>
      <c r="K18" s="344"/>
      <c r="L18" s="344"/>
      <c r="M18" s="344"/>
      <c r="N18" s="344"/>
      <c r="O18" s="254"/>
      <c r="P18" s="252"/>
      <c r="Q18" s="252"/>
    </row>
    <row r="19" spans="1:17" ht="13.5" thickBot="1" x14ac:dyDescent="0.25">
      <c r="A19" s="32" t="s">
        <v>41</v>
      </c>
      <c r="B19" s="24"/>
      <c r="C19" s="24"/>
      <c r="D19" s="24"/>
      <c r="E19" s="350"/>
      <c r="F19" s="24"/>
      <c r="G19" s="24"/>
      <c r="H19" s="24"/>
      <c r="I19" s="31"/>
      <c r="J19" s="254"/>
      <c r="K19" s="254"/>
      <c r="L19" s="254"/>
      <c r="M19" s="254"/>
      <c r="N19" s="254"/>
      <c r="O19" s="254"/>
      <c r="P19" s="252"/>
      <c r="Q19" s="252"/>
    </row>
    <row r="20" spans="1:17" x14ac:dyDescent="0.2">
      <c r="A20" s="207" t="s">
        <v>51</v>
      </c>
      <c r="B20" s="121">
        <v>22244</v>
      </c>
      <c r="C20" s="122">
        <v>17476</v>
      </c>
      <c r="D20" s="281">
        <v>1.2728313115129319</v>
      </c>
      <c r="E20" s="340">
        <v>14954</v>
      </c>
      <c r="F20" s="122">
        <v>10459</v>
      </c>
      <c r="G20" s="122">
        <v>8700</v>
      </c>
      <c r="H20" s="336">
        <v>0.59847791256580452</v>
      </c>
      <c r="I20" s="123">
        <f>F20/E20</f>
        <v>0.69941152868797651</v>
      </c>
      <c r="J20" s="254"/>
      <c r="K20" s="254"/>
      <c r="L20" s="254"/>
      <c r="M20" s="254"/>
      <c r="N20" s="254"/>
      <c r="O20" s="254"/>
      <c r="P20" s="252"/>
      <c r="Q20" s="252"/>
    </row>
    <row r="21" spans="1:17" x14ac:dyDescent="0.2">
      <c r="A21" s="208" t="s">
        <v>52</v>
      </c>
      <c r="B21" s="124">
        <v>5691</v>
      </c>
      <c r="C21" s="125">
        <v>5060</v>
      </c>
      <c r="D21" s="282">
        <v>1.124703557312253</v>
      </c>
      <c r="E21" s="341">
        <v>4385</v>
      </c>
      <c r="F21" s="125">
        <v>3944</v>
      </c>
      <c r="G21" s="125">
        <v>3380</v>
      </c>
      <c r="H21" s="337">
        <v>0.77944664031620559</v>
      </c>
      <c r="I21" s="126">
        <f>F21/E21</f>
        <v>0.89942987457240597</v>
      </c>
      <c r="J21" s="254"/>
      <c r="K21" s="254"/>
      <c r="L21" s="254"/>
      <c r="M21" s="254"/>
      <c r="N21" s="254"/>
      <c r="O21" s="254"/>
      <c r="P21" s="252"/>
      <c r="Q21" s="252"/>
    </row>
    <row r="22" spans="1:17" x14ac:dyDescent="0.2">
      <c r="A22" s="209" t="s">
        <v>43</v>
      </c>
      <c r="B22" s="127">
        <v>1515</v>
      </c>
      <c r="C22" s="128">
        <v>1455</v>
      </c>
      <c r="D22" s="283">
        <v>1.0412371134020619</v>
      </c>
      <c r="E22" s="342">
        <v>1214</v>
      </c>
      <c r="F22" s="128">
        <v>718</v>
      </c>
      <c r="G22" s="128">
        <v>570</v>
      </c>
      <c r="H22" s="338">
        <v>0.4934707903780069</v>
      </c>
      <c r="I22" s="129">
        <f>F22/E22</f>
        <v>0.59143327841845139</v>
      </c>
      <c r="J22" s="254"/>
      <c r="K22" s="254"/>
      <c r="L22" s="254"/>
      <c r="M22" s="254"/>
      <c r="N22" s="254"/>
      <c r="O22" s="254"/>
      <c r="P22" s="252"/>
      <c r="Q22" s="252"/>
    </row>
    <row r="23" spans="1:17" ht="13.5" thickBot="1" x14ac:dyDescent="0.25">
      <c r="A23" s="210" t="s">
        <v>44</v>
      </c>
      <c r="B23" s="130">
        <v>29450</v>
      </c>
      <c r="C23" s="131">
        <v>22220</v>
      </c>
      <c r="D23" s="284">
        <v>1.3253825382538253</v>
      </c>
      <c r="E23" s="349">
        <v>19520</v>
      </c>
      <c r="F23" s="131">
        <v>14823</v>
      </c>
      <c r="G23" s="131">
        <v>12602</v>
      </c>
      <c r="H23" s="339">
        <v>0.66710171017101705</v>
      </c>
      <c r="I23" s="132">
        <f>F23/E23</f>
        <v>0.75937500000000002</v>
      </c>
      <c r="J23" s="252"/>
      <c r="K23" s="252"/>
      <c r="L23" s="252"/>
      <c r="M23" s="252"/>
      <c r="N23" s="252"/>
      <c r="O23" s="252"/>
      <c r="P23" s="252"/>
      <c r="Q23" s="252"/>
    </row>
    <row r="24" spans="1:17" ht="13.5" thickBot="1" x14ac:dyDescent="0.25">
      <c r="A24" s="32" t="s">
        <v>53</v>
      </c>
      <c r="B24" s="24"/>
      <c r="C24" s="24"/>
      <c r="D24" s="24"/>
      <c r="E24" s="350"/>
      <c r="F24" s="24"/>
      <c r="G24" s="24"/>
      <c r="H24" s="24"/>
      <c r="I24" s="31"/>
      <c r="J24" s="254"/>
      <c r="K24" s="254"/>
      <c r="L24" s="254"/>
      <c r="M24" s="254"/>
      <c r="N24" s="254"/>
      <c r="O24" s="254"/>
      <c r="P24" s="252"/>
      <c r="Q24" s="252"/>
    </row>
    <row r="25" spans="1:17" x14ac:dyDescent="0.2">
      <c r="A25" s="207" t="s">
        <v>51</v>
      </c>
      <c r="B25" s="121">
        <v>25119</v>
      </c>
      <c r="C25" s="122">
        <v>19271</v>
      </c>
      <c r="D25" s="281">
        <v>1.3034611592548389</v>
      </c>
      <c r="E25" s="340">
        <v>16449</v>
      </c>
      <c r="F25" s="122">
        <v>10680</v>
      </c>
      <c r="G25" s="122">
        <v>8989</v>
      </c>
      <c r="H25" s="336">
        <v>0.55420061231902862</v>
      </c>
      <c r="I25" s="123">
        <f>F25/E25</f>
        <v>0.64927959146452674</v>
      </c>
      <c r="J25" s="254"/>
      <c r="K25" s="254"/>
      <c r="L25" s="254"/>
      <c r="M25" s="254"/>
      <c r="N25" s="254"/>
      <c r="O25" s="254"/>
      <c r="P25" s="252"/>
      <c r="Q25" s="252"/>
    </row>
    <row r="26" spans="1:17" x14ac:dyDescent="0.2">
      <c r="A26" s="208" t="s">
        <v>52</v>
      </c>
      <c r="B26" s="124">
        <v>5887</v>
      </c>
      <c r="C26" s="125">
        <v>5303</v>
      </c>
      <c r="D26" s="282">
        <v>1.1101263435791062</v>
      </c>
      <c r="E26" s="341">
        <v>4767</v>
      </c>
      <c r="F26" s="125">
        <v>4252</v>
      </c>
      <c r="G26" s="125">
        <v>3769</v>
      </c>
      <c r="H26" s="337">
        <v>0.80181029605883458</v>
      </c>
      <c r="I26" s="126">
        <f>F26/E26</f>
        <v>0.89196559681141174</v>
      </c>
      <c r="J26" s="254"/>
      <c r="K26" s="254"/>
      <c r="L26" s="254"/>
      <c r="M26" s="254"/>
      <c r="N26" s="254"/>
      <c r="O26" s="254"/>
      <c r="P26" s="252"/>
      <c r="Q26" s="252"/>
    </row>
    <row r="27" spans="1:17" x14ac:dyDescent="0.2">
      <c r="A27" s="209" t="s">
        <v>43</v>
      </c>
      <c r="B27" s="127">
        <v>1667</v>
      </c>
      <c r="C27" s="128">
        <v>1589</v>
      </c>
      <c r="D27" s="283">
        <v>1.0490874764002518</v>
      </c>
      <c r="E27" s="342">
        <v>1305</v>
      </c>
      <c r="F27" s="128">
        <v>812</v>
      </c>
      <c r="G27" s="128">
        <v>710</v>
      </c>
      <c r="H27" s="338">
        <v>0.51101321585903081</v>
      </c>
      <c r="I27" s="129">
        <f>F27/E27</f>
        <v>0.62222222222222223</v>
      </c>
      <c r="J27" s="254"/>
      <c r="K27" s="254"/>
      <c r="L27" s="254"/>
      <c r="M27" s="254"/>
      <c r="N27" s="254"/>
      <c r="O27" s="254"/>
      <c r="P27" s="252"/>
      <c r="Q27" s="252"/>
    </row>
    <row r="28" spans="1:17" ht="13.5" thickBot="1" x14ac:dyDescent="0.25">
      <c r="A28" s="210" t="s">
        <v>44</v>
      </c>
      <c r="B28" s="130">
        <v>32673</v>
      </c>
      <c r="C28" s="131">
        <v>24339</v>
      </c>
      <c r="D28" s="284">
        <v>1.34</v>
      </c>
      <c r="E28" s="349">
        <v>21394</v>
      </c>
      <c r="F28" s="131">
        <v>15507</v>
      </c>
      <c r="G28" s="131">
        <v>13434</v>
      </c>
      <c r="H28" s="339">
        <v>0.6371</v>
      </c>
      <c r="I28" s="132">
        <f>F28/E28</f>
        <v>0.72482939141815461</v>
      </c>
      <c r="J28" s="254"/>
      <c r="K28" s="254"/>
      <c r="L28" s="254"/>
      <c r="M28" s="254"/>
      <c r="N28" s="254"/>
      <c r="O28" s="254"/>
      <c r="P28" s="252"/>
      <c r="Q28" s="252"/>
    </row>
    <row r="29" spans="1:17" ht="13.5" thickBot="1" x14ac:dyDescent="0.25">
      <c r="A29" s="32" t="s">
        <v>54</v>
      </c>
      <c r="B29" s="24"/>
      <c r="C29" s="24"/>
      <c r="D29" s="24"/>
      <c r="E29" s="350"/>
      <c r="F29" s="24"/>
      <c r="G29" s="24"/>
      <c r="H29" s="24"/>
      <c r="I29" s="31"/>
      <c r="J29" s="254"/>
      <c r="K29" s="254"/>
      <c r="L29" s="254"/>
      <c r="M29" s="254"/>
      <c r="N29" s="254"/>
      <c r="O29" s="254"/>
      <c r="P29" s="252"/>
      <c r="Q29" s="252"/>
    </row>
    <row r="30" spans="1:17" x14ac:dyDescent="0.2">
      <c r="A30" s="207" t="s">
        <v>51</v>
      </c>
      <c r="B30" s="121">
        <v>19893</v>
      </c>
      <c r="C30" s="122">
        <v>15676</v>
      </c>
      <c r="D30" s="281">
        <v>1.2690099515182445</v>
      </c>
      <c r="E30" s="340">
        <v>13223</v>
      </c>
      <c r="F30" s="122">
        <v>9088</v>
      </c>
      <c r="G30" s="122">
        <v>7566</v>
      </c>
      <c r="H30" s="336">
        <v>0.57973972952283748</v>
      </c>
      <c r="I30" s="123">
        <f>F30/E30</f>
        <v>0.68728730242758829</v>
      </c>
      <c r="J30" s="252"/>
      <c r="K30" s="252"/>
      <c r="L30" s="252"/>
      <c r="M30" s="252"/>
      <c r="N30" s="252"/>
      <c r="O30" s="252"/>
      <c r="P30" s="252"/>
      <c r="Q30" s="252"/>
    </row>
    <row r="31" spans="1:17" x14ac:dyDescent="0.2">
      <c r="A31" s="208" t="s">
        <v>52</v>
      </c>
      <c r="B31" s="124">
        <v>5448</v>
      </c>
      <c r="C31" s="125">
        <v>4953</v>
      </c>
      <c r="D31" s="282">
        <v>1.0999394306480921</v>
      </c>
      <c r="E31" s="341">
        <v>4083</v>
      </c>
      <c r="F31" s="125">
        <v>3759</v>
      </c>
      <c r="G31" s="125">
        <v>3179</v>
      </c>
      <c r="H31" s="337">
        <v>0.75893397940642038</v>
      </c>
      <c r="I31" s="126">
        <f>F31/E31</f>
        <v>0.92064658339456285</v>
      </c>
      <c r="J31" s="252"/>
      <c r="K31" s="252"/>
      <c r="L31" s="252"/>
      <c r="M31" s="252"/>
      <c r="N31" s="252"/>
      <c r="O31" s="252"/>
      <c r="P31" s="252"/>
      <c r="Q31" s="252"/>
    </row>
    <row r="32" spans="1:17" x14ac:dyDescent="0.2">
      <c r="A32" s="209" t="s">
        <v>43</v>
      </c>
      <c r="B32" s="127">
        <v>1666</v>
      </c>
      <c r="C32" s="128">
        <v>1618</v>
      </c>
      <c r="D32" s="283">
        <v>1.0296662546353523</v>
      </c>
      <c r="E32" s="342">
        <v>1229</v>
      </c>
      <c r="F32" s="128">
        <v>789</v>
      </c>
      <c r="G32" s="128">
        <v>582</v>
      </c>
      <c r="H32" s="338">
        <v>0.48763906056860323</v>
      </c>
      <c r="I32" s="129">
        <f>F32/E32</f>
        <v>0.64198535394629785</v>
      </c>
      <c r="J32" s="252"/>
      <c r="K32" s="252"/>
      <c r="L32" s="252"/>
      <c r="M32" s="252"/>
      <c r="N32" s="252"/>
      <c r="O32" s="252"/>
      <c r="P32" s="252"/>
      <c r="Q32" s="252"/>
    </row>
    <row r="33" spans="1:17" ht="13.5" thickBot="1" x14ac:dyDescent="0.25">
      <c r="A33" s="210" t="s">
        <v>44</v>
      </c>
      <c r="B33" s="130">
        <v>27007</v>
      </c>
      <c r="C33" s="131">
        <v>20595</v>
      </c>
      <c r="D33" s="284">
        <v>1.31133770332605</v>
      </c>
      <c r="E33" s="349">
        <v>17577</v>
      </c>
      <c r="F33" s="131">
        <v>13361</v>
      </c>
      <c r="G33" s="131">
        <v>11300</v>
      </c>
      <c r="H33" s="339">
        <v>0.64874969652828351</v>
      </c>
      <c r="I33" s="132">
        <f>F33/E33</f>
        <v>0.76014109347442682</v>
      </c>
      <c r="J33" s="254"/>
      <c r="K33" s="254"/>
      <c r="L33" s="254"/>
      <c r="M33" s="254"/>
      <c r="N33" s="254"/>
      <c r="O33" s="254"/>
      <c r="P33" s="254"/>
      <c r="Q33" s="252"/>
    </row>
    <row r="34" spans="1:17" ht="13.5" thickBot="1" x14ac:dyDescent="0.25">
      <c r="A34" s="32" t="s">
        <v>76</v>
      </c>
      <c r="B34" s="24"/>
      <c r="C34" s="24"/>
      <c r="D34" s="24"/>
      <c r="E34" s="350"/>
      <c r="F34" s="24"/>
      <c r="G34" s="24"/>
      <c r="H34" s="24"/>
      <c r="I34" s="31"/>
      <c r="J34" s="254"/>
      <c r="K34" s="254"/>
      <c r="L34" s="254"/>
      <c r="M34" s="254"/>
      <c r="N34" s="254"/>
      <c r="O34" s="254"/>
      <c r="P34" s="254"/>
      <c r="Q34" s="252"/>
    </row>
    <row r="35" spans="1:17" x14ac:dyDescent="0.2">
      <c r="A35" s="207" t="s">
        <v>51</v>
      </c>
      <c r="B35" s="121">
        <v>18064</v>
      </c>
      <c r="C35" s="122">
        <v>14571</v>
      </c>
      <c r="D35" s="281">
        <v>1.2397227369432435</v>
      </c>
      <c r="E35" s="340">
        <v>11908</v>
      </c>
      <c r="F35" s="122">
        <v>8826</v>
      </c>
      <c r="G35" s="122">
        <v>7207</v>
      </c>
      <c r="H35" s="336">
        <v>0.60572369775581636</v>
      </c>
      <c r="I35" s="123">
        <f>F35/E35</f>
        <v>0.74118239838763855</v>
      </c>
      <c r="J35" s="254"/>
      <c r="K35" s="254"/>
      <c r="L35" s="254"/>
      <c r="M35" s="254"/>
      <c r="N35" s="254"/>
      <c r="O35" s="254"/>
      <c r="P35" s="254"/>
      <c r="Q35" s="252"/>
    </row>
    <row r="36" spans="1:17" x14ac:dyDescent="0.2">
      <c r="A36" s="208" t="s">
        <v>52</v>
      </c>
      <c r="B36" s="124">
        <v>5562</v>
      </c>
      <c r="C36" s="125">
        <v>5054</v>
      </c>
      <c r="D36" s="282">
        <v>1.1005144440047487</v>
      </c>
      <c r="E36" s="341">
        <v>4338</v>
      </c>
      <c r="F36" s="125">
        <v>3975</v>
      </c>
      <c r="G36" s="125">
        <v>3400</v>
      </c>
      <c r="H36" s="337">
        <v>0.7865057380292837</v>
      </c>
      <c r="I36" s="126">
        <f>F36/E36</f>
        <v>0.91632088520055321</v>
      </c>
      <c r="J36" s="254"/>
      <c r="K36" s="254"/>
      <c r="L36" s="254"/>
      <c r="M36" s="254"/>
      <c r="N36" s="254"/>
      <c r="O36" s="254"/>
      <c r="P36" s="254"/>
      <c r="Q36" s="252"/>
    </row>
    <row r="37" spans="1:17" x14ac:dyDescent="0.2">
      <c r="A37" s="209" t="s">
        <v>43</v>
      </c>
      <c r="B37" s="127">
        <v>1347</v>
      </c>
      <c r="C37" s="128">
        <v>1293</v>
      </c>
      <c r="D37" s="283">
        <v>1.0417633410672853</v>
      </c>
      <c r="E37" s="342">
        <v>1091</v>
      </c>
      <c r="F37" s="128">
        <v>721</v>
      </c>
      <c r="G37" s="128">
        <v>600</v>
      </c>
      <c r="H37" s="338">
        <v>0.55761794276875487</v>
      </c>
      <c r="I37" s="129">
        <f>F37/E37</f>
        <v>0.66086159486709439</v>
      </c>
      <c r="J37" s="254"/>
      <c r="K37" s="254"/>
      <c r="L37" s="254"/>
      <c r="M37" s="254"/>
      <c r="N37" s="254"/>
      <c r="O37" s="254"/>
      <c r="P37" s="254"/>
      <c r="Q37" s="252"/>
    </row>
    <row r="38" spans="1:17" ht="13.5" thickBot="1" x14ac:dyDescent="0.25">
      <c r="A38" s="210" t="s">
        <v>44</v>
      </c>
      <c r="B38" s="130">
        <v>24973</v>
      </c>
      <c r="C38" s="131">
        <v>19441</v>
      </c>
      <c r="D38" s="284">
        <v>1.284553263721002</v>
      </c>
      <c r="E38" s="349">
        <v>16309</v>
      </c>
      <c r="F38" s="131">
        <v>13203</v>
      </c>
      <c r="G38" s="131">
        <v>11149</v>
      </c>
      <c r="H38" s="339">
        <v>0.67913173190679488</v>
      </c>
      <c r="I38" s="132">
        <f>F38/E38</f>
        <v>0.80955300754184811</v>
      </c>
      <c r="J38" s="254"/>
      <c r="K38" s="254"/>
      <c r="L38" s="254"/>
      <c r="M38" s="254"/>
      <c r="N38" s="254"/>
      <c r="O38" s="254"/>
      <c r="P38" s="254"/>
      <c r="Q38" s="252"/>
    </row>
    <row r="39" spans="1:17" ht="13.5" thickBot="1" x14ac:dyDescent="0.25">
      <c r="A39" s="351" t="s">
        <v>84</v>
      </c>
      <c r="B39" s="350"/>
      <c r="C39" s="350"/>
      <c r="D39" s="350"/>
      <c r="E39" s="350"/>
      <c r="F39" s="350"/>
      <c r="G39" s="350"/>
      <c r="H39" s="350"/>
      <c r="I39" s="352"/>
      <c r="J39" s="254"/>
      <c r="K39" s="254"/>
      <c r="L39" s="254"/>
      <c r="M39" s="254"/>
      <c r="N39" s="254"/>
      <c r="O39" s="254"/>
      <c r="P39" s="254"/>
      <c r="Q39" s="252"/>
    </row>
    <row r="40" spans="1:17" x14ac:dyDescent="0.2">
      <c r="A40" s="207" t="s">
        <v>51</v>
      </c>
      <c r="B40" s="121">
        <v>16203</v>
      </c>
      <c r="C40" s="122">
        <v>12206</v>
      </c>
      <c r="D40" s="281">
        <v>1.3274619039816484</v>
      </c>
      <c r="E40" s="340">
        <v>10497</v>
      </c>
      <c r="F40" s="122">
        <v>8463</v>
      </c>
      <c r="G40" s="122">
        <v>7016</v>
      </c>
      <c r="H40" s="336">
        <v>0.69334753399967231</v>
      </c>
      <c r="I40" s="123">
        <f>F40/E40</f>
        <v>0.80623035152900824</v>
      </c>
    </row>
    <row r="41" spans="1:17" x14ac:dyDescent="0.2">
      <c r="A41" s="208" t="s">
        <v>52</v>
      </c>
      <c r="B41" s="124">
        <v>5069</v>
      </c>
      <c r="C41" s="125">
        <v>4749</v>
      </c>
      <c r="D41" s="282">
        <v>1.0673826068646031</v>
      </c>
      <c r="E41" s="341">
        <v>4014</v>
      </c>
      <c r="F41" s="125">
        <v>3710</v>
      </c>
      <c r="G41" s="125">
        <v>3284</v>
      </c>
      <c r="H41" s="337">
        <v>0.78121709833649189</v>
      </c>
      <c r="I41" s="126">
        <f>F41/E41</f>
        <v>0.92426507224713506</v>
      </c>
    </row>
    <row r="42" spans="1:17" x14ac:dyDescent="0.2">
      <c r="A42" s="209" t="s">
        <v>43</v>
      </c>
      <c r="B42" s="127">
        <v>1349</v>
      </c>
      <c r="C42" s="128">
        <v>1312</v>
      </c>
      <c r="D42" s="283">
        <v>1.0282012195121952</v>
      </c>
      <c r="E42" s="342">
        <v>1121</v>
      </c>
      <c r="F42" s="128">
        <v>741</v>
      </c>
      <c r="G42" s="128">
        <v>599</v>
      </c>
      <c r="H42" s="338">
        <v>0.56478658536585369</v>
      </c>
      <c r="I42" s="129">
        <f>F42/E42</f>
        <v>0.66101694915254239</v>
      </c>
    </row>
    <row r="43" spans="1:17" ht="13.5" thickBot="1" x14ac:dyDescent="0.25">
      <c r="A43" s="210" t="s">
        <v>44</v>
      </c>
      <c r="B43" s="130">
        <v>22621</v>
      </c>
      <c r="C43" s="131">
        <v>17164</v>
      </c>
      <c r="D43" s="284">
        <v>1.3179328827779073</v>
      </c>
      <c r="E43" s="349">
        <v>14989</v>
      </c>
      <c r="F43" s="131">
        <v>12645</v>
      </c>
      <c r="G43" s="131">
        <v>10858</v>
      </c>
      <c r="H43" s="339">
        <v>0.73671638312747612</v>
      </c>
      <c r="I43" s="132">
        <f>F43/E43</f>
        <v>0.84361865367936484</v>
      </c>
    </row>
    <row r="44" spans="1:17" ht="13.5" thickBot="1" x14ac:dyDescent="0.25">
      <c r="A44" s="351" t="s">
        <v>87</v>
      </c>
      <c r="B44" s="350"/>
      <c r="C44" s="350"/>
      <c r="D44" s="350"/>
      <c r="E44" s="350"/>
      <c r="F44" s="350"/>
      <c r="G44" s="350"/>
      <c r="H44" s="350"/>
      <c r="I44" s="352"/>
    </row>
    <row r="45" spans="1:17" x14ac:dyDescent="0.2">
      <c r="A45" s="207" t="s">
        <v>51</v>
      </c>
      <c r="B45" s="121">
        <v>14578</v>
      </c>
      <c r="C45" s="122">
        <v>12040</v>
      </c>
      <c r="D45" s="281">
        <v>1.210797342192691</v>
      </c>
      <c r="E45" s="340">
        <v>10727</v>
      </c>
      <c r="F45" s="122">
        <v>9008</v>
      </c>
      <c r="G45" s="122">
        <v>7275</v>
      </c>
      <c r="H45" s="336">
        <v>0.74817275747508305</v>
      </c>
      <c r="I45" s="123">
        <v>0.83975016313974082</v>
      </c>
    </row>
    <row r="46" spans="1:17" x14ac:dyDescent="0.2">
      <c r="A46" s="208" t="s">
        <v>52</v>
      </c>
      <c r="B46" s="124">
        <v>5471</v>
      </c>
      <c r="C46" s="125">
        <v>5186</v>
      </c>
      <c r="D46" s="282">
        <v>1.0549556498264558</v>
      </c>
      <c r="E46" s="341">
        <v>4363</v>
      </c>
      <c r="F46" s="125">
        <v>4091</v>
      </c>
      <c r="G46" s="125">
        <v>3469</v>
      </c>
      <c r="H46" s="337">
        <v>0.78885460856151179</v>
      </c>
      <c r="I46" s="126">
        <v>0.93765757506303005</v>
      </c>
    </row>
    <row r="47" spans="1:17" x14ac:dyDescent="0.2">
      <c r="A47" s="209" t="s">
        <v>43</v>
      </c>
      <c r="B47" s="127">
        <v>1189</v>
      </c>
      <c r="C47" s="128">
        <v>1163</v>
      </c>
      <c r="D47" s="283">
        <v>1.0223559759243337</v>
      </c>
      <c r="E47" s="342">
        <v>1031</v>
      </c>
      <c r="F47" s="128">
        <v>757</v>
      </c>
      <c r="G47" s="128">
        <v>625</v>
      </c>
      <c r="H47" s="338">
        <v>0.65090283748925193</v>
      </c>
      <c r="I47" s="129">
        <v>0.73423860329776913</v>
      </c>
    </row>
    <row r="48" spans="1:17" ht="13.5" thickBot="1" x14ac:dyDescent="0.25">
      <c r="A48" s="398" t="s">
        <v>44</v>
      </c>
      <c r="B48" s="399">
        <v>21238</v>
      </c>
      <c r="C48" s="400">
        <v>17484</v>
      </c>
      <c r="D48" s="401">
        <v>1.2147105925417525</v>
      </c>
      <c r="E48" s="402">
        <v>15600</v>
      </c>
      <c r="F48" s="400">
        <v>13629</v>
      </c>
      <c r="G48" s="400">
        <v>11342</v>
      </c>
      <c r="H48" s="403">
        <v>0.779512697323267</v>
      </c>
      <c r="I48" s="404">
        <v>0.87365384615384611</v>
      </c>
    </row>
    <row r="49" spans="1:9" ht="13.5" thickBot="1" x14ac:dyDescent="0.25">
      <c r="A49" s="351" t="s">
        <v>89</v>
      </c>
      <c r="B49" s="350"/>
      <c r="C49" s="350"/>
      <c r="D49" s="350"/>
      <c r="E49" s="350"/>
      <c r="F49" s="350"/>
      <c r="G49" s="350"/>
      <c r="H49" s="350"/>
      <c r="I49" s="352"/>
    </row>
    <row r="50" spans="1:9" x14ac:dyDescent="0.2">
      <c r="A50" s="207" t="s">
        <v>51</v>
      </c>
      <c r="B50" s="121">
        <v>13478</v>
      </c>
      <c r="C50" s="122">
        <v>12070</v>
      </c>
      <c r="D50" s="281">
        <f>B50/C50</f>
        <v>1.1166528583264292</v>
      </c>
      <c r="E50" s="340">
        <v>10527</v>
      </c>
      <c r="F50" s="122">
        <v>8733</v>
      </c>
      <c r="G50" s="122">
        <v>7120</v>
      </c>
      <c r="H50" s="336">
        <f>F50/C50</f>
        <v>0.72352941176470587</v>
      </c>
      <c r="I50" s="123">
        <f>F50/E50</f>
        <v>0.82958107722998009</v>
      </c>
    </row>
    <row r="51" spans="1:9" x14ac:dyDescent="0.2">
      <c r="A51" s="208" t="s">
        <v>52</v>
      </c>
      <c r="B51" s="124">
        <v>4344</v>
      </c>
      <c r="C51" s="125">
        <v>4199</v>
      </c>
      <c r="D51" s="282">
        <f>B51/C51</f>
        <v>1.0345320314360562</v>
      </c>
      <c r="E51" s="341">
        <v>3553</v>
      </c>
      <c r="F51" s="125">
        <v>3368</v>
      </c>
      <c r="G51" s="125">
        <v>2986</v>
      </c>
      <c r="H51" s="337">
        <f>F51/C51</f>
        <v>0.80209573708025717</v>
      </c>
      <c r="I51" s="126">
        <f>F51/E51</f>
        <v>0.94793132564030402</v>
      </c>
    </row>
    <row r="52" spans="1:9" x14ac:dyDescent="0.2">
      <c r="A52" s="209" t="s">
        <v>43</v>
      </c>
      <c r="B52" s="127">
        <v>1075</v>
      </c>
      <c r="C52" s="128">
        <v>1048</v>
      </c>
      <c r="D52" s="283">
        <f>B52/C52</f>
        <v>1.0257633587786259</v>
      </c>
      <c r="E52" s="342">
        <v>928</v>
      </c>
      <c r="F52" s="128">
        <v>735</v>
      </c>
      <c r="G52" s="128">
        <v>580</v>
      </c>
      <c r="H52" s="338">
        <f>F52/C52</f>
        <v>0.70133587786259544</v>
      </c>
      <c r="I52" s="129">
        <f>F52/E52</f>
        <v>0.79202586206896552</v>
      </c>
    </row>
    <row r="53" spans="1:9" ht="13.5" thickBot="1" x14ac:dyDescent="0.25">
      <c r="A53" s="398" t="s">
        <v>44</v>
      </c>
      <c r="B53" s="399">
        <v>18897</v>
      </c>
      <c r="C53" s="400">
        <v>16703</v>
      </c>
      <c r="D53" s="401">
        <f>B53/C53</f>
        <v>1.1313536490450817</v>
      </c>
      <c r="E53" s="402">
        <v>14593</v>
      </c>
      <c r="F53" s="400">
        <v>12593</v>
      </c>
      <c r="G53" s="400">
        <v>10658</v>
      </c>
      <c r="H53" s="403">
        <f>F53/C53</f>
        <v>0.75393641860743577</v>
      </c>
      <c r="I53" s="404">
        <f>F53/E53</f>
        <v>0.86294798876173506</v>
      </c>
    </row>
    <row r="54" spans="1:9" ht="13.5" thickBot="1" x14ac:dyDescent="0.25">
      <c r="A54" s="351" t="s">
        <v>108</v>
      </c>
      <c r="B54" s="350"/>
      <c r="C54" s="350"/>
      <c r="D54" s="350"/>
      <c r="E54" s="350"/>
      <c r="F54" s="350"/>
      <c r="G54" s="350"/>
      <c r="H54" s="350"/>
      <c r="I54" s="352"/>
    </row>
    <row r="55" spans="1:9" x14ac:dyDescent="0.2">
      <c r="A55" s="207" t="s">
        <v>51</v>
      </c>
      <c r="B55" s="121">
        <v>15646</v>
      </c>
      <c r="C55" s="122">
        <v>13595</v>
      </c>
      <c r="D55" s="281">
        <f>B55/C55</f>
        <v>1.1508642883413021</v>
      </c>
      <c r="E55" s="340">
        <v>12346</v>
      </c>
      <c r="F55" s="122">
        <v>10176</v>
      </c>
      <c r="G55" s="122">
        <v>8276</v>
      </c>
      <c r="H55" s="447">
        <f>F55/C55</f>
        <v>0.74851048179477753</v>
      </c>
      <c r="I55" s="123">
        <f>F55/E55</f>
        <v>0.8242345699011826</v>
      </c>
    </row>
    <row r="56" spans="1:9" x14ac:dyDescent="0.2">
      <c r="A56" s="208" t="s">
        <v>52</v>
      </c>
      <c r="B56" s="124">
        <v>3912</v>
      </c>
      <c r="C56" s="125">
        <v>3786</v>
      </c>
      <c r="D56" s="282">
        <f>B56/C56</f>
        <v>1.0332805071315372</v>
      </c>
      <c r="E56" s="341">
        <v>3185</v>
      </c>
      <c r="F56" s="125">
        <v>3031</v>
      </c>
      <c r="G56" s="125">
        <v>2674</v>
      </c>
      <c r="H56" s="448">
        <f>F56/C56</f>
        <v>0.80058108821975704</v>
      </c>
      <c r="I56" s="126">
        <f>F56/E56</f>
        <v>0.9516483516483516</v>
      </c>
    </row>
    <row r="57" spans="1:9" x14ac:dyDescent="0.2">
      <c r="A57" s="209" t="s">
        <v>43</v>
      </c>
      <c r="B57" s="127">
        <v>1065</v>
      </c>
      <c r="C57" s="128">
        <v>1041</v>
      </c>
      <c r="D57" s="283">
        <f>B57/C57</f>
        <v>1.0230547550432276</v>
      </c>
      <c r="E57" s="342">
        <v>930</v>
      </c>
      <c r="F57" s="128">
        <v>807</v>
      </c>
      <c r="G57" s="128">
        <v>648</v>
      </c>
      <c r="H57" s="449">
        <f>F57/C57</f>
        <v>0.77521613832853031</v>
      </c>
      <c r="I57" s="129">
        <f>F57/E57</f>
        <v>0.86774193548387102</v>
      </c>
    </row>
    <row r="58" spans="1:9" ht="13.5" thickBot="1" x14ac:dyDescent="0.25">
      <c r="A58" s="211" t="s">
        <v>44</v>
      </c>
      <c r="B58" s="133">
        <v>20623</v>
      </c>
      <c r="C58" s="134">
        <v>17696</v>
      </c>
      <c r="D58" s="300">
        <f>B58/C58</f>
        <v>1.1654046112115732</v>
      </c>
      <c r="E58" s="343">
        <v>15972</v>
      </c>
      <c r="F58" s="134">
        <v>13741</v>
      </c>
      <c r="G58" s="134">
        <v>11563</v>
      </c>
      <c r="H58" s="450">
        <f>F58/C58</f>
        <v>0.776503164556962</v>
      </c>
      <c r="I58" s="135">
        <f>F58/E58</f>
        <v>0.86031805659904836</v>
      </c>
    </row>
    <row r="59" spans="1:9" ht="14.25" thickTop="1" thickBot="1" x14ac:dyDescent="0.25">
      <c r="A59" s="351" t="s">
        <v>118</v>
      </c>
      <c r="B59" s="350"/>
      <c r="C59" s="350"/>
      <c r="D59" s="350"/>
      <c r="E59" s="350"/>
      <c r="F59" s="350"/>
      <c r="G59" s="350"/>
      <c r="H59" s="350"/>
      <c r="I59" s="352"/>
    </row>
    <row r="60" spans="1:9" x14ac:dyDescent="0.2">
      <c r="A60" s="207" t="s">
        <v>51</v>
      </c>
      <c r="B60" s="121">
        <v>16892</v>
      </c>
      <c r="C60" s="122">
        <v>14761</v>
      </c>
      <c r="D60" s="281">
        <f>B60/C60</f>
        <v>1.1443669128107852</v>
      </c>
      <c r="E60" s="340">
        <v>13460</v>
      </c>
      <c r="F60" s="122">
        <v>10662</v>
      </c>
      <c r="G60" s="122">
        <v>9017</v>
      </c>
      <c r="H60" s="447">
        <f>F60/C60</f>
        <v>0.72230878666756992</v>
      </c>
      <c r="I60" s="123">
        <f>F60/E60</f>
        <v>0.79212481426448733</v>
      </c>
    </row>
    <row r="61" spans="1:9" x14ac:dyDescent="0.2">
      <c r="A61" s="208" t="s">
        <v>52</v>
      </c>
      <c r="B61" s="124">
        <v>4040</v>
      </c>
      <c r="C61" s="125">
        <v>3936</v>
      </c>
      <c r="D61" s="282">
        <f>B61/C61</f>
        <v>1.0264227642276422</v>
      </c>
      <c r="E61" s="341">
        <v>3402</v>
      </c>
      <c r="F61" s="125">
        <v>3189</v>
      </c>
      <c r="G61" s="125">
        <v>2852</v>
      </c>
      <c r="H61" s="448">
        <f>F61/C61</f>
        <v>0.81021341463414631</v>
      </c>
      <c r="I61" s="126">
        <f>F61/E61</f>
        <v>0.93738977072310403</v>
      </c>
    </row>
    <row r="62" spans="1:9" x14ac:dyDescent="0.2">
      <c r="A62" s="209" t="s">
        <v>43</v>
      </c>
      <c r="B62" s="127">
        <v>1214</v>
      </c>
      <c r="C62" s="128">
        <v>1175</v>
      </c>
      <c r="D62" s="283">
        <f>B62/C62</f>
        <v>1.033191489361702</v>
      </c>
      <c r="E62" s="342">
        <v>1095</v>
      </c>
      <c r="F62" s="128">
        <v>846</v>
      </c>
      <c r="G62" s="128">
        <v>690</v>
      </c>
      <c r="H62" s="449">
        <f>F62/C62</f>
        <v>0.72</v>
      </c>
      <c r="I62" s="129">
        <f>F62/E62</f>
        <v>0.77260273972602744</v>
      </c>
    </row>
    <row r="63" spans="1:9" ht="13.5" thickBot="1" x14ac:dyDescent="0.25">
      <c r="A63" s="211" t="s">
        <v>44</v>
      </c>
      <c r="B63" s="133">
        <v>22146</v>
      </c>
      <c r="C63" s="134">
        <v>19041</v>
      </c>
      <c r="D63" s="300">
        <f>B63/C63</f>
        <v>1.163069166535371</v>
      </c>
      <c r="E63" s="343">
        <v>17418</v>
      </c>
      <c r="F63" s="134">
        <v>14447</v>
      </c>
      <c r="G63" s="134">
        <v>12515</v>
      </c>
      <c r="H63" s="450">
        <f>F63/C63</f>
        <v>0.75873115907777955</v>
      </c>
      <c r="I63" s="135">
        <f>F63/E63</f>
        <v>0.82942932598461361</v>
      </c>
    </row>
    <row r="64" spans="1:9" ht="14.25" thickTop="1" thickBot="1" x14ac:dyDescent="0.25">
      <c r="A64" s="351" t="s">
        <v>121</v>
      </c>
      <c r="B64" s="350"/>
      <c r="C64" s="350"/>
      <c r="D64" s="350"/>
      <c r="E64" s="350"/>
      <c r="F64" s="350"/>
      <c r="G64" s="350"/>
      <c r="H64" s="350"/>
      <c r="I64" s="352"/>
    </row>
    <row r="65" spans="1:9" x14ac:dyDescent="0.2">
      <c r="A65" s="207" t="s">
        <v>51</v>
      </c>
      <c r="B65" s="121">
        <v>16285</v>
      </c>
      <c r="C65" s="122">
        <v>13694</v>
      </c>
      <c r="D65" s="281">
        <f>B65/C65</f>
        <v>1.189206951949759</v>
      </c>
      <c r="E65" s="340">
        <v>12605</v>
      </c>
      <c r="F65" s="122">
        <v>10335</v>
      </c>
      <c r="G65" s="122">
        <v>8624</v>
      </c>
      <c r="H65" s="447">
        <f>F65/C65</f>
        <v>0.75471009201109973</v>
      </c>
      <c r="I65" s="123">
        <f>F65/E65</f>
        <v>0.8199127330424435</v>
      </c>
    </row>
    <row r="66" spans="1:9" x14ac:dyDescent="0.2">
      <c r="A66" s="208" t="s">
        <v>52</v>
      </c>
      <c r="B66" s="124">
        <v>3722</v>
      </c>
      <c r="C66" s="125">
        <v>3597</v>
      </c>
      <c r="D66" s="282">
        <f>B66/C66</f>
        <v>1.0347511815401724</v>
      </c>
      <c r="E66" s="341">
        <v>3199</v>
      </c>
      <c r="F66" s="125">
        <v>2794</v>
      </c>
      <c r="G66" s="125">
        <v>2479</v>
      </c>
      <c r="H66" s="448">
        <f>F66/C66</f>
        <v>0.77675840978593269</v>
      </c>
      <c r="I66" s="126">
        <f>F66/E66</f>
        <v>0.87339793685526723</v>
      </c>
    </row>
    <row r="67" spans="1:9" x14ac:dyDescent="0.2">
      <c r="A67" s="209" t="s">
        <v>43</v>
      </c>
      <c r="B67" s="127">
        <v>1346</v>
      </c>
      <c r="C67" s="128">
        <v>1274</v>
      </c>
      <c r="D67" s="283">
        <f>B67/C67</f>
        <v>1.0565149136577707</v>
      </c>
      <c r="E67" s="342">
        <v>1141</v>
      </c>
      <c r="F67" s="128">
        <v>880</v>
      </c>
      <c r="G67" s="128">
        <v>725</v>
      </c>
      <c r="H67" s="449">
        <f>F67/C67</f>
        <v>0.69073783359497642</v>
      </c>
      <c r="I67" s="129">
        <f>F67/E67</f>
        <v>0.77125328659070991</v>
      </c>
    </row>
    <row r="68" spans="1:9" ht="13.5" thickBot="1" x14ac:dyDescent="0.25">
      <c r="A68" s="211" t="s">
        <v>44</v>
      </c>
      <c r="B68" s="133">
        <v>21358</v>
      </c>
      <c r="C68" s="134">
        <v>17864</v>
      </c>
      <c r="D68" s="300">
        <f>B68/C68</f>
        <v>1.1955888938647559</v>
      </c>
      <c r="E68" s="343">
        <v>16458</v>
      </c>
      <c r="F68" s="134">
        <v>13820</v>
      </c>
      <c r="G68" s="134">
        <v>11804</v>
      </c>
      <c r="H68" s="450">
        <f>F68/C68</f>
        <v>0.77362292879534256</v>
      </c>
      <c r="I68" s="135">
        <f>F68/E68</f>
        <v>0.83971320938145577</v>
      </c>
    </row>
    <row r="69" spans="1:9" ht="14.25" thickTop="1" thickBot="1" x14ac:dyDescent="0.25">
      <c r="A69" s="351" t="s">
        <v>132</v>
      </c>
      <c r="B69" s="350"/>
      <c r="C69" s="350"/>
      <c r="D69" s="350"/>
      <c r="E69" s="350"/>
      <c r="F69" s="350"/>
      <c r="G69" s="350"/>
      <c r="H69" s="350"/>
      <c r="I69" s="352"/>
    </row>
    <row r="70" spans="1:9" x14ac:dyDescent="0.2">
      <c r="A70" s="207" t="s">
        <v>51</v>
      </c>
      <c r="B70" s="121">
        <v>16339</v>
      </c>
      <c r="C70" s="122">
        <v>13834</v>
      </c>
      <c r="D70" s="281">
        <f>B70/C70</f>
        <v>1.1810756108139366</v>
      </c>
      <c r="E70" s="340">
        <v>12705</v>
      </c>
      <c r="F70" s="122">
        <v>10571</v>
      </c>
      <c r="G70" s="122">
        <v>9083</v>
      </c>
      <c r="H70" s="447">
        <f>F70/C70</f>
        <v>0.76413184906751486</v>
      </c>
      <c r="I70" s="123">
        <f>F70/E70</f>
        <v>0.83203463203463202</v>
      </c>
    </row>
    <row r="71" spans="1:9" x14ac:dyDescent="0.2">
      <c r="A71" s="208" t="s">
        <v>52</v>
      </c>
      <c r="B71" s="124">
        <v>3291</v>
      </c>
      <c r="C71" s="125">
        <v>3186</v>
      </c>
      <c r="D71" s="282">
        <f>B71/C71</f>
        <v>1.0329566854990584</v>
      </c>
      <c r="E71" s="341">
        <v>2804</v>
      </c>
      <c r="F71" s="125">
        <v>2575</v>
      </c>
      <c r="G71" s="125">
        <v>2271</v>
      </c>
      <c r="H71" s="448">
        <f>F71/C71</f>
        <v>0.80822347771500314</v>
      </c>
      <c r="I71" s="126">
        <f>F71/E71</f>
        <v>0.91833095577746082</v>
      </c>
    </row>
    <row r="72" spans="1:9" x14ac:dyDescent="0.2">
      <c r="A72" s="209" t="s">
        <v>43</v>
      </c>
      <c r="B72" s="127">
        <v>1361</v>
      </c>
      <c r="C72" s="128">
        <v>1269</v>
      </c>
      <c r="D72" s="283">
        <f>B72/C72</f>
        <v>1.0724980299448386</v>
      </c>
      <c r="E72" s="342">
        <v>1151</v>
      </c>
      <c r="F72" s="128">
        <v>858</v>
      </c>
      <c r="G72" s="128">
        <v>725</v>
      </c>
      <c r="H72" s="449">
        <f>F72/C72</f>
        <v>0.67612293144208035</v>
      </c>
      <c r="I72" s="129">
        <f>F72/E72</f>
        <v>0.74543874891398787</v>
      </c>
    </row>
    <row r="73" spans="1:9" ht="13.5" thickBot="1" x14ac:dyDescent="0.25">
      <c r="A73" s="211" t="s">
        <v>44</v>
      </c>
      <c r="B73" s="133">
        <v>20991</v>
      </c>
      <c r="C73" s="134">
        <f>+'voš_druh studia '!C59</f>
        <v>17605</v>
      </c>
      <c r="D73" s="300">
        <f>B73/C73</f>
        <v>1.1923317239420619</v>
      </c>
      <c r="E73" s="343">
        <f>+'voš_druh studia '!G59</f>
        <v>16196</v>
      </c>
      <c r="F73" s="343">
        <f>+'voš_druh studia '!H59</f>
        <v>13798</v>
      </c>
      <c r="G73" s="343">
        <f>+'voš_druh studia '!I59</f>
        <v>12043</v>
      </c>
      <c r="H73" s="450">
        <f>F73/C73</f>
        <v>0.78375461516614597</v>
      </c>
      <c r="I73" s="135">
        <f>F73/E73</f>
        <v>0.85193875030871824</v>
      </c>
    </row>
    <row r="74" spans="1:9" ht="14.25" thickTop="1" thickBot="1" x14ac:dyDescent="0.25">
      <c r="A74" s="351" t="s">
        <v>134</v>
      </c>
      <c r="B74" s="350"/>
      <c r="C74" s="350"/>
      <c r="D74" s="350"/>
      <c r="E74" s="350"/>
      <c r="F74" s="350"/>
      <c r="G74" s="350"/>
      <c r="H74" s="350"/>
      <c r="I74" s="352"/>
    </row>
    <row r="75" spans="1:9" x14ac:dyDescent="0.2">
      <c r="A75" s="207" t="s">
        <v>51</v>
      </c>
      <c r="B75" s="121">
        <v>16521</v>
      </c>
      <c r="C75" s="122">
        <v>13808</v>
      </c>
      <c r="D75" s="281">
        <f>B75/C75</f>
        <v>1.1964803012746235</v>
      </c>
      <c r="E75" s="340">
        <v>12953</v>
      </c>
      <c r="F75" s="122">
        <v>10603</v>
      </c>
      <c r="G75" s="122">
        <v>9048</v>
      </c>
      <c r="H75" s="447">
        <f>F75/C75</f>
        <v>0.76788818076477405</v>
      </c>
      <c r="I75" s="123">
        <f>F75/E75</f>
        <v>0.81857484752566978</v>
      </c>
    </row>
    <row r="76" spans="1:9" x14ac:dyDescent="0.2">
      <c r="A76" s="208" t="s">
        <v>52</v>
      </c>
      <c r="B76" s="124">
        <v>3272</v>
      </c>
      <c r="C76" s="125">
        <v>3151</v>
      </c>
      <c r="D76" s="282">
        <f>B76/C76</f>
        <v>1.0384005077753093</v>
      </c>
      <c r="E76" s="341">
        <v>2790</v>
      </c>
      <c r="F76" s="125">
        <v>2531</v>
      </c>
      <c r="G76" s="125">
        <v>2201</v>
      </c>
      <c r="H76" s="448">
        <f>F76/C76</f>
        <v>0.80323706759758806</v>
      </c>
      <c r="I76" s="126">
        <f>F76/E76</f>
        <v>0.90716845878136199</v>
      </c>
    </row>
    <row r="77" spans="1:9" x14ac:dyDescent="0.2">
      <c r="A77" s="209" t="s">
        <v>43</v>
      </c>
      <c r="B77" s="127">
        <v>1087</v>
      </c>
      <c r="C77" s="128">
        <v>1038</v>
      </c>
      <c r="D77" s="283">
        <f>B77/C77</f>
        <v>1.0472061657032756</v>
      </c>
      <c r="E77" s="342">
        <v>947</v>
      </c>
      <c r="F77" s="128">
        <v>783</v>
      </c>
      <c r="G77" s="128">
        <v>649</v>
      </c>
      <c r="H77" s="449">
        <f>F77/C77</f>
        <v>0.75433526011560692</v>
      </c>
      <c r="I77" s="129">
        <f>F77/E77</f>
        <v>0.82682154171066524</v>
      </c>
    </row>
    <row r="78" spans="1:9" ht="13.5" thickBot="1" x14ac:dyDescent="0.25">
      <c r="A78" s="211" t="s">
        <v>44</v>
      </c>
      <c r="B78" s="133">
        <f>'voš_druh studia '!B63</f>
        <v>20880</v>
      </c>
      <c r="C78" s="134">
        <f>'voš_druh studia '!C63</f>
        <v>17384</v>
      </c>
      <c r="D78" s="300">
        <f>B78/C78</f>
        <v>1.2011044638748274</v>
      </c>
      <c r="E78" s="343">
        <f>'voš_druh studia '!G63</f>
        <v>16264</v>
      </c>
      <c r="F78" s="343">
        <f>'voš_druh studia '!H63</f>
        <v>13740</v>
      </c>
      <c r="G78" s="343">
        <f>'voš_druh studia '!I63</f>
        <v>11877</v>
      </c>
      <c r="H78" s="450">
        <f>F78/C78</f>
        <v>0.79038196042337783</v>
      </c>
      <c r="I78" s="135">
        <f>F78/E78</f>
        <v>0.84481062469257251</v>
      </c>
    </row>
    <row r="79" spans="1:9" ht="14.25" thickTop="1" thickBot="1" x14ac:dyDescent="0.25">
      <c r="A79" s="351" t="s">
        <v>137</v>
      </c>
      <c r="B79" s="350"/>
      <c r="C79" s="350"/>
      <c r="D79" s="350"/>
      <c r="E79" s="350"/>
      <c r="F79" s="350"/>
      <c r="G79" s="350"/>
      <c r="H79" s="350"/>
      <c r="I79" s="352"/>
    </row>
    <row r="80" spans="1:9" x14ac:dyDescent="0.2">
      <c r="A80" s="207" t="s">
        <v>51</v>
      </c>
      <c r="B80" s="121">
        <v>15049</v>
      </c>
      <c r="C80" s="122">
        <v>12532</v>
      </c>
      <c r="D80" s="281">
        <f>B80/C80</f>
        <v>1.200845834663262</v>
      </c>
      <c r="E80" s="340">
        <v>11248</v>
      </c>
      <c r="F80" s="122">
        <v>9355</v>
      </c>
      <c r="G80" s="122">
        <v>8135</v>
      </c>
      <c r="H80" s="447">
        <f>F80/C80</f>
        <v>0.74648898819023302</v>
      </c>
      <c r="I80" s="123">
        <f>F80/E80</f>
        <v>0.83170341394025604</v>
      </c>
    </row>
    <row r="81" spans="1:9" x14ac:dyDescent="0.2">
      <c r="A81" s="208" t="s">
        <v>52</v>
      </c>
      <c r="B81" s="124">
        <v>3046</v>
      </c>
      <c r="C81" s="125">
        <v>2940</v>
      </c>
      <c r="D81" s="282">
        <f>B81/C81</f>
        <v>1.0360544217687075</v>
      </c>
      <c r="E81" s="341">
        <v>2587</v>
      </c>
      <c r="F81" s="125">
        <v>2456</v>
      </c>
      <c r="G81" s="125">
        <v>2116</v>
      </c>
      <c r="H81" s="448">
        <f>F81/C81</f>
        <v>0.8353741496598639</v>
      </c>
      <c r="I81" s="126">
        <f>F81/E81</f>
        <v>0.94936219559335133</v>
      </c>
    </row>
    <row r="82" spans="1:9" customFormat="1" x14ac:dyDescent="0.2">
      <c r="A82" s="209" t="s">
        <v>43</v>
      </c>
      <c r="B82" s="127">
        <v>1223</v>
      </c>
      <c r="C82" s="128">
        <v>1167</v>
      </c>
      <c r="D82" s="283">
        <f>B82/C82</f>
        <v>1.047986289631534</v>
      </c>
      <c r="E82" s="342">
        <v>1037</v>
      </c>
      <c r="F82" s="128">
        <v>862</v>
      </c>
      <c r="G82" s="128">
        <v>725</v>
      </c>
      <c r="H82" s="449">
        <f>F82/C82</f>
        <v>0.73864610111396745</v>
      </c>
      <c r="I82" s="129">
        <f>F82/E82</f>
        <v>0.83124397299903563</v>
      </c>
    </row>
    <row r="83" spans="1:9" customFormat="1" ht="13.5" thickBot="1" x14ac:dyDescent="0.25">
      <c r="A83" s="211" t="s">
        <v>44</v>
      </c>
      <c r="B83" s="133">
        <f>'voš_druh studia '!B67</f>
        <v>19318</v>
      </c>
      <c r="C83" s="134">
        <f>'voš_druh studia '!C67</f>
        <v>16050</v>
      </c>
      <c r="D83" s="300">
        <f>B83/C83</f>
        <v>1.203613707165109</v>
      </c>
      <c r="E83" s="343">
        <f>'voš_druh studia '!G67</f>
        <v>14740</v>
      </c>
      <c r="F83" s="343">
        <f>'voš_druh studia '!H67</f>
        <v>12482</v>
      </c>
      <c r="G83" s="343">
        <f>'voš_druh studia '!I67</f>
        <v>10951</v>
      </c>
      <c r="H83" s="450">
        <f>F83/C83</f>
        <v>0.7776947040498442</v>
      </c>
      <c r="I83" s="135">
        <f>F83/E83</f>
        <v>0.84681139755766621</v>
      </c>
    </row>
    <row r="84" spans="1:9" customFormat="1" ht="14.25" thickTop="1" thickBot="1" x14ac:dyDescent="0.25">
      <c r="A84" s="351" t="s">
        <v>139</v>
      </c>
      <c r="B84" s="350"/>
      <c r="C84" s="350"/>
      <c r="D84" s="350"/>
      <c r="E84" s="350"/>
      <c r="F84" s="350"/>
      <c r="G84" s="350"/>
      <c r="H84" s="350"/>
      <c r="I84" s="352"/>
    </row>
    <row r="85" spans="1:9" customFormat="1" x14ac:dyDescent="0.2">
      <c r="A85" s="207" t="s">
        <v>51</v>
      </c>
      <c r="B85" s="121">
        <v>13503</v>
      </c>
      <c r="C85" s="122">
        <v>11166</v>
      </c>
      <c r="D85" s="281">
        <f>B85/C85</f>
        <v>1.2092960773777539</v>
      </c>
      <c r="E85" s="340">
        <v>10073</v>
      </c>
      <c r="F85" s="122">
        <v>8661</v>
      </c>
      <c r="G85" s="122">
        <v>7406</v>
      </c>
      <c r="H85" s="447">
        <f>F85/C85</f>
        <v>0.77565824825362706</v>
      </c>
      <c r="I85" s="123">
        <f>F85/E85</f>
        <v>0.85982328998312318</v>
      </c>
    </row>
    <row r="86" spans="1:9" customFormat="1" x14ac:dyDescent="0.2">
      <c r="A86" s="208" t="s">
        <v>52</v>
      </c>
      <c r="B86" s="124">
        <v>2850</v>
      </c>
      <c r="C86" s="125">
        <v>2759</v>
      </c>
      <c r="D86" s="282">
        <f>B86/C86</f>
        <v>1.0329829648423341</v>
      </c>
      <c r="E86" s="341">
        <v>2521</v>
      </c>
      <c r="F86" s="125">
        <v>2357</v>
      </c>
      <c r="G86" s="125">
        <v>2022</v>
      </c>
      <c r="H86" s="448">
        <f>F86/C86</f>
        <v>0.85429503443276544</v>
      </c>
      <c r="I86" s="126">
        <f>F86/E86</f>
        <v>0.93494644982149944</v>
      </c>
    </row>
    <row r="87" spans="1:9" customFormat="1" x14ac:dyDescent="0.2">
      <c r="A87" s="209" t="s">
        <v>43</v>
      </c>
      <c r="B87" s="127">
        <v>1032</v>
      </c>
      <c r="C87" s="128">
        <v>994</v>
      </c>
      <c r="D87" s="283">
        <f>B87/C87</f>
        <v>1.0382293762575452</v>
      </c>
      <c r="E87" s="342">
        <v>906</v>
      </c>
      <c r="F87" s="128">
        <v>762</v>
      </c>
      <c r="G87" s="128">
        <v>640</v>
      </c>
      <c r="H87" s="449">
        <f>F87/C87</f>
        <v>0.7665995975855131</v>
      </c>
      <c r="I87" s="129">
        <f>F87/E87</f>
        <v>0.84105960264900659</v>
      </c>
    </row>
    <row r="88" spans="1:9" customFormat="1" ht="13.5" thickBot="1" x14ac:dyDescent="0.25">
      <c r="A88" s="211" t="s">
        <v>44</v>
      </c>
      <c r="B88" s="133">
        <f>'voš_druh studia '!B71</f>
        <v>17385</v>
      </c>
      <c r="C88" s="134">
        <f>'voš_druh studia '!C71</f>
        <v>14397</v>
      </c>
      <c r="D88" s="300">
        <f>B88/C88</f>
        <v>1.2075432381746196</v>
      </c>
      <c r="E88" s="343">
        <f>'voš_druh studia '!G71</f>
        <v>13149</v>
      </c>
      <c r="F88" s="343">
        <f>'voš_druh studia '!H71</f>
        <v>11580</v>
      </c>
      <c r="G88" s="343">
        <f>'voš_druh studia '!I71</f>
        <v>10032</v>
      </c>
      <c r="H88" s="450">
        <f>F88/C88</f>
        <v>0.80433423629922896</v>
      </c>
      <c r="I88" s="135">
        <f>F88/E88</f>
        <v>0.88067533652749264</v>
      </c>
    </row>
    <row r="89" spans="1:9" customFormat="1" ht="14.25" thickTop="1" thickBot="1" x14ac:dyDescent="0.25">
      <c r="A89" s="351" t="s">
        <v>141</v>
      </c>
      <c r="B89" s="350"/>
      <c r="C89" s="350"/>
      <c r="D89" s="350"/>
      <c r="E89" s="350"/>
      <c r="F89" s="350"/>
      <c r="G89" s="350"/>
      <c r="H89" s="350"/>
      <c r="I89" s="352"/>
    </row>
    <row r="90" spans="1:9" x14ac:dyDescent="0.2">
      <c r="A90" s="207" t="s">
        <v>51</v>
      </c>
      <c r="B90" s="121">
        <v>11508</v>
      </c>
      <c r="C90" s="122">
        <v>9735</v>
      </c>
      <c r="D90" s="281">
        <f>B90/C90</f>
        <v>1.1821263482280431</v>
      </c>
      <c r="E90" s="340">
        <v>8814</v>
      </c>
      <c r="F90" s="122">
        <v>7764</v>
      </c>
      <c r="G90" s="122">
        <v>6694</v>
      </c>
      <c r="H90" s="447">
        <f>F90/C90</f>
        <v>0.79753466872110945</v>
      </c>
      <c r="I90" s="123">
        <f>F90/E90</f>
        <v>0.8808713410483322</v>
      </c>
    </row>
    <row r="91" spans="1:9" x14ac:dyDescent="0.2">
      <c r="A91" s="208" t="s">
        <v>52</v>
      </c>
      <c r="B91" s="124">
        <v>2506</v>
      </c>
      <c r="C91" s="125">
        <v>2429</v>
      </c>
      <c r="D91" s="282">
        <f>B91/C91</f>
        <v>1.0317002881844379</v>
      </c>
      <c r="E91" s="341">
        <v>2182</v>
      </c>
      <c r="F91" s="125">
        <v>1956</v>
      </c>
      <c r="G91" s="125">
        <v>1718</v>
      </c>
      <c r="H91" s="448">
        <f>F91/C91</f>
        <v>0.80526965829559494</v>
      </c>
      <c r="I91" s="126">
        <f>F91/E91</f>
        <v>0.89642529789184233</v>
      </c>
    </row>
    <row r="92" spans="1:9" x14ac:dyDescent="0.2">
      <c r="A92" s="209" t="s">
        <v>43</v>
      </c>
      <c r="B92" s="127">
        <v>1022</v>
      </c>
      <c r="C92" s="128">
        <v>957</v>
      </c>
      <c r="D92" s="283">
        <f>B92/C92</f>
        <v>1.0679205851619644</v>
      </c>
      <c r="E92" s="342">
        <v>837</v>
      </c>
      <c r="F92" s="128">
        <v>803</v>
      </c>
      <c r="G92" s="128">
        <v>637</v>
      </c>
      <c r="H92" s="449">
        <f>F92/C92</f>
        <v>0.83908045977011492</v>
      </c>
      <c r="I92" s="129">
        <f>F92/E92</f>
        <v>0.95937873357228198</v>
      </c>
    </row>
    <row r="93" spans="1:9" ht="13.5" thickBot="1" x14ac:dyDescent="0.25">
      <c r="A93" s="211" t="s">
        <v>44</v>
      </c>
      <c r="B93" s="133">
        <f>'voš_druh studia '!B75</f>
        <v>15036</v>
      </c>
      <c r="C93" s="134">
        <f>'voš_druh studia '!C75</f>
        <v>12699</v>
      </c>
      <c r="D93" s="300">
        <f>B93/C93</f>
        <v>1.1840302386014647</v>
      </c>
      <c r="E93" s="343">
        <f>'voš_druh studia '!G75</f>
        <v>11550</v>
      </c>
      <c r="F93" s="343">
        <f>'voš_druh studia '!H75</f>
        <v>10362</v>
      </c>
      <c r="G93" s="343">
        <f>'voš_druh studia '!I75</f>
        <v>9025</v>
      </c>
      <c r="H93" s="450">
        <f>F93/C93</f>
        <v>0.81596976139853528</v>
      </c>
      <c r="I93" s="135">
        <f>F93/E93</f>
        <v>0.89714285714285713</v>
      </c>
    </row>
    <row r="94" spans="1:9" ht="14.25" thickTop="1" thickBot="1" x14ac:dyDescent="0.25">
      <c r="A94" s="351" t="s">
        <v>144</v>
      </c>
      <c r="B94" s="350"/>
      <c r="C94" s="350"/>
      <c r="D94" s="350"/>
      <c r="E94" s="350"/>
      <c r="F94" s="350"/>
      <c r="G94" s="350"/>
      <c r="H94" s="350"/>
      <c r="I94" s="352"/>
    </row>
    <row r="95" spans="1:9" x14ac:dyDescent="0.2">
      <c r="A95" s="207" t="s">
        <v>51</v>
      </c>
      <c r="B95" s="121">
        <v>10386</v>
      </c>
      <c r="C95" s="122">
        <v>8864</v>
      </c>
      <c r="D95" s="281">
        <f>B95/C95</f>
        <v>1.1717057761732852</v>
      </c>
      <c r="E95" s="340">
        <v>7920</v>
      </c>
      <c r="F95" s="122">
        <v>7040</v>
      </c>
      <c r="G95" s="122">
        <v>6058</v>
      </c>
      <c r="H95" s="447">
        <f>F95/C95</f>
        <v>0.79422382671480141</v>
      </c>
      <c r="I95" s="123">
        <f>F95/E95</f>
        <v>0.88888888888888884</v>
      </c>
    </row>
    <row r="96" spans="1:9" x14ac:dyDescent="0.2">
      <c r="A96" s="208" t="s">
        <v>52</v>
      </c>
      <c r="B96" s="124">
        <v>2275</v>
      </c>
      <c r="C96" s="125">
        <v>2198</v>
      </c>
      <c r="D96" s="282">
        <f>B96/C96</f>
        <v>1.0350318471337581</v>
      </c>
      <c r="E96" s="341">
        <v>2052</v>
      </c>
      <c r="F96" s="125">
        <v>1838</v>
      </c>
      <c r="G96" s="125">
        <v>1641</v>
      </c>
      <c r="H96" s="448">
        <f>F96/C96</f>
        <v>0.83621474067333945</v>
      </c>
      <c r="I96" s="126">
        <f>F96/E96</f>
        <v>0.8957115009746589</v>
      </c>
    </row>
    <row r="97" spans="1:9" x14ac:dyDescent="0.2">
      <c r="A97" s="209" t="s">
        <v>43</v>
      </c>
      <c r="B97" s="127">
        <v>1082</v>
      </c>
      <c r="C97" s="128">
        <v>1041</v>
      </c>
      <c r="D97" s="283">
        <f>B97/C97</f>
        <v>1.0393852065321807</v>
      </c>
      <c r="E97" s="342">
        <v>884</v>
      </c>
      <c r="F97" s="128">
        <v>784</v>
      </c>
      <c r="G97" s="128">
        <v>640</v>
      </c>
      <c r="H97" s="449">
        <f>F97/C97</f>
        <v>0.75312199807877045</v>
      </c>
      <c r="I97" s="129">
        <f>F97/E97</f>
        <v>0.8868778280542986</v>
      </c>
    </row>
    <row r="98" spans="1:9" ht="13.5" thickBot="1" x14ac:dyDescent="0.25">
      <c r="A98" s="211" t="s">
        <v>44</v>
      </c>
      <c r="B98" s="133">
        <f>'voš_druh studia '!B79</f>
        <v>13743</v>
      </c>
      <c r="C98" s="134">
        <f>'voš_druh studia '!C79</f>
        <v>11732</v>
      </c>
      <c r="D98" s="300">
        <f>B98/C98</f>
        <v>1.1714115240368224</v>
      </c>
      <c r="E98" s="343">
        <f>'voš_druh studia '!G79</f>
        <v>10614</v>
      </c>
      <c r="F98" s="343">
        <f>'voš_druh studia '!H79</f>
        <v>9825</v>
      </c>
      <c r="G98" s="343">
        <f>'voš_druh studia '!I79</f>
        <v>8304</v>
      </c>
      <c r="H98" s="450">
        <f>F98/C98</f>
        <v>0.83745311967269009</v>
      </c>
      <c r="I98" s="135">
        <f>F98/E98</f>
        <v>0.92566421707179203</v>
      </c>
    </row>
    <row r="99" spans="1:9" ht="14.25" thickTop="1" thickBot="1" x14ac:dyDescent="0.25">
      <c r="A99" s="351" t="s">
        <v>147</v>
      </c>
      <c r="B99" s="350"/>
      <c r="C99" s="350"/>
      <c r="D99" s="350"/>
      <c r="E99" s="350"/>
      <c r="F99" s="350"/>
      <c r="G99" s="350"/>
      <c r="H99" s="350"/>
      <c r="I99" s="352"/>
    </row>
    <row r="100" spans="1:9" x14ac:dyDescent="0.2">
      <c r="A100" s="207" t="s">
        <v>51</v>
      </c>
      <c r="B100" s="121">
        <v>9051</v>
      </c>
      <c r="C100" s="122">
        <v>7739</v>
      </c>
      <c r="D100" s="281">
        <f>B100/C100</f>
        <v>1.1695309471507946</v>
      </c>
      <c r="E100" s="340">
        <v>7058</v>
      </c>
      <c r="F100" s="122">
        <v>6207</v>
      </c>
      <c r="G100" s="122">
        <v>5354</v>
      </c>
      <c r="H100" s="447">
        <f>F100/C100</f>
        <v>0.80204160744282205</v>
      </c>
      <c r="I100" s="123">
        <f>F100/E100</f>
        <v>0.87942759988665342</v>
      </c>
    </row>
    <row r="101" spans="1:9" x14ac:dyDescent="0.2">
      <c r="A101" s="208" t="s">
        <v>52</v>
      </c>
      <c r="B101" s="124">
        <v>2807</v>
      </c>
      <c r="C101" s="125">
        <v>2641</v>
      </c>
      <c r="D101" s="282">
        <f>B101/C101</f>
        <v>1.0628549791745552</v>
      </c>
      <c r="E101" s="341">
        <v>2513</v>
      </c>
      <c r="F101" s="125">
        <v>2208</v>
      </c>
      <c r="G101" s="125">
        <v>1896</v>
      </c>
      <c r="H101" s="448">
        <f>F101/C101</f>
        <v>0.8360469519121545</v>
      </c>
      <c r="I101" s="126">
        <f>F101/E101</f>
        <v>0.87863111818543571</v>
      </c>
    </row>
    <row r="102" spans="1:9" x14ac:dyDescent="0.2">
      <c r="A102" s="209" t="s">
        <v>43</v>
      </c>
      <c r="B102" s="127">
        <v>992</v>
      </c>
      <c r="C102" s="128">
        <v>961</v>
      </c>
      <c r="D102" s="283">
        <f>B102/C102</f>
        <v>1.032258064516129</v>
      </c>
      <c r="E102" s="342">
        <v>827</v>
      </c>
      <c r="F102" s="128">
        <v>762</v>
      </c>
      <c r="G102" s="128">
        <v>621</v>
      </c>
      <c r="H102" s="449">
        <f>F102/C102</f>
        <v>0.79292403746097817</v>
      </c>
      <c r="I102" s="129">
        <f>F102/E102</f>
        <v>0.92140266021765416</v>
      </c>
    </row>
    <row r="103" spans="1:9" ht="13.5" thickBot="1" x14ac:dyDescent="0.25">
      <c r="A103" s="211" t="s">
        <v>44</v>
      </c>
      <c r="B103" s="133">
        <f>'voš_druh studia '!B83</f>
        <v>12850</v>
      </c>
      <c r="C103" s="134">
        <f>'voš_druh studia '!C83</f>
        <v>11006</v>
      </c>
      <c r="D103" s="300">
        <f>B103/C103</f>
        <v>1.1675449754679266</v>
      </c>
      <c r="E103" s="343">
        <f>'voš_druh studia '!G83</f>
        <v>10154</v>
      </c>
      <c r="F103" s="343">
        <f>'voš_druh studia '!H83</f>
        <v>9028</v>
      </c>
      <c r="G103" s="343">
        <f>'voš_druh studia '!I83</f>
        <v>7844</v>
      </c>
      <c r="H103" s="450">
        <f>F103/C103</f>
        <v>0.82027984735598769</v>
      </c>
      <c r="I103" s="135">
        <f>F103/E103</f>
        <v>0.88910774079180621</v>
      </c>
    </row>
    <row r="104" spans="1:9" ht="14.25" thickTop="1" thickBot="1" x14ac:dyDescent="0.25">
      <c r="A104" s="351" t="s">
        <v>150</v>
      </c>
      <c r="B104" s="350"/>
      <c r="C104" s="350"/>
      <c r="D104" s="350"/>
      <c r="E104" s="350"/>
      <c r="F104" s="350"/>
      <c r="G104" s="350"/>
      <c r="H104" s="350"/>
      <c r="I104" s="352"/>
    </row>
    <row r="105" spans="1:9" x14ac:dyDescent="0.2">
      <c r="A105" s="207" t="s">
        <v>51</v>
      </c>
      <c r="B105" s="121">
        <v>9338</v>
      </c>
      <c r="C105" s="122">
        <v>7782</v>
      </c>
      <c r="D105" s="281">
        <f>B105/C105</f>
        <v>1.1999485993317913</v>
      </c>
      <c r="E105" s="340">
        <v>7066</v>
      </c>
      <c r="F105" s="122">
        <v>6331</v>
      </c>
      <c r="G105" s="122">
        <v>5481</v>
      </c>
      <c r="H105" s="447">
        <f>F105/C105</f>
        <v>0.81354407607298895</v>
      </c>
      <c r="I105" s="123">
        <f>F105/E105</f>
        <v>0.89598075290121715</v>
      </c>
    </row>
    <row r="106" spans="1:9" x14ac:dyDescent="0.2">
      <c r="A106" s="208" t="s">
        <v>52</v>
      </c>
      <c r="B106" s="124">
        <v>2774</v>
      </c>
      <c r="C106" s="125">
        <v>2591</v>
      </c>
      <c r="D106" s="282">
        <f>B106/C106</f>
        <v>1.0706291007333075</v>
      </c>
      <c r="E106" s="341">
        <v>2330</v>
      </c>
      <c r="F106" s="125">
        <v>1963</v>
      </c>
      <c r="G106" s="125">
        <v>1756</v>
      </c>
      <c r="H106" s="448">
        <f>F106/C106</f>
        <v>0.75762253956001546</v>
      </c>
      <c r="I106" s="126">
        <f>F106/E106</f>
        <v>0.84248927038626609</v>
      </c>
    </row>
    <row r="107" spans="1:9" x14ac:dyDescent="0.2">
      <c r="A107" s="209" t="s">
        <v>43</v>
      </c>
      <c r="B107" s="127">
        <v>937</v>
      </c>
      <c r="C107" s="128">
        <v>903</v>
      </c>
      <c r="D107" s="283">
        <f>B107/C107</f>
        <v>1.0376522702104098</v>
      </c>
      <c r="E107" s="342">
        <v>767</v>
      </c>
      <c r="F107" s="128">
        <v>731</v>
      </c>
      <c r="G107" s="128">
        <v>619</v>
      </c>
      <c r="H107" s="449">
        <f>F107/C107</f>
        <v>0.80952380952380953</v>
      </c>
      <c r="I107" s="129">
        <f>F107/E107</f>
        <v>0.95306388526727515</v>
      </c>
    </row>
    <row r="108" spans="1:9" ht="13.5" thickBot="1" x14ac:dyDescent="0.25">
      <c r="A108" s="211" t="s">
        <v>44</v>
      </c>
      <c r="B108" s="133">
        <f>'voš_druh studia '!B87</f>
        <v>13049</v>
      </c>
      <c r="C108" s="134">
        <f>'voš_druh studia '!C87</f>
        <v>10916</v>
      </c>
      <c r="D108" s="300">
        <f>B108/C108</f>
        <v>1.1954012458776109</v>
      </c>
      <c r="E108" s="343">
        <f>'voš_druh studia '!G87</f>
        <v>9930</v>
      </c>
      <c r="F108" s="343">
        <f>'voš_druh studia '!H87</f>
        <v>8900</v>
      </c>
      <c r="G108" s="343">
        <f>'voš_druh studia '!I87</f>
        <v>7833</v>
      </c>
      <c r="H108" s="450">
        <f>F108/C108</f>
        <v>0.81531696592158298</v>
      </c>
      <c r="I108" s="135">
        <f>F108/E108</f>
        <v>0.89627391742195373</v>
      </c>
    </row>
    <row r="109" spans="1:9" ht="14.25" thickTop="1" thickBot="1" x14ac:dyDescent="0.25">
      <c r="A109" s="351" t="s">
        <v>152</v>
      </c>
      <c r="B109" s="350"/>
      <c r="C109" s="350"/>
      <c r="D109" s="350"/>
      <c r="E109" s="350"/>
      <c r="F109" s="350"/>
      <c r="G109" s="350"/>
      <c r="H109" s="350"/>
      <c r="I109" s="352"/>
    </row>
    <row r="110" spans="1:9" x14ac:dyDescent="0.2">
      <c r="A110" s="207" t="s">
        <v>51</v>
      </c>
      <c r="B110" s="121">
        <v>9827</v>
      </c>
      <c r="C110" s="122">
        <v>8130</v>
      </c>
      <c r="D110" s="281">
        <f>B110/C110</f>
        <v>1.2087330873308733</v>
      </c>
      <c r="E110" s="340">
        <v>7400</v>
      </c>
      <c r="F110" s="122">
        <v>6336</v>
      </c>
      <c r="G110" s="122">
        <v>5512</v>
      </c>
      <c r="H110" s="447">
        <f>F110/C110</f>
        <v>0.77933579335793357</v>
      </c>
      <c r="I110" s="123">
        <f>F110/E110</f>
        <v>0.85621621621621624</v>
      </c>
    </row>
    <row r="111" spans="1:9" x14ac:dyDescent="0.2">
      <c r="A111" s="208" t="s">
        <v>52</v>
      </c>
      <c r="B111" s="124">
        <v>3165</v>
      </c>
      <c r="C111" s="125">
        <v>2767</v>
      </c>
      <c r="D111" s="282">
        <f>B111/C111</f>
        <v>1.1438380917961692</v>
      </c>
      <c r="E111" s="341">
        <v>2584</v>
      </c>
      <c r="F111" s="125">
        <v>2123</v>
      </c>
      <c r="G111" s="125">
        <v>1820</v>
      </c>
      <c r="H111" s="448">
        <f>F111/C111</f>
        <v>0.76725695699313334</v>
      </c>
      <c r="I111" s="126">
        <f>F111/E111</f>
        <v>0.82159442724458209</v>
      </c>
    </row>
    <row r="112" spans="1:9" x14ac:dyDescent="0.2">
      <c r="A112" s="209" t="s">
        <v>43</v>
      </c>
      <c r="B112" s="127">
        <v>1207</v>
      </c>
      <c r="C112" s="128">
        <v>1148</v>
      </c>
      <c r="D112" s="283">
        <f>B112/C112</f>
        <v>1.0513937282229966</v>
      </c>
      <c r="E112" s="342">
        <v>1030</v>
      </c>
      <c r="F112" s="128">
        <v>924</v>
      </c>
      <c r="G112" s="128">
        <v>764</v>
      </c>
      <c r="H112" s="449">
        <f>F112/C112</f>
        <v>0.80487804878048785</v>
      </c>
      <c r="I112" s="129">
        <f>F112/E112</f>
        <v>0.8970873786407767</v>
      </c>
    </row>
    <row r="113" spans="1:9" ht="13.5" thickBot="1" x14ac:dyDescent="0.25">
      <c r="A113" s="211" t="s">
        <v>44</v>
      </c>
      <c r="B113" s="133">
        <f>'voš_druh studia '!B91</f>
        <v>14199</v>
      </c>
      <c r="C113" s="134">
        <f>'voš_druh studia '!C91</f>
        <v>11554</v>
      </c>
      <c r="D113" s="300">
        <f>B113/C113</f>
        <v>1.2289250476025619</v>
      </c>
      <c r="E113" s="343">
        <f>'voš_druh studia '!G91</f>
        <v>10637</v>
      </c>
      <c r="F113" s="343">
        <f>'voš_druh studia '!H91</f>
        <v>9212</v>
      </c>
      <c r="G113" s="343">
        <f>'voš_druh studia '!I91</f>
        <v>8074.9999999999991</v>
      </c>
      <c r="H113" s="450">
        <f>F113/C113</f>
        <v>0.7972996364895274</v>
      </c>
      <c r="I113" s="135">
        <f>F113/E113</f>
        <v>0.86603365610604499</v>
      </c>
    </row>
    <row r="114" spans="1:9" ht="14.25" thickTop="1" thickBot="1" x14ac:dyDescent="0.25">
      <c r="A114" s="351" t="s">
        <v>154</v>
      </c>
      <c r="B114" s="350"/>
      <c r="C114" s="350"/>
      <c r="D114" s="350"/>
      <c r="E114" s="350"/>
      <c r="F114" s="350"/>
      <c r="G114" s="350"/>
      <c r="H114" s="350"/>
      <c r="I114" s="352"/>
    </row>
    <row r="115" spans="1:9" x14ac:dyDescent="0.2">
      <c r="A115" s="207" t="s">
        <v>51</v>
      </c>
      <c r="B115" s="121">
        <v>11589</v>
      </c>
      <c r="C115" s="122">
        <v>9169</v>
      </c>
      <c r="D115" s="281">
        <f>B115/C115</f>
        <v>1.2639328171011015</v>
      </c>
      <c r="E115" s="340">
        <v>8192</v>
      </c>
      <c r="F115" s="122">
        <v>7159</v>
      </c>
      <c r="G115" s="122">
        <v>6080</v>
      </c>
      <c r="H115" s="447">
        <f>F115/C115</f>
        <v>0.78078307339949826</v>
      </c>
      <c r="I115" s="123">
        <f>F115/E115</f>
        <v>0.8739013671875</v>
      </c>
    </row>
    <row r="116" spans="1:9" x14ac:dyDescent="0.2">
      <c r="A116" s="208" t="s">
        <v>52</v>
      </c>
      <c r="B116" s="124">
        <v>4726</v>
      </c>
      <c r="C116" s="125">
        <v>4156</v>
      </c>
      <c r="D116" s="282">
        <f>B116/C116</f>
        <v>1.1371511068334939</v>
      </c>
      <c r="E116" s="341">
        <v>3937</v>
      </c>
      <c r="F116" s="125">
        <v>3049</v>
      </c>
      <c r="G116" s="125">
        <v>2625</v>
      </c>
      <c r="H116" s="448">
        <f>F116/C116</f>
        <v>0.73363811357074105</v>
      </c>
      <c r="I116" s="126">
        <f>F116/E116</f>
        <v>0.77444754889509781</v>
      </c>
    </row>
    <row r="117" spans="1:9" x14ac:dyDescent="0.2">
      <c r="A117" s="209" t="s">
        <v>43</v>
      </c>
      <c r="B117" s="127">
        <v>1192</v>
      </c>
      <c r="C117" s="128">
        <v>1144</v>
      </c>
      <c r="D117" s="283">
        <f>B117/C117</f>
        <v>1.0419580419580419</v>
      </c>
      <c r="E117" s="342">
        <v>955</v>
      </c>
      <c r="F117" s="128">
        <v>846</v>
      </c>
      <c r="G117" s="128">
        <v>698</v>
      </c>
      <c r="H117" s="449">
        <f>F117/C117</f>
        <v>0.73951048951048948</v>
      </c>
      <c r="I117" s="129">
        <f>F117/E117</f>
        <v>0.8858638743455497</v>
      </c>
    </row>
    <row r="118" spans="1:9" ht="13.5" thickBot="1" x14ac:dyDescent="0.25">
      <c r="A118" s="211" t="s">
        <v>44</v>
      </c>
      <c r="B118" s="133">
        <f>'voš_druh studia '!B95</f>
        <v>17507</v>
      </c>
      <c r="C118" s="134">
        <f>'voš_druh studia '!C95</f>
        <v>13716</v>
      </c>
      <c r="D118" s="300">
        <f>B118/C118</f>
        <v>1.2763925342665501</v>
      </c>
      <c r="E118" s="343">
        <f>'voš_druh studia '!G95</f>
        <v>12466</v>
      </c>
      <c r="F118" s="343">
        <f>'voš_druh studia '!H95</f>
        <v>10793</v>
      </c>
      <c r="G118" s="343">
        <f>'voš_druh studia '!I95</f>
        <v>9369</v>
      </c>
      <c r="H118" s="450">
        <f>F118/C118</f>
        <v>0.78689122193059202</v>
      </c>
      <c r="I118" s="135">
        <f>F118/E118</f>
        <v>0.86579496229744901</v>
      </c>
    </row>
    <row r="119" spans="1:9" ht="14.25" thickTop="1" thickBot="1" x14ac:dyDescent="0.25">
      <c r="A119" s="351" t="s">
        <v>156</v>
      </c>
      <c r="B119" s="350"/>
      <c r="C119" s="350"/>
      <c r="D119" s="350"/>
      <c r="E119" s="350"/>
      <c r="F119" s="350"/>
      <c r="G119" s="350"/>
      <c r="H119" s="350"/>
      <c r="I119" s="352"/>
    </row>
    <row r="120" spans="1:9" x14ac:dyDescent="0.2">
      <c r="A120" s="207" t="s">
        <v>51</v>
      </c>
      <c r="B120" s="121">
        <v>11090</v>
      </c>
      <c r="C120" s="122">
        <v>8768</v>
      </c>
      <c r="D120" s="281">
        <f>B120/C120</f>
        <v>1.2648266423357664</v>
      </c>
      <c r="E120" s="340">
        <v>7991</v>
      </c>
      <c r="F120" s="122">
        <v>6599</v>
      </c>
      <c r="G120" s="122">
        <v>5579</v>
      </c>
      <c r="H120" s="447">
        <f>F120/C120</f>
        <v>0.75262317518248179</v>
      </c>
      <c r="I120" s="123">
        <f>F120/E120</f>
        <v>0.82580402953322485</v>
      </c>
    </row>
    <row r="121" spans="1:9" x14ac:dyDescent="0.2">
      <c r="A121" s="208" t="s">
        <v>52</v>
      </c>
      <c r="B121" s="124">
        <v>5508</v>
      </c>
      <c r="C121" s="125">
        <v>4742</v>
      </c>
      <c r="D121" s="282">
        <f>B121/C121</f>
        <v>1.1615352172079292</v>
      </c>
      <c r="E121" s="341">
        <v>4497</v>
      </c>
      <c r="F121" s="125">
        <v>3586</v>
      </c>
      <c r="G121" s="125">
        <v>2912</v>
      </c>
      <c r="H121" s="448">
        <f>F121/C121</f>
        <v>0.75622100379586676</v>
      </c>
      <c r="I121" s="126">
        <f>F121/E121</f>
        <v>0.79742050255726038</v>
      </c>
    </row>
    <row r="122" spans="1:9" x14ac:dyDescent="0.2">
      <c r="A122" s="209" t="s">
        <v>43</v>
      </c>
      <c r="B122" s="127">
        <v>1132</v>
      </c>
      <c r="C122" s="128">
        <v>1063</v>
      </c>
      <c r="D122" s="283">
        <f>B122/C122</f>
        <v>1.0649106302916276</v>
      </c>
      <c r="E122" s="342">
        <v>902</v>
      </c>
      <c r="F122" s="128">
        <v>762</v>
      </c>
      <c r="G122" s="128">
        <v>624</v>
      </c>
      <c r="H122" s="449">
        <f>F122/C122</f>
        <v>0.71683913452492942</v>
      </c>
      <c r="I122" s="129">
        <f>F122/E122</f>
        <v>0.84478935698447899</v>
      </c>
    </row>
    <row r="123" spans="1:9" ht="13.5" thickBot="1" x14ac:dyDescent="0.25">
      <c r="A123" s="211" t="s">
        <v>44</v>
      </c>
      <c r="B123" s="133">
        <f>'voš_druh studia '!B99</f>
        <v>17730</v>
      </c>
      <c r="C123" s="134">
        <f>'voš_druh studia '!C99</f>
        <v>13747</v>
      </c>
      <c r="D123" s="300">
        <f>B123/C123</f>
        <v>1.2897359423874299</v>
      </c>
      <c r="E123" s="343">
        <f>'voš_druh studia '!G99</f>
        <v>13105</v>
      </c>
      <c r="F123" s="343">
        <f>'voš_druh studia '!H99</f>
        <v>10652</v>
      </c>
      <c r="G123" s="343">
        <f>'voš_druh studia '!I99</f>
        <v>9048</v>
      </c>
      <c r="H123" s="450">
        <f>F123/C123</f>
        <v>0.77485996944787949</v>
      </c>
      <c r="I123" s="135">
        <f>F123/E123</f>
        <v>0.81281953452880584</v>
      </c>
    </row>
    <row r="124" spans="1:9" ht="14.25" thickTop="1" thickBot="1" x14ac:dyDescent="0.25">
      <c r="A124" s="351" t="s">
        <v>157</v>
      </c>
      <c r="B124" s="350"/>
      <c r="C124" s="350"/>
      <c r="D124" s="350"/>
      <c r="E124" s="350"/>
      <c r="F124" s="350"/>
      <c r="G124" s="350"/>
      <c r="H124" s="350"/>
      <c r="I124" s="352"/>
    </row>
    <row r="125" spans="1:9" x14ac:dyDescent="0.2">
      <c r="A125" s="207" t="s">
        <v>51</v>
      </c>
      <c r="B125" s="121">
        <v>12054</v>
      </c>
      <c r="C125" s="122">
        <v>9270</v>
      </c>
      <c r="D125" s="281">
        <f>B125/C125</f>
        <v>1.3003236245954692</v>
      </c>
      <c r="E125" s="340">
        <v>8744</v>
      </c>
      <c r="F125" s="122">
        <v>6817</v>
      </c>
      <c r="G125" s="122">
        <v>5784</v>
      </c>
      <c r="H125" s="447">
        <f>F125/C125</f>
        <v>0.7353829557713053</v>
      </c>
      <c r="I125" s="123">
        <f>F125/E125</f>
        <v>0.77962031107044827</v>
      </c>
    </row>
    <row r="126" spans="1:9" x14ac:dyDescent="0.2">
      <c r="A126" s="208" t="s">
        <v>52</v>
      </c>
      <c r="B126" s="124">
        <v>5481</v>
      </c>
      <c r="C126" s="125">
        <v>4661</v>
      </c>
      <c r="D126" s="282">
        <f>B126/C126</f>
        <v>1.1759279124651363</v>
      </c>
      <c r="E126" s="341">
        <v>4416</v>
      </c>
      <c r="F126" s="125">
        <v>3212</v>
      </c>
      <c r="G126" s="125">
        <v>2736</v>
      </c>
      <c r="H126" s="448">
        <f>F126/C126</f>
        <v>0.68912250590002144</v>
      </c>
      <c r="I126" s="126">
        <f>F126/E126</f>
        <v>0.72735507246376807</v>
      </c>
    </row>
    <row r="127" spans="1:9" x14ac:dyDescent="0.2">
      <c r="A127" s="209" t="s">
        <v>43</v>
      </c>
      <c r="B127" s="127">
        <v>1344</v>
      </c>
      <c r="C127" s="128">
        <v>1256</v>
      </c>
      <c r="D127" s="283">
        <f>B127/C127</f>
        <v>1.0700636942675159</v>
      </c>
      <c r="E127" s="342">
        <v>1085</v>
      </c>
      <c r="F127" s="128">
        <v>873</v>
      </c>
      <c r="G127" s="128">
        <v>702</v>
      </c>
      <c r="H127" s="449">
        <f>F127/C127</f>
        <v>0.69506369426751591</v>
      </c>
      <c r="I127" s="129">
        <f>F127/E127</f>
        <v>0.8046082949308756</v>
      </c>
    </row>
    <row r="128" spans="1:9" ht="13.5" thickBot="1" x14ac:dyDescent="0.25">
      <c r="A128" s="211" t="s">
        <v>44</v>
      </c>
      <c r="B128" s="133">
        <f>'voš_druh studia '!B103</f>
        <v>18879</v>
      </c>
      <c r="C128" s="134">
        <f>'voš_druh studia '!C103</f>
        <v>14258</v>
      </c>
      <c r="D128" s="300">
        <f>B128/C128</f>
        <v>1.3240987515780613</v>
      </c>
      <c r="E128" s="343">
        <f>'voš_druh studia '!G103</f>
        <v>13105</v>
      </c>
      <c r="F128" s="343">
        <f>'voš_druh studia '!H103</f>
        <v>10645</v>
      </c>
      <c r="G128" s="343">
        <f>'voš_druh studia '!I103</f>
        <v>9184</v>
      </c>
      <c r="H128" s="450">
        <f>F128/C128</f>
        <v>0.74659840089774165</v>
      </c>
      <c r="I128" s="135">
        <f>F128/E128</f>
        <v>0.81228538725677224</v>
      </c>
    </row>
    <row r="129" spans="1:1" ht="13.5" thickTop="1" x14ac:dyDescent="0.2">
      <c r="A129" s="1" t="s">
        <v>101</v>
      </c>
    </row>
    <row r="161" spans="2:9" x14ac:dyDescent="0.2">
      <c r="B161" s="248"/>
      <c r="G161" s="252"/>
      <c r="H161" s="252"/>
      <c r="I161" s="18"/>
    </row>
    <row r="162" spans="2:9" x14ac:dyDescent="0.2">
      <c r="B162" s="248"/>
      <c r="I162" s="18"/>
    </row>
    <row r="163" spans="2:9" x14ac:dyDescent="0.2">
      <c r="B163" s="248"/>
      <c r="I163" s="18"/>
    </row>
    <row r="164" spans="2:9" x14ac:dyDescent="0.2">
      <c r="C164" s="286"/>
      <c r="D164" s="286"/>
      <c r="E164" s="286"/>
      <c r="F164" s="286"/>
      <c r="G164" s="286"/>
      <c r="H164" s="286"/>
    </row>
    <row r="165" spans="2:9" x14ac:dyDescent="0.2">
      <c r="B165" s="252"/>
      <c r="C165" s="286"/>
      <c r="D165" s="286"/>
      <c r="E165" s="286"/>
      <c r="F165" s="286"/>
      <c r="G165" s="286"/>
      <c r="H165" s="286"/>
      <c r="I165" s="286"/>
    </row>
    <row r="166" spans="2:9" x14ac:dyDescent="0.2">
      <c r="B166" s="286"/>
      <c r="C166" s="286"/>
      <c r="D166" s="286"/>
      <c r="E166" s="286"/>
      <c r="F166" s="286"/>
      <c r="G166" s="286"/>
      <c r="H166" s="286"/>
      <c r="I166" s="286"/>
    </row>
    <row r="167" spans="2:9" x14ac:dyDescent="0.2">
      <c r="B167" s="286"/>
      <c r="C167" s="286"/>
      <c r="D167" s="286"/>
      <c r="E167" s="286"/>
      <c r="F167" s="286"/>
      <c r="G167" s="286"/>
      <c r="H167" s="286"/>
      <c r="I167" s="286"/>
    </row>
    <row r="168" spans="2:9" x14ac:dyDescent="0.2">
      <c r="B168" s="286"/>
      <c r="C168" s="286"/>
      <c r="D168" s="286"/>
      <c r="E168" s="286"/>
      <c r="F168" s="286"/>
      <c r="G168" s="286"/>
      <c r="H168" s="286"/>
      <c r="I168" s="286"/>
    </row>
    <row r="169" spans="2:9" x14ac:dyDescent="0.2">
      <c r="B169" s="286"/>
      <c r="C169" s="286"/>
      <c r="D169" s="286"/>
      <c r="E169" s="286"/>
      <c r="F169" s="286"/>
      <c r="G169" s="286"/>
      <c r="H169" s="286"/>
      <c r="I169" s="286"/>
    </row>
    <row r="170" spans="2:9" x14ac:dyDescent="0.2">
      <c r="B170" s="286"/>
      <c r="C170" s="286"/>
      <c r="D170" s="286"/>
      <c r="E170" s="286"/>
      <c r="F170" s="286"/>
      <c r="G170" s="286"/>
      <c r="H170" s="286"/>
      <c r="I170" s="286"/>
    </row>
    <row r="171" spans="2:9" x14ac:dyDescent="0.2">
      <c r="B171" s="286"/>
      <c r="C171" s="286"/>
      <c r="D171" s="286"/>
      <c r="E171" s="286"/>
      <c r="F171" s="286"/>
      <c r="G171" s="286"/>
      <c r="H171" s="286"/>
      <c r="I171" s="28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Z125"/>
  <sheetViews>
    <sheetView zoomScaleNormal="100" zoomScaleSheetLayoutView="75" workbookViewId="0">
      <pane xSplit="1" ySplit="4" topLeftCell="G5" activePane="bottomRight" state="frozen"/>
      <selection sqref="A1:B4"/>
      <selection pane="topRight" sqref="A1:B4"/>
      <selection pane="bottomLeft" sqref="A1:B4"/>
      <selection pane="bottomRight"/>
    </sheetView>
  </sheetViews>
  <sheetFormatPr defaultColWidth="9.140625" defaultRowHeight="12.75" x14ac:dyDescent="0.2"/>
  <cols>
    <col min="1" max="1" width="36" style="1" customWidth="1"/>
    <col min="2" max="11" width="8.42578125" style="1" customWidth="1"/>
    <col min="12" max="16" width="9.140625" style="1"/>
    <col min="17" max="17" width="10.5703125" style="1" customWidth="1"/>
    <col min="18" max="16384" width="9.140625" style="1"/>
  </cols>
  <sheetData>
    <row r="1" spans="1:26" ht="15" customHeight="1" thickBot="1" x14ac:dyDescent="0.25">
      <c r="A1" s="2" t="s">
        <v>163</v>
      </c>
    </row>
    <row r="2" spans="1:26" ht="4.7" hidden="1" customHeight="1" thickBot="1" x14ac:dyDescent="0.25">
      <c r="A2" s="2"/>
    </row>
    <row r="3" spans="1:26" ht="21" customHeight="1" thickTop="1" thickBot="1" x14ac:dyDescent="0.25">
      <c r="A3" s="39" t="s">
        <v>19</v>
      </c>
      <c r="B3" s="314" t="s">
        <v>11</v>
      </c>
      <c r="C3" s="314" t="s">
        <v>4</v>
      </c>
      <c r="D3" s="314" t="s">
        <v>5</v>
      </c>
      <c r="E3" s="315" t="s">
        <v>41</v>
      </c>
      <c r="F3" s="315" t="s">
        <v>53</v>
      </c>
      <c r="G3" s="315" t="s">
        <v>54</v>
      </c>
      <c r="H3" s="315" t="s">
        <v>76</v>
      </c>
      <c r="I3" s="315" t="s">
        <v>84</v>
      </c>
      <c r="J3" s="315" t="s">
        <v>87</v>
      </c>
      <c r="K3" s="315" t="s">
        <v>89</v>
      </c>
      <c r="L3" s="463" t="s">
        <v>108</v>
      </c>
      <c r="M3" s="463" t="s">
        <v>118</v>
      </c>
      <c r="N3" s="463" t="s">
        <v>121</v>
      </c>
      <c r="O3" s="463" t="s">
        <v>132</v>
      </c>
      <c r="P3" s="463" t="s">
        <v>134</v>
      </c>
      <c r="Q3" s="463" t="s">
        <v>137</v>
      </c>
      <c r="R3" s="463" t="s">
        <v>139</v>
      </c>
      <c r="S3" s="463" t="s">
        <v>141</v>
      </c>
      <c r="T3" s="463" t="s">
        <v>144</v>
      </c>
      <c r="U3" s="463" t="s">
        <v>147</v>
      </c>
      <c r="V3" s="463" t="s">
        <v>150</v>
      </c>
      <c r="W3" s="463" t="s">
        <v>152</v>
      </c>
      <c r="X3" s="463" t="s">
        <v>154</v>
      </c>
      <c r="Y3" s="463" t="s">
        <v>156</v>
      </c>
      <c r="Z3" s="427" t="s">
        <v>157</v>
      </c>
    </row>
    <row r="4" spans="1:26" ht="14.25" thickTop="1" thickBot="1" x14ac:dyDescent="0.25">
      <c r="A4" s="33" t="s">
        <v>16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464"/>
      <c r="M4" s="464"/>
      <c r="N4" s="464"/>
      <c r="O4" s="464"/>
      <c r="P4" s="464"/>
      <c r="Q4" s="464"/>
      <c r="R4" s="464"/>
      <c r="S4" s="464"/>
      <c r="T4" s="464"/>
      <c r="U4" s="464"/>
      <c r="V4" s="464"/>
      <c r="W4" s="464"/>
      <c r="X4" s="464"/>
      <c r="Y4" s="464"/>
      <c r="Z4" s="432"/>
    </row>
    <row r="5" spans="1:26" x14ac:dyDescent="0.2">
      <c r="A5" s="186" t="s">
        <v>60</v>
      </c>
      <c r="B5" s="108">
        <v>330</v>
      </c>
      <c r="C5" s="108">
        <v>126</v>
      </c>
      <c r="D5" s="108">
        <v>309</v>
      </c>
      <c r="E5" s="224">
        <v>271</v>
      </c>
      <c r="F5" s="224">
        <v>366</v>
      </c>
      <c r="G5" s="224">
        <v>290</v>
      </c>
      <c r="H5" s="224">
        <v>247</v>
      </c>
      <c r="I5" s="224">
        <v>227</v>
      </c>
      <c r="J5" s="224">
        <v>155</v>
      </c>
      <c r="K5" s="224">
        <v>85</v>
      </c>
      <c r="L5" s="224">
        <v>109</v>
      </c>
      <c r="M5" s="224">
        <v>106</v>
      </c>
      <c r="N5" s="224">
        <v>87</v>
      </c>
      <c r="O5" s="224">
        <v>45</v>
      </c>
      <c r="P5" s="224">
        <v>63</v>
      </c>
      <c r="Q5" s="224">
        <v>60</v>
      </c>
      <c r="R5" s="224">
        <v>48</v>
      </c>
      <c r="S5" s="224">
        <v>22</v>
      </c>
      <c r="T5" s="224">
        <v>23</v>
      </c>
      <c r="U5" s="224">
        <v>0</v>
      </c>
      <c r="V5" s="224">
        <v>43</v>
      </c>
      <c r="W5" s="547">
        <v>0</v>
      </c>
      <c r="X5" s="547">
        <v>50</v>
      </c>
      <c r="Y5" s="547">
        <v>27</v>
      </c>
      <c r="Z5" s="150">
        <v>62</v>
      </c>
    </row>
    <row r="6" spans="1:26" x14ac:dyDescent="0.2">
      <c r="A6" s="187" t="s">
        <v>61</v>
      </c>
      <c r="B6" s="78">
        <v>3815</v>
      </c>
      <c r="C6" s="78">
        <v>1510</v>
      </c>
      <c r="D6" s="78">
        <v>2999</v>
      </c>
      <c r="E6" s="225">
        <v>3605</v>
      </c>
      <c r="F6" s="225">
        <v>4085</v>
      </c>
      <c r="G6" s="225">
        <v>2880</v>
      </c>
      <c r="H6" s="225">
        <v>2832</v>
      </c>
      <c r="I6" s="225">
        <v>2498</v>
      </c>
      <c r="J6" s="225">
        <v>2454</v>
      </c>
      <c r="K6" s="225">
        <v>1937</v>
      </c>
      <c r="L6" s="225">
        <v>2207</v>
      </c>
      <c r="M6" s="225">
        <v>2306</v>
      </c>
      <c r="N6" s="225">
        <v>2286</v>
      </c>
      <c r="O6" s="225">
        <v>2295</v>
      </c>
      <c r="P6" s="225">
        <v>2260</v>
      </c>
      <c r="Q6" s="225">
        <v>1763</v>
      </c>
      <c r="R6" s="225">
        <v>1665</v>
      </c>
      <c r="S6" s="225">
        <v>1560</v>
      </c>
      <c r="T6" s="225">
        <v>1345</v>
      </c>
      <c r="U6" s="225">
        <v>1022</v>
      </c>
      <c r="V6" s="225">
        <v>1181</v>
      </c>
      <c r="W6" s="225">
        <v>1132</v>
      </c>
      <c r="X6" s="225">
        <v>1154</v>
      </c>
      <c r="Y6" s="225">
        <v>1127</v>
      </c>
      <c r="Z6" s="136">
        <v>1134</v>
      </c>
    </row>
    <row r="7" spans="1:26" x14ac:dyDescent="0.2">
      <c r="A7" s="187" t="s">
        <v>67</v>
      </c>
      <c r="B7" s="78">
        <v>926</v>
      </c>
      <c r="C7" s="78">
        <v>432</v>
      </c>
      <c r="D7" s="78">
        <v>833</v>
      </c>
      <c r="E7" s="225">
        <v>844</v>
      </c>
      <c r="F7" s="225">
        <v>1069</v>
      </c>
      <c r="G7" s="225">
        <v>937</v>
      </c>
      <c r="H7" s="225">
        <v>833</v>
      </c>
      <c r="I7" s="225">
        <v>615</v>
      </c>
      <c r="J7" s="225">
        <v>664</v>
      </c>
      <c r="K7" s="225">
        <v>484</v>
      </c>
      <c r="L7" s="225">
        <v>440</v>
      </c>
      <c r="M7" s="225">
        <v>500</v>
      </c>
      <c r="N7" s="225">
        <v>462</v>
      </c>
      <c r="O7" s="225">
        <v>442</v>
      </c>
      <c r="P7" s="225">
        <v>424</v>
      </c>
      <c r="Q7" s="225">
        <v>318</v>
      </c>
      <c r="R7" s="225">
        <v>263</v>
      </c>
      <c r="S7" s="225">
        <v>205</v>
      </c>
      <c r="T7" s="225">
        <v>155</v>
      </c>
      <c r="U7" s="225">
        <v>143</v>
      </c>
      <c r="V7" s="225">
        <v>216</v>
      </c>
      <c r="W7" s="225">
        <v>221</v>
      </c>
      <c r="X7" s="225">
        <v>627</v>
      </c>
      <c r="Y7" s="225">
        <v>826</v>
      </c>
      <c r="Z7" s="136">
        <v>750</v>
      </c>
    </row>
    <row r="8" spans="1:26" x14ac:dyDescent="0.2">
      <c r="A8" s="187" t="s">
        <v>66</v>
      </c>
      <c r="B8" s="78">
        <v>6702</v>
      </c>
      <c r="C8" s="80">
        <v>3827</v>
      </c>
      <c r="D8" s="80">
        <v>5432</v>
      </c>
      <c r="E8" s="226">
        <v>5618</v>
      </c>
      <c r="F8" s="226">
        <v>7260</v>
      </c>
      <c r="G8" s="226">
        <v>5024</v>
      </c>
      <c r="H8" s="226">
        <v>4406</v>
      </c>
      <c r="I8" s="226">
        <v>4335</v>
      </c>
      <c r="J8" s="226">
        <v>4445</v>
      </c>
      <c r="K8" s="225">
        <v>4879</v>
      </c>
      <c r="L8" s="225">
        <v>5239</v>
      </c>
      <c r="M8" s="225">
        <v>5464</v>
      </c>
      <c r="N8" s="225">
        <v>5224</v>
      </c>
      <c r="O8" s="225">
        <v>5590</v>
      </c>
      <c r="P8" s="225">
        <v>5526</v>
      </c>
      <c r="Q8" s="225">
        <v>5814</v>
      </c>
      <c r="R8" s="225">
        <v>5724</v>
      </c>
      <c r="S8" s="225">
        <v>4978</v>
      </c>
      <c r="T8" s="225">
        <v>5067</v>
      </c>
      <c r="U8" s="225">
        <v>4655</v>
      </c>
      <c r="V8" s="225">
        <v>4865</v>
      </c>
      <c r="W8" s="225">
        <v>5499</v>
      </c>
      <c r="X8" s="225">
        <v>7103</v>
      </c>
      <c r="Y8" s="225">
        <v>6828</v>
      </c>
      <c r="Z8" s="136">
        <v>8151</v>
      </c>
    </row>
    <row r="9" spans="1:26" x14ac:dyDescent="0.2">
      <c r="A9" s="187" t="s">
        <v>63</v>
      </c>
      <c r="B9" s="78">
        <v>2878</v>
      </c>
      <c r="C9" s="80">
        <v>1656</v>
      </c>
      <c r="D9" s="80">
        <v>1244</v>
      </c>
      <c r="E9" s="226">
        <v>749</v>
      </c>
      <c r="F9" s="226">
        <v>706</v>
      </c>
      <c r="G9" s="226">
        <v>2434</v>
      </c>
      <c r="H9" s="226">
        <v>2245</v>
      </c>
      <c r="I9" s="226">
        <v>2104</v>
      </c>
      <c r="J9" s="226">
        <v>524</v>
      </c>
      <c r="K9" s="225">
        <v>356</v>
      </c>
      <c r="L9" s="225">
        <v>1572</v>
      </c>
      <c r="M9" s="225">
        <v>1638</v>
      </c>
      <c r="N9" s="225">
        <v>1666</v>
      </c>
      <c r="O9" s="225">
        <v>1488</v>
      </c>
      <c r="P9" s="225">
        <v>1542</v>
      </c>
      <c r="Q9" s="225">
        <v>1410</v>
      </c>
      <c r="R9" s="225">
        <v>1226</v>
      </c>
      <c r="S9" s="225">
        <v>1003</v>
      </c>
      <c r="T9" s="225">
        <v>828</v>
      </c>
      <c r="U9" s="225">
        <v>793</v>
      </c>
      <c r="V9" s="225">
        <v>681</v>
      </c>
      <c r="W9" s="225">
        <v>642</v>
      </c>
      <c r="X9" s="225">
        <v>621</v>
      </c>
      <c r="Y9" s="225">
        <v>543</v>
      </c>
      <c r="Z9" s="136">
        <v>629</v>
      </c>
    </row>
    <row r="10" spans="1:26" x14ac:dyDescent="0.2">
      <c r="A10" s="187" t="s">
        <v>62</v>
      </c>
      <c r="B10" s="78">
        <v>9975</v>
      </c>
      <c r="C10" s="80">
        <v>6123</v>
      </c>
      <c r="D10" s="80">
        <v>8282</v>
      </c>
      <c r="E10" s="226">
        <v>8542</v>
      </c>
      <c r="F10" s="226">
        <v>9102</v>
      </c>
      <c r="G10" s="226">
        <v>6116</v>
      </c>
      <c r="H10" s="226">
        <v>5803</v>
      </c>
      <c r="I10" s="226">
        <v>4882</v>
      </c>
      <c r="J10" s="226">
        <v>5621</v>
      </c>
      <c r="K10" s="225">
        <v>4729</v>
      </c>
      <c r="L10" s="225">
        <v>4087</v>
      </c>
      <c r="M10" s="225">
        <v>3862</v>
      </c>
      <c r="N10" s="225">
        <v>3796</v>
      </c>
      <c r="O10" s="225">
        <v>3607</v>
      </c>
      <c r="P10" s="225">
        <v>3432</v>
      </c>
      <c r="Q10" s="225">
        <v>2571</v>
      </c>
      <c r="R10" s="225">
        <v>1998</v>
      </c>
      <c r="S10" s="225">
        <v>1699</v>
      </c>
      <c r="T10" s="225">
        <v>1294</v>
      </c>
      <c r="U10" s="225">
        <v>1068</v>
      </c>
      <c r="V10" s="225">
        <v>1002</v>
      </c>
      <c r="W10" s="225">
        <v>1096</v>
      </c>
      <c r="X10" s="225">
        <v>1090</v>
      </c>
      <c r="Y10" s="225">
        <v>987</v>
      </c>
      <c r="Z10" s="136">
        <v>982</v>
      </c>
    </row>
    <row r="11" spans="1:26" x14ac:dyDescent="0.2">
      <c r="A11" s="187" t="s">
        <v>64</v>
      </c>
      <c r="B11" s="78">
        <v>1874</v>
      </c>
      <c r="C11" s="80">
        <v>2153</v>
      </c>
      <c r="D11" s="80">
        <v>2261</v>
      </c>
      <c r="E11" s="226">
        <v>2642</v>
      </c>
      <c r="F11" s="226">
        <v>2637</v>
      </c>
      <c r="G11" s="226">
        <v>2613</v>
      </c>
      <c r="H11" s="226">
        <v>2492</v>
      </c>
      <c r="I11" s="226">
        <v>2384</v>
      </c>
      <c r="J11" s="226">
        <v>2533</v>
      </c>
      <c r="K11" s="225">
        <v>2115</v>
      </c>
      <c r="L11" s="225">
        <v>1830</v>
      </c>
      <c r="M11" s="225">
        <v>2588</v>
      </c>
      <c r="N11" s="225">
        <v>2229</v>
      </c>
      <c r="O11" s="225">
        <v>1949</v>
      </c>
      <c r="P11" s="225">
        <v>1642</v>
      </c>
      <c r="Q11" s="225">
        <v>1722</v>
      </c>
      <c r="R11" s="225">
        <v>1544</v>
      </c>
      <c r="S11" s="225">
        <v>1209</v>
      </c>
      <c r="T11" s="225">
        <v>900</v>
      </c>
      <c r="U11" s="225">
        <v>835</v>
      </c>
      <c r="V11" s="225">
        <v>840</v>
      </c>
      <c r="W11" s="225">
        <v>713</v>
      </c>
      <c r="X11" s="225">
        <v>744</v>
      </c>
      <c r="Y11" s="225">
        <v>706</v>
      </c>
      <c r="Z11" s="136">
        <v>769</v>
      </c>
    </row>
    <row r="12" spans="1:26" x14ac:dyDescent="0.2">
      <c r="A12" s="187" t="s">
        <v>65</v>
      </c>
      <c r="B12" s="78">
        <v>8241</v>
      </c>
      <c r="C12" s="80">
        <v>4733</v>
      </c>
      <c r="D12" s="80">
        <v>5941</v>
      </c>
      <c r="E12" s="226">
        <v>6038</v>
      </c>
      <c r="F12" s="226">
        <v>6341</v>
      </c>
      <c r="G12" s="226">
        <v>5464</v>
      </c>
      <c r="H12" s="226">
        <v>5132</v>
      </c>
      <c r="I12" s="226">
        <v>4674</v>
      </c>
      <c r="J12" s="226">
        <v>3724</v>
      </c>
      <c r="K12" s="225">
        <v>3346</v>
      </c>
      <c r="L12" s="225">
        <v>4204</v>
      </c>
      <c r="M12" s="225">
        <v>4573</v>
      </c>
      <c r="N12" s="225">
        <v>4697</v>
      </c>
      <c r="O12" s="225">
        <v>4671</v>
      </c>
      <c r="P12" s="225">
        <v>5031</v>
      </c>
      <c r="Q12" s="225">
        <v>4824</v>
      </c>
      <c r="R12" s="225">
        <v>4146</v>
      </c>
      <c r="S12" s="225">
        <v>3513</v>
      </c>
      <c r="T12" s="225">
        <v>3416</v>
      </c>
      <c r="U12" s="225">
        <v>3658</v>
      </c>
      <c r="V12" s="225">
        <v>3634</v>
      </c>
      <c r="W12" s="225">
        <v>3968</v>
      </c>
      <c r="X12" s="225">
        <v>5186</v>
      </c>
      <c r="Y12" s="225">
        <v>5601</v>
      </c>
      <c r="Z12" s="136">
        <v>5247</v>
      </c>
    </row>
    <row r="13" spans="1:26" x14ac:dyDescent="0.2">
      <c r="A13" s="188" t="s">
        <v>68</v>
      </c>
      <c r="B13" s="113">
        <v>1161</v>
      </c>
      <c r="C13" s="137">
        <v>660</v>
      </c>
      <c r="D13" s="137">
        <v>910</v>
      </c>
      <c r="E13" s="227">
        <v>1141</v>
      </c>
      <c r="F13" s="227">
        <v>1107</v>
      </c>
      <c r="G13" s="227">
        <v>1249</v>
      </c>
      <c r="H13" s="227">
        <v>983</v>
      </c>
      <c r="I13" s="227">
        <v>902</v>
      </c>
      <c r="J13" s="227">
        <v>1118</v>
      </c>
      <c r="K13" s="428">
        <v>966</v>
      </c>
      <c r="L13" s="428">
        <v>935</v>
      </c>
      <c r="M13" s="428">
        <v>1109</v>
      </c>
      <c r="N13" s="428">
        <v>895</v>
      </c>
      <c r="O13" s="428">
        <v>904</v>
      </c>
      <c r="P13" s="428">
        <v>960</v>
      </c>
      <c r="Q13" s="428">
        <v>836</v>
      </c>
      <c r="R13" s="428">
        <v>759</v>
      </c>
      <c r="S13" s="428">
        <v>836</v>
      </c>
      <c r="T13" s="428">
        <v>710</v>
      </c>
      <c r="U13" s="428">
        <v>676</v>
      </c>
      <c r="V13" s="428">
        <v>574</v>
      </c>
      <c r="W13" s="428">
        <v>918</v>
      </c>
      <c r="X13" s="428">
        <v>921</v>
      </c>
      <c r="Y13" s="428">
        <v>1085</v>
      </c>
      <c r="Z13" s="138">
        <v>1146</v>
      </c>
    </row>
    <row r="14" spans="1:26" x14ac:dyDescent="0.2">
      <c r="A14" s="473"/>
      <c r="B14" s="474"/>
      <c r="C14" s="475"/>
      <c r="D14" s="475"/>
      <c r="E14" s="476"/>
      <c r="F14" s="476"/>
      <c r="G14" s="476"/>
      <c r="H14" s="476"/>
      <c r="I14" s="476"/>
      <c r="J14" s="476"/>
      <c r="K14" s="477"/>
      <c r="L14" s="477"/>
      <c r="M14" s="477"/>
      <c r="N14" s="477">
        <v>16</v>
      </c>
      <c r="O14" s="477"/>
      <c r="P14" s="477"/>
      <c r="Q14" s="477"/>
      <c r="R14" s="477">
        <v>12</v>
      </c>
      <c r="S14" s="477">
        <v>11</v>
      </c>
      <c r="T14" s="477">
        <v>5</v>
      </c>
      <c r="U14" s="477">
        <v>0</v>
      </c>
      <c r="V14" s="477">
        <v>13</v>
      </c>
      <c r="W14" s="477">
        <v>10</v>
      </c>
      <c r="X14" s="477">
        <v>11</v>
      </c>
      <c r="Y14" s="477">
        <v>0</v>
      </c>
      <c r="Z14" s="150">
        <v>9</v>
      </c>
    </row>
    <row r="15" spans="1:26" ht="13.5" thickBot="1" x14ac:dyDescent="0.25">
      <c r="A15" s="189" t="s">
        <v>20</v>
      </c>
      <c r="B15" s="115">
        <v>35902</v>
      </c>
      <c r="C15" s="115">
        <v>21220</v>
      </c>
      <c r="D15" s="115">
        <v>28211</v>
      </c>
      <c r="E15" s="228">
        <v>29450</v>
      </c>
      <c r="F15" s="228">
        <v>32673</v>
      </c>
      <c r="G15" s="228">
        <v>27007</v>
      </c>
      <c r="H15" s="228">
        <v>24973</v>
      </c>
      <c r="I15" s="228">
        <v>22621</v>
      </c>
      <c r="J15" s="228">
        <v>21238</v>
      </c>
      <c r="K15" s="228">
        <v>18897</v>
      </c>
      <c r="L15" s="228">
        <v>20623</v>
      </c>
      <c r="M15" s="228">
        <v>22146</v>
      </c>
      <c r="N15" s="228">
        <v>21358</v>
      </c>
      <c r="O15" s="228">
        <v>20991</v>
      </c>
      <c r="P15" s="228">
        <f t="shared" ref="P15:U15" si="0">SUM(P5:P14)</f>
        <v>20880</v>
      </c>
      <c r="Q15" s="228">
        <f t="shared" si="0"/>
        <v>19318</v>
      </c>
      <c r="R15" s="228">
        <f t="shared" si="0"/>
        <v>17385</v>
      </c>
      <c r="S15" s="228">
        <f t="shared" si="0"/>
        <v>15036</v>
      </c>
      <c r="T15" s="228">
        <f t="shared" si="0"/>
        <v>13743</v>
      </c>
      <c r="U15" s="228">
        <f t="shared" si="0"/>
        <v>12850</v>
      </c>
      <c r="V15" s="228">
        <f>SUM(V5:V14)</f>
        <v>13049</v>
      </c>
      <c r="W15" s="228">
        <f>SUM(W5:W14)</f>
        <v>14199</v>
      </c>
      <c r="X15" s="228">
        <f>SUM(X5:X14)</f>
        <v>17507</v>
      </c>
      <c r="Y15" s="228">
        <f>SUM(Y5:Y14)</f>
        <v>17730</v>
      </c>
      <c r="Z15" s="139">
        <f>SUM(Z5:Z14)</f>
        <v>18879</v>
      </c>
    </row>
    <row r="16" spans="1:26" ht="13.5" thickBot="1" x14ac:dyDescent="0.25">
      <c r="A16" s="35" t="s">
        <v>21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465"/>
      <c r="M16" s="465"/>
      <c r="N16" s="465"/>
      <c r="O16" s="465"/>
      <c r="P16" s="465"/>
      <c r="Q16" s="465"/>
      <c r="R16" s="465"/>
      <c r="S16" s="465"/>
      <c r="T16" s="465"/>
      <c r="U16" s="465"/>
      <c r="V16" s="465"/>
      <c r="W16" s="465"/>
      <c r="X16" s="465"/>
      <c r="Y16" s="465"/>
      <c r="Z16" s="433"/>
    </row>
    <row r="17" spans="1:26" x14ac:dyDescent="0.2">
      <c r="A17" s="186" t="s">
        <v>60</v>
      </c>
      <c r="B17" s="108">
        <v>322</v>
      </c>
      <c r="C17" s="108">
        <v>125</v>
      </c>
      <c r="D17" s="108">
        <v>283</v>
      </c>
      <c r="E17" s="224">
        <v>255</v>
      </c>
      <c r="F17" s="224">
        <v>354</v>
      </c>
      <c r="G17" s="224">
        <v>284</v>
      </c>
      <c r="H17" s="224">
        <v>239</v>
      </c>
      <c r="I17" s="224">
        <v>224</v>
      </c>
      <c r="J17" s="224">
        <v>155</v>
      </c>
      <c r="K17" s="224">
        <v>85</v>
      </c>
      <c r="L17" s="224">
        <v>109</v>
      </c>
      <c r="M17" s="224">
        <v>106</v>
      </c>
      <c r="N17" s="224">
        <v>87</v>
      </c>
      <c r="O17" s="224">
        <v>45</v>
      </c>
      <c r="P17" s="224">
        <v>63</v>
      </c>
      <c r="Q17" s="224">
        <v>60</v>
      </c>
      <c r="R17" s="224">
        <v>48</v>
      </c>
      <c r="S17" s="224">
        <v>21</v>
      </c>
      <c r="T17" s="224">
        <v>23</v>
      </c>
      <c r="U17" s="224">
        <v>0</v>
      </c>
      <c r="V17" s="224">
        <v>43</v>
      </c>
      <c r="W17" s="547">
        <v>0</v>
      </c>
      <c r="X17" s="547">
        <v>50</v>
      </c>
      <c r="Y17" s="547">
        <v>27</v>
      </c>
      <c r="Z17" s="150">
        <v>58</v>
      </c>
    </row>
    <row r="18" spans="1:26" x14ac:dyDescent="0.2">
      <c r="A18" s="187" t="s">
        <v>61</v>
      </c>
      <c r="B18" s="78">
        <v>3413</v>
      </c>
      <c r="C18" s="78">
        <v>1361</v>
      </c>
      <c r="D18" s="78">
        <v>2789</v>
      </c>
      <c r="E18" s="225">
        <v>3299</v>
      </c>
      <c r="F18" s="225">
        <v>3685</v>
      </c>
      <c r="G18" s="225">
        <v>2632</v>
      </c>
      <c r="H18" s="225">
        <v>2658</v>
      </c>
      <c r="I18" s="225">
        <v>2302</v>
      </c>
      <c r="J18" s="225">
        <v>2321</v>
      </c>
      <c r="K18" s="225">
        <v>1886</v>
      </c>
      <c r="L18" s="225">
        <v>2155</v>
      </c>
      <c r="M18" s="225">
        <v>2230</v>
      </c>
      <c r="N18" s="225">
        <v>2214</v>
      </c>
      <c r="O18" s="225">
        <v>2236</v>
      </c>
      <c r="P18" s="225">
        <v>2176</v>
      </c>
      <c r="Q18" s="225">
        <v>1722</v>
      </c>
      <c r="R18" s="225">
        <v>1623</v>
      </c>
      <c r="S18" s="225">
        <v>1521</v>
      </c>
      <c r="T18" s="225">
        <v>1287</v>
      </c>
      <c r="U18" s="225">
        <v>990</v>
      </c>
      <c r="V18" s="225">
        <v>1134</v>
      </c>
      <c r="W18" s="225">
        <v>1065</v>
      </c>
      <c r="X18" s="225">
        <v>1075</v>
      </c>
      <c r="Y18" s="225">
        <v>1066</v>
      </c>
      <c r="Z18" s="136">
        <v>967</v>
      </c>
    </row>
    <row r="19" spans="1:26" x14ac:dyDescent="0.2">
      <c r="A19" s="187" t="s">
        <v>67</v>
      </c>
      <c r="B19" s="78">
        <v>847</v>
      </c>
      <c r="C19" s="78">
        <v>404</v>
      </c>
      <c r="D19" s="78">
        <v>759</v>
      </c>
      <c r="E19" s="225">
        <v>783</v>
      </c>
      <c r="F19" s="225">
        <v>1001</v>
      </c>
      <c r="G19" s="225">
        <v>874</v>
      </c>
      <c r="H19" s="225">
        <v>802</v>
      </c>
      <c r="I19" s="225">
        <v>592</v>
      </c>
      <c r="J19" s="225">
        <v>646</v>
      </c>
      <c r="K19" s="225">
        <v>475</v>
      </c>
      <c r="L19" s="225">
        <v>429</v>
      </c>
      <c r="M19" s="225">
        <v>487</v>
      </c>
      <c r="N19" s="225">
        <v>457</v>
      </c>
      <c r="O19" s="225">
        <v>438</v>
      </c>
      <c r="P19" s="225">
        <v>417</v>
      </c>
      <c r="Q19" s="225">
        <v>316</v>
      </c>
      <c r="R19" s="225">
        <v>259</v>
      </c>
      <c r="S19" s="225">
        <v>201</v>
      </c>
      <c r="T19" s="225">
        <v>153</v>
      </c>
      <c r="U19" s="225">
        <v>143</v>
      </c>
      <c r="V19" s="225">
        <v>212</v>
      </c>
      <c r="W19" s="225">
        <v>214</v>
      </c>
      <c r="X19" s="225">
        <v>610</v>
      </c>
      <c r="Y19" s="225">
        <v>775</v>
      </c>
      <c r="Z19" s="136">
        <v>661</v>
      </c>
    </row>
    <row r="20" spans="1:26" x14ac:dyDescent="0.2">
      <c r="A20" s="187" t="s">
        <v>66</v>
      </c>
      <c r="B20" s="78">
        <v>4792</v>
      </c>
      <c r="C20" s="80">
        <v>3102</v>
      </c>
      <c r="D20" s="80">
        <v>4130</v>
      </c>
      <c r="E20" s="226">
        <v>4367</v>
      </c>
      <c r="F20" s="226">
        <v>5392</v>
      </c>
      <c r="G20" s="226">
        <v>3779</v>
      </c>
      <c r="H20" s="226">
        <v>3468</v>
      </c>
      <c r="I20" s="226">
        <v>3512</v>
      </c>
      <c r="J20" s="226">
        <v>3626</v>
      </c>
      <c r="K20" s="225">
        <v>4202</v>
      </c>
      <c r="L20" s="225">
        <v>4171</v>
      </c>
      <c r="M20" s="225">
        <v>4534</v>
      </c>
      <c r="N20" s="225">
        <v>4117</v>
      </c>
      <c r="O20" s="225">
        <v>4433</v>
      </c>
      <c r="P20" s="225">
        <v>4260</v>
      </c>
      <c r="Q20" s="225">
        <v>4432</v>
      </c>
      <c r="R20" s="225">
        <v>4373</v>
      </c>
      <c r="S20" s="225">
        <v>3933</v>
      </c>
      <c r="T20" s="225">
        <v>4032</v>
      </c>
      <c r="U20" s="225">
        <v>3680</v>
      </c>
      <c r="V20" s="225">
        <v>3671</v>
      </c>
      <c r="W20" s="225">
        <v>4071</v>
      </c>
      <c r="X20" s="225">
        <v>4925</v>
      </c>
      <c r="Y20" s="225">
        <v>4782</v>
      </c>
      <c r="Z20" s="136">
        <v>5234</v>
      </c>
    </row>
    <row r="21" spans="1:26" x14ac:dyDescent="0.2">
      <c r="A21" s="187" t="s">
        <v>63</v>
      </c>
      <c r="B21" s="78">
        <v>1839</v>
      </c>
      <c r="C21" s="80">
        <v>1624</v>
      </c>
      <c r="D21" s="80">
        <v>1223</v>
      </c>
      <c r="E21" s="226">
        <v>737</v>
      </c>
      <c r="F21" s="226">
        <v>693</v>
      </c>
      <c r="G21" s="226">
        <v>2192</v>
      </c>
      <c r="H21" s="226">
        <v>2078</v>
      </c>
      <c r="I21" s="226">
        <v>1950</v>
      </c>
      <c r="J21" s="226">
        <v>522</v>
      </c>
      <c r="K21" s="225">
        <v>355</v>
      </c>
      <c r="L21" s="225">
        <v>1499</v>
      </c>
      <c r="M21" s="225">
        <v>1587</v>
      </c>
      <c r="N21" s="225">
        <v>1611</v>
      </c>
      <c r="O21" s="225">
        <v>1450</v>
      </c>
      <c r="P21" s="225">
        <v>1507</v>
      </c>
      <c r="Q21" s="225">
        <v>1378</v>
      </c>
      <c r="R21" s="225">
        <v>1201</v>
      </c>
      <c r="S21" s="225">
        <v>988</v>
      </c>
      <c r="T21" s="225">
        <v>819</v>
      </c>
      <c r="U21" s="225">
        <v>774</v>
      </c>
      <c r="V21" s="225">
        <v>671</v>
      </c>
      <c r="W21" s="225">
        <v>620</v>
      </c>
      <c r="X21" s="225">
        <v>589</v>
      </c>
      <c r="Y21" s="225">
        <v>514</v>
      </c>
      <c r="Z21" s="136">
        <v>570</v>
      </c>
    </row>
    <row r="22" spans="1:26" x14ac:dyDescent="0.2">
      <c r="A22" s="187" t="s">
        <v>62</v>
      </c>
      <c r="B22" s="78">
        <v>7922</v>
      </c>
      <c r="C22" s="80">
        <v>4902</v>
      </c>
      <c r="D22" s="80">
        <v>7192</v>
      </c>
      <c r="E22" s="226">
        <v>7476</v>
      </c>
      <c r="F22" s="226">
        <v>7463</v>
      </c>
      <c r="G22" s="226">
        <v>5403</v>
      </c>
      <c r="H22" s="226">
        <v>5071</v>
      </c>
      <c r="I22" s="226">
        <v>4281</v>
      </c>
      <c r="J22" s="226">
        <v>5162</v>
      </c>
      <c r="K22" s="225">
        <v>4402</v>
      </c>
      <c r="L22" s="225">
        <v>3905</v>
      </c>
      <c r="M22" s="225">
        <v>3682</v>
      </c>
      <c r="N22" s="225">
        <v>3530</v>
      </c>
      <c r="O22" s="225">
        <v>3360</v>
      </c>
      <c r="P22" s="225">
        <v>3122</v>
      </c>
      <c r="Q22" s="225">
        <v>2463</v>
      </c>
      <c r="R22" s="225">
        <v>1911</v>
      </c>
      <c r="S22" s="225">
        <v>1627</v>
      </c>
      <c r="T22" s="225">
        <v>1243</v>
      </c>
      <c r="U22" s="225">
        <v>1027</v>
      </c>
      <c r="V22" s="225">
        <v>973</v>
      </c>
      <c r="W22" s="225">
        <v>1027</v>
      </c>
      <c r="X22" s="225">
        <v>1031</v>
      </c>
      <c r="Y22" s="225">
        <v>949</v>
      </c>
      <c r="Z22" s="136">
        <v>870</v>
      </c>
    </row>
    <row r="23" spans="1:26" x14ac:dyDescent="0.2">
      <c r="A23" s="187" t="s">
        <v>64</v>
      </c>
      <c r="B23" s="78">
        <v>2698</v>
      </c>
      <c r="C23" s="80">
        <v>2017</v>
      </c>
      <c r="D23" s="80">
        <v>2076</v>
      </c>
      <c r="E23" s="226">
        <v>2475</v>
      </c>
      <c r="F23" s="226">
        <v>2530</v>
      </c>
      <c r="G23" s="226">
        <v>2467</v>
      </c>
      <c r="H23" s="226">
        <v>2357</v>
      </c>
      <c r="I23" s="226">
        <v>2281</v>
      </c>
      <c r="J23" s="226">
        <v>2465</v>
      </c>
      <c r="K23" s="225">
        <v>2088</v>
      </c>
      <c r="L23" s="225">
        <v>1789</v>
      </c>
      <c r="M23" s="225">
        <v>2529</v>
      </c>
      <c r="N23" s="225">
        <v>2174</v>
      </c>
      <c r="O23" s="225">
        <v>1905</v>
      </c>
      <c r="P23" s="225">
        <v>1622</v>
      </c>
      <c r="Q23" s="225">
        <v>1681</v>
      </c>
      <c r="R23" s="225">
        <v>1488</v>
      </c>
      <c r="S23" s="225">
        <v>1185</v>
      </c>
      <c r="T23" s="225">
        <v>886</v>
      </c>
      <c r="U23" s="225">
        <v>817</v>
      </c>
      <c r="V23" s="225">
        <v>827</v>
      </c>
      <c r="W23" s="225">
        <v>691</v>
      </c>
      <c r="X23" s="225">
        <v>718</v>
      </c>
      <c r="Y23" s="225">
        <v>676</v>
      </c>
      <c r="Z23" s="136">
        <v>692</v>
      </c>
    </row>
    <row r="24" spans="1:26" x14ac:dyDescent="0.2">
      <c r="A24" s="187" t="s">
        <v>65</v>
      </c>
      <c r="B24" s="78">
        <v>6199</v>
      </c>
      <c r="C24" s="80">
        <v>3833</v>
      </c>
      <c r="D24" s="80">
        <v>4602</v>
      </c>
      <c r="E24" s="226">
        <v>4941</v>
      </c>
      <c r="F24" s="226">
        <v>5025</v>
      </c>
      <c r="G24" s="226">
        <v>4445</v>
      </c>
      <c r="H24" s="226">
        <v>4250</v>
      </c>
      <c r="I24" s="226">
        <v>3796</v>
      </c>
      <c r="J24" s="226">
        <v>3301</v>
      </c>
      <c r="K24" s="225">
        <v>3083</v>
      </c>
      <c r="L24" s="225">
        <v>3881</v>
      </c>
      <c r="M24" s="225">
        <v>4183</v>
      </c>
      <c r="N24" s="225">
        <v>4184</v>
      </c>
      <c r="O24" s="225">
        <v>4194</v>
      </c>
      <c r="P24" s="225">
        <v>4514</v>
      </c>
      <c r="Q24" s="225">
        <v>4278</v>
      </c>
      <c r="R24" s="225">
        <v>3702</v>
      </c>
      <c r="S24" s="225">
        <v>3117</v>
      </c>
      <c r="T24" s="225">
        <v>3137</v>
      </c>
      <c r="U24" s="225">
        <v>3354</v>
      </c>
      <c r="V24" s="225">
        <v>3335</v>
      </c>
      <c r="W24" s="225">
        <v>3606</v>
      </c>
      <c r="X24" s="225">
        <v>4589</v>
      </c>
      <c r="Y24" s="225">
        <v>4836</v>
      </c>
      <c r="Z24" s="136">
        <v>4308</v>
      </c>
    </row>
    <row r="25" spans="1:26" x14ac:dyDescent="0.2">
      <c r="A25" s="188" t="s">
        <v>68</v>
      </c>
      <c r="B25" s="113">
        <v>1042</v>
      </c>
      <c r="C25" s="137">
        <v>597</v>
      </c>
      <c r="D25" s="137">
        <v>817</v>
      </c>
      <c r="E25" s="227">
        <v>1006</v>
      </c>
      <c r="F25" s="227">
        <v>1004</v>
      </c>
      <c r="G25" s="227">
        <v>1060</v>
      </c>
      <c r="H25" s="227">
        <v>870</v>
      </c>
      <c r="I25" s="227">
        <v>826</v>
      </c>
      <c r="J25" s="227">
        <v>1005</v>
      </c>
      <c r="K25" s="428">
        <v>883</v>
      </c>
      <c r="L25" s="428">
        <v>849</v>
      </c>
      <c r="M25" s="428">
        <v>1002</v>
      </c>
      <c r="N25" s="428">
        <v>803</v>
      </c>
      <c r="O25" s="428">
        <v>814</v>
      </c>
      <c r="P25" s="428">
        <v>847</v>
      </c>
      <c r="Q25" s="428">
        <v>741</v>
      </c>
      <c r="R25" s="428">
        <v>676</v>
      </c>
      <c r="S25" s="428">
        <v>752</v>
      </c>
      <c r="T25" s="428">
        <v>640</v>
      </c>
      <c r="U25" s="428">
        <v>617</v>
      </c>
      <c r="V25" s="428">
        <v>505</v>
      </c>
      <c r="W25" s="428">
        <v>693</v>
      </c>
      <c r="X25" s="428">
        <v>746</v>
      </c>
      <c r="Y25" s="428">
        <v>826</v>
      </c>
      <c r="Z25" s="138">
        <v>889</v>
      </c>
    </row>
    <row r="26" spans="1:26" x14ac:dyDescent="0.2">
      <c r="A26" s="473"/>
      <c r="B26" s="474"/>
      <c r="C26" s="475"/>
      <c r="D26" s="475"/>
      <c r="E26" s="476"/>
      <c r="F26" s="476"/>
      <c r="G26" s="476"/>
      <c r="H26" s="476"/>
      <c r="I26" s="476"/>
      <c r="J26" s="476"/>
      <c r="K26" s="477"/>
      <c r="L26" s="477"/>
      <c r="M26" s="477"/>
      <c r="N26" s="477">
        <v>16</v>
      </c>
      <c r="O26" s="477"/>
      <c r="P26" s="477"/>
      <c r="Q26" s="477"/>
      <c r="R26" s="477">
        <v>12</v>
      </c>
      <c r="S26" s="477">
        <v>11</v>
      </c>
      <c r="T26" s="477">
        <v>5</v>
      </c>
      <c r="U26" s="477">
        <v>0</v>
      </c>
      <c r="V26" s="477">
        <v>13</v>
      </c>
      <c r="W26" s="477">
        <v>10</v>
      </c>
      <c r="X26" s="477">
        <v>11</v>
      </c>
      <c r="Y26" s="477">
        <v>0</v>
      </c>
      <c r="Z26" s="150">
        <v>9</v>
      </c>
    </row>
    <row r="27" spans="1:26" ht="13.5" thickBot="1" x14ac:dyDescent="0.25">
      <c r="A27" s="189" t="s">
        <v>20</v>
      </c>
      <c r="B27" s="115">
        <v>24551</v>
      </c>
      <c r="C27" s="115">
        <v>15406</v>
      </c>
      <c r="D27" s="115">
        <v>20319</v>
      </c>
      <c r="E27" s="228">
        <v>22220</v>
      </c>
      <c r="F27" s="228">
        <v>24339</v>
      </c>
      <c r="G27" s="228">
        <v>20595</v>
      </c>
      <c r="H27" s="228">
        <v>19441</v>
      </c>
      <c r="I27" s="228">
        <v>17164</v>
      </c>
      <c r="J27" s="228">
        <v>17484</v>
      </c>
      <c r="K27" s="228">
        <v>16703</v>
      </c>
      <c r="L27" s="228">
        <v>17696</v>
      </c>
      <c r="M27" s="228">
        <v>19041</v>
      </c>
      <c r="N27" s="228">
        <v>17864</v>
      </c>
      <c r="O27" s="228">
        <f>+'voš_druh studia '!C59</f>
        <v>17605</v>
      </c>
      <c r="P27" s="228">
        <f>+'voš_druh studia '!C63</f>
        <v>17384</v>
      </c>
      <c r="Q27" s="228">
        <f>+'voš_druh studia '!C67</f>
        <v>16050</v>
      </c>
      <c r="R27" s="228">
        <f>+'voš_druh studia '!C71</f>
        <v>14397</v>
      </c>
      <c r="S27" s="228">
        <f>+'voš_druh studia '!C75</f>
        <v>12699</v>
      </c>
      <c r="T27" s="228">
        <f>+'voš_druh studia '!C79</f>
        <v>11732</v>
      </c>
      <c r="U27" s="228">
        <f>+'voš_druh studia '!C83</f>
        <v>11006</v>
      </c>
      <c r="V27" s="228">
        <f>+'voš_druh studia '!C87</f>
        <v>10916</v>
      </c>
      <c r="W27" s="228">
        <f>+'voš_druh studia '!C91</f>
        <v>11554</v>
      </c>
      <c r="X27" s="228">
        <f>+'voš_druh studia '!C95</f>
        <v>13716</v>
      </c>
      <c r="Y27" s="228">
        <f>+'voš_druh studia '!C99</f>
        <v>13747</v>
      </c>
      <c r="Z27" s="139">
        <f>+'voš_druh studia '!C103</f>
        <v>14258</v>
      </c>
    </row>
    <row r="28" spans="1:26" ht="13.5" thickBot="1" x14ac:dyDescent="0.25">
      <c r="A28" s="35" t="s">
        <v>22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465"/>
      <c r="M28" s="465"/>
      <c r="N28" s="465"/>
      <c r="O28" s="465"/>
      <c r="P28" s="465"/>
      <c r="Q28" s="465"/>
      <c r="R28" s="465"/>
      <c r="S28" s="465"/>
      <c r="T28" s="465"/>
      <c r="U28" s="465"/>
      <c r="V28" s="465"/>
      <c r="W28" s="465"/>
      <c r="X28" s="465"/>
      <c r="Y28" s="465"/>
      <c r="Z28" s="433"/>
    </row>
    <row r="29" spans="1:26" x14ac:dyDescent="0.2">
      <c r="A29" s="192" t="s">
        <v>60</v>
      </c>
      <c r="B29" s="140">
        <v>1.3115555374526496E-2</v>
      </c>
      <c r="C29" s="140">
        <v>8.1137219265221341E-3</v>
      </c>
      <c r="D29" s="140">
        <v>1.3927850780058074E-2</v>
      </c>
      <c r="E29" s="229">
        <v>1.1476147614761477E-2</v>
      </c>
      <c r="F29" s="296">
        <v>1.4508791343907538E-2</v>
      </c>
      <c r="G29" s="296">
        <v>1.378975479485312E-2</v>
      </c>
      <c r="H29" s="296">
        <v>1.2293606295972429E-2</v>
      </c>
      <c r="I29" s="296">
        <v>1.3050570962479609E-2</v>
      </c>
      <c r="J29" s="296">
        <v>8.8652482269503553E-3</v>
      </c>
      <c r="K29" s="429">
        <f t="shared" ref="K29:K37" si="1">K17/$K$27</f>
        <v>5.0889061845177516E-3</v>
      </c>
      <c r="L29" s="429">
        <f t="shared" ref="L29:L37" si="2">L17/$L$27</f>
        <v>6.159584086799277E-3</v>
      </c>
      <c r="M29" s="429">
        <f t="shared" ref="M29:M37" si="3">M17/$M$27</f>
        <v>5.5669345097421356E-3</v>
      </c>
      <c r="N29" s="429">
        <f t="shared" ref="N29:S29" si="4">N17/N$27</f>
        <v>4.87012987012987E-3</v>
      </c>
      <c r="O29" s="429">
        <f t="shared" si="4"/>
        <v>2.5560920193126954E-3</v>
      </c>
      <c r="P29" s="429">
        <f t="shared" si="4"/>
        <v>3.6240220892774966E-3</v>
      </c>
      <c r="Q29" s="429">
        <f t="shared" si="4"/>
        <v>3.7383177570093459E-3</v>
      </c>
      <c r="R29" s="429">
        <f t="shared" si="4"/>
        <v>3.3340279224838508E-3</v>
      </c>
      <c r="S29" s="429">
        <f t="shared" si="4"/>
        <v>1.6536735175998109E-3</v>
      </c>
      <c r="T29" s="429">
        <f t="shared" ref="T29:U39" si="5">T17/T$27</f>
        <v>1.9604500511421754E-3</v>
      </c>
      <c r="U29" s="429">
        <f t="shared" si="5"/>
        <v>0</v>
      </c>
      <c r="V29" s="429">
        <f t="shared" ref="V29:X39" si="6">V17/V$27</f>
        <v>3.9391718578233783E-3</v>
      </c>
      <c r="W29" s="429">
        <f t="shared" ref="W29" si="7">W17/W$27</f>
        <v>0</v>
      </c>
      <c r="X29" s="429">
        <f t="shared" si="6"/>
        <v>3.6453776611256928E-3</v>
      </c>
      <c r="Y29" s="429">
        <f t="shared" ref="Y29:Z29" si="8">Y17/Y$27</f>
        <v>1.9640648868844111E-3</v>
      </c>
      <c r="Z29" s="249">
        <f t="shared" si="8"/>
        <v>4.0678917099172393E-3</v>
      </c>
    </row>
    <row r="30" spans="1:26" x14ac:dyDescent="0.2">
      <c r="A30" s="193" t="s">
        <v>61</v>
      </c>
      <c r="B30" s="53">
        <v>0.1390167406622948</v>
      </c>
      <c r="C30" s="53">
        <v>8.8342204335972993E-2</v>
      </c>
      <c r="D30" s="53">
        <v>0.13726069196318716</v>
      </c>
      <c r="E30" s="230">
        <v>0.14846984698469848</v>
      </c>
      <c r="F30" s="230">
        <v>0.15103077994999795</v>
      </c>
      <c r="G30" s="230">
        <v>0.12779800922554019</v>
      </c>
      <c r="H30" s="230">
        <v>0.13672136206985239</v>
      </c>
      <c r="I30" s="230">
        <v>0.13411792123048241</v>
      </c>
      <c r="J30" s="230">
        <v>0.13274994280485014</v>
      </c>
      <c r="K30" s="429">
        <f t="shared" si="1"/>
        <v>0.11291384781177034</v>
      </c>
      <c r="L30" s="429">
        <f t="shared" si="2"/>
        <v>0.12177893309222423</v>
      </c>
      <c r="M30" s="429">
        <f t="shared" si="3"/>
        <v>0.11711569770495248</v>
      </c>
      <c r="N30" s="429">
        <f t="shared" ref="N30:O39" si="9">N18/N$27</f>
        <v>0.12393640841916705</v>
      </c>
      <c r="O30" s="429">
        <f t="shared" si="9"/>
        <v>0.12700937233740414</v>
      </c>
      <c r="P30" s="429">
        <f t="shared" ref="P30:Q39" si="10">P18/P$27</f>
        <v>0.12517257248044178</v>
      </c>
      <c r="Q30" s="429">
        <f t="shared" si="10"/>
        <v>0.10728971962616822</v>
      </c>
      <c r="R30" s="429">
        <f t="shared" ref="R30:S39" si="11">R18/R$27</f>
        <v>0.11273181912898521</v>
      </c>
      <c r="S30" s="429">
        <f t="shared" si="11"/>
        <v>0.11977321048901489</v>
      </c>
      <c r="T30" s="429">
        <f t="shared" si="5"/>
        <v>0.1096999659052165</v>
      </c>
      <c r="U30" s="429">
        <f t="shared" si="5"/>
        <v>8.9950935853171002E-2</v>
      </c>
      <c r="V30" s="429">
        <f t="shared" si="6"/>
        <v>0.10388420666910957</v>
      </c>
      <c r="W30" s="429">
        <f t="shared" ref="W30" si="12">W18/W$27</f>
        <v>9.2175869828630783E-2</v>
      </c>
      <c r="X30" s="429">
        <f t="shared" si="6"/>
        <v>7.8375619714202385E-2</v>
      </c>
      <c r="Y30" s="429">
        <f t="shared" ref="Y30:Z30" si="13">Y18/Y$27</f>
        <v>7.7544191459954906E-2</v>
      </c>
      <c r="Z30" s="249">
        <f t="shared" si="13"/>
        <v>6.7821573853275349E-2</v>
      </c>
    </row>
    <row r="31" spans="1:26" x14ac:dyDescent="0.2">
      <c r="A31" s="193" t="s">
        <v>67</v>
      </c>
      <c r="B31" s="53">
        <v>3.449961305038491E-2</v>
      </c>
      <c r="C31" s="53">
        <v>2.6223549266519538E-2</v>
      </c>
      <c r="D31" s="53">
        <v>3.7354200501993208E-2</v>
      </c>
      <c r="E31" s="230">
        <v>3.523852385238524E-2</v>
      </c>
      <c r="F31" s="230">
        <v>4.1026271568506904E-2</v>
      </c>
      <c r="G31" s="230">
        <v>4.2437484826414178E-2</v>
      </c>
      <c r="H31" s="230">
        <v>4.1253021963890746E-2</v>
      </c>
      <c r="I31" s="230">
        <v>3.449079468655325E-2</v>
      </c>
      <c r="J31" s="230">
        <v>3.6948066803935024E-2</v>
      </c>
      <c r="K31" s="429">
        <f t="shared" si="1"/>
        <v>2.8438005148775668E-2</v>
      </c>
      <c r="L31" s="429">
        <f t="shared" si="2"/>
        <v>2.4242766726943941E-2</v>
      </c>
      <c r="M31" s="429">
        <f t="shared" si="3"/>
        <v>2.5576387794758678E-2</v>
      </c>
      <c r="N31" s="429">
        <f t="shared" si="9"/>
        <v>2.5582176444245409E-2</v>
      </c>
      <c r="O31" s="429">
        <f t="shared" si="9"/>
        <v>2.4879295654643568E-2</v>
      </c>
      <c r="P31" s="429">
        <f t="shared" si="10"/>
        <v>2.3987574781408193E-2</v>
      </c>
      <c r="Q31" s="429">
        <f t="shared" si="10"/>
        <v>1.968847352024922E-2</v>
      </c>
      <c r="R31" s="429">
        <f t="shared" si="11"/>
        <v>1.7989858998402445E-2</v>
      </c>
      <c r="S31" s="429">
        <f t="shared" si="11"/>
        <v>1.5828017954169618E-2</v>
      </c>
      <c r="T31" s="429">
        <f t="shared" si="5"/>
        <v>1.304125468803273E-2</v>
      </c>
      <c r="U31" s="429">
        <f t="shared" si="5"/>
        <v>1.2992912956569144E-2</v>
      </c>
      <c r="V31" s="429">
        <f t="shared" si="6"/>
        <v>1.942103334554782E-2</v>
      </c>
      <c r="W31" s="429">
        <f t="shared" ref="W31" si="14">W19/W$27</f>
        <v>1.8521724078241302E-2</v>
      </c>
      <c r="X31" s="429">
        <f t="shared" si="6"/>
        <v>4.447360746573345E-2</v>
      </c>
      <c r="Y31" s="429">
        <f t="shared" ref="Y31:Z31" si="15">Y19/Y$27</f>
        <v>5.6375936567978471E-2</v>
      </c>
      <c r="Z31" s="249">
        <f t="shared" si="15"/>
        <v>4.6359938280263711E-2</v>
      </c>
    </row>
    <row r="32" spans="1:26" x14ac:dyDescent="0.2">
      <c r="A32" s="193" t="s">
        <v>66</v>
      </c>
      <c r="B32" s="53">
        <v>0.19518553215754958</v>
      </c>
      <c r="C32" s="53">
        <v>0.20135012332857327</v>
      </c>
      <c r="D32" s="53">
        <v>0.20325803435208425</v>
      </c>
      <c r="E32" s="230">
        <v>0.19653465346534654</v>
      </c>
      <c r="F32" s="230">
        <v>0.22099266363375547</v>
      </c>
      <c r="G32" s="230">
        <v>0.18349113862588007</v>
      </c>
      <c r="H32" s="230">
        <v>0.1783858854997171</v>
      </c>
      <c r="I32" s="230">
        <v>0.20461430901887673</v>
      </c>
      <c r="J32" s="230">
        <v>0.20738961336078701</v>
      </c>
      <c r="K32" s="429">
        <f t="shared" si="1"/>
        <v>0.25157157396874813</v>
      </c>
      <c r="L32" s="429">
        <f t="shared" si="2"/>
        <v>0.23570298372513562</v>
      </c>
      <c r="M32" s="429">
        <f t="shared" si="3"/>
        <v>0.23811774591670606</v>
      </c>
      <c r="N32" s="429">
        <f t="shared" si="9"/>
        <v>0.23046350201522614</v>
      </c>
      <c r="O32" s="429">
        <f t="shared" si="9"/>
        <v>0.25180346492473726</v>
      </c>
      <c r="P32" s="429">
        <f t="shared" si="10"/>
        <v>0.24505292222733549</v>
      </c>
      <c r="Q32" s="429">
        <f t="shared" si="10"/>
        <v>0.27613707165109036</v>
      </c>
      <c r="R32" s="429">
        <f t="shared" si="11"/>
        <v>0.30374383552128914</v>
      </c>
      <c r="S32" s="429">
        <f t="shared" si="11"/>
        <v>0.30970942593905032</v>
      </c>
      <c r="T32" s="429">
        <f t="shared" si="5"/>
        <v>0.34367541766109783</v>
      </c>
      <c r="U32" s="429">
        <f t="shared" si="5"/>
        <v>0.33436307468653464</v>
      </c>
      <c r="V32" s="429">
        <f t="shared" si="6"/>
        <v>0.33629534628068891</v>
      </c>
      <c r="W32" s="429">
        <f t="shared" ref="W32" si="16">W20/W$27</f>
        <v>0.35234550804916048</v>
      </c>
      <c r="X32" s="429">
        <f t="shared" si="6"/>
        <v>0.3590696996208807</v>
      </c>
      <c r="Y32" s="429">
        <f t="shared" ref="Y32:Z32" si="17">Y20/Y$27</f>
        <v>0.3478577144104168</v>
      </c>
      <c r="Z32" s="249">
        <f t="shared" si="17"/>
        <v>0.36709215878804879</v>
      </c>
    </row>
    <row r="33" spans="1:26" x14ac:dyDescent="0.2">
      <c r="A33" s="193" t="s">
        <v>63</v>
      </c>
      <c r="B33" s="53">
        <v>7.4905299173149767E-2</v>
      </c>
      <c r="C33" s="53">
        <v>0.10541347526937557</v>
      </c>
      <c r="D33" s="53">
        <v>6.0189969978837542E-2</v>
      </c>
      <c r="E33" s="230">
        <v>3.316831683168317E-2</v>
      </c>
      <c r="F33" s="230">
        <v>2.8402803393581703E-2</v>
      </c>
      <c r="G33" s="230">
        <v>0.10643360038844379</v>
      </c>
      <c r="H33" s="230">
        <v>0.10688750578673936</v>
      </c>
      <c r="I33" s="230">
        <v>0.11360988114658588</v>
      </c>
      <c r="J33" s="230">
        <v>2.9855868222374744E-2</v>
      </c>
      <c r="K33" s="429">
        <f t="shared" si="1"/>
        <v>2.1253667005927079E-2</v>
      </c>
      <c r="L33" s="429">
        <f t="shared" si="2"/>
        <v>8.4708408679927669E-2</v>
      </c>
      <c r="M33" s="429">
        <f t="shared" si="3"/>
        <v>8.3346462895856316E-2</v>
      </c>
      <c r="N33" s="429">
        <f t="shared" si="9"/>
        <v>9.0181370353784152E-2</v>
      </c>
      <c r="O33" s="429">
        <f t="shared" si="9"/>
        <v>8.23629650667424E-2</v>
      </c>
      <c r="P33" s="429">
        <f t="shared" si="10"/>
        <v>8.6688909341923609E-2</v>
      </c>
      <c r="Q33" s="429">
        <f t="shared" si="10"/>
        <v>8.585669781931464E-2</v>
      </c>
      <c r="R33" s="429">
        <f t="shared" si="11"/>
        <v>8.3420156977148011E-2</v>
      </c>
      <c r="S33" s="429">
        <f t="shared" si="11"/>
        <v>7.7801401685172064E-2</v>
      </c>
      <c r="T33" s="429">
        <f t="shared" si="5"/>
        <v>6.9809069212410507E-2</v>
      </c>
      <c r="U33" s="429">
        <f t="shared" si="5"/>
        <v>7.0325277121570051E-2</v>
      </c>
      <c r="V33" s="429">
        <f t="shared" si="6"/>
        <v>6.1469402711615974E-2</v>
      </c>
      <c r="W33" s="429">
        <f t="shared" ref="W33" si="18">W21/W$27</f>
        <v>5.3661069759390688E-2</v>
      </c>
      <c r="X33" s="429">
        <f t="shared" si="6"/>
        <v>4.294254884806066E-2</v>
      </c>
      <c r="Y33" s="429">
        <f t="shared" ref="Y33:Z33" si="19">Y21/Y$27</f>
        <v>3.7389975994762494E-2</v>
      </c>
      <c r="Z33" s="249">
        <f t="shared" si="19"/>
        <v>3.9977556459531494E-2</v>
      </c>
    </row>
    <row r="34" spans="1:26" x14ac:dyDescent="0.2">
      <c r="A34" s="193" t="s">
        <v>62</v>
      </c>
      <c r="B34" s="53">
        <v>0.32267524744409598</v>
      </c>
      <c r="C34" s="53">
        <v>0.31818771907049204</v>
      </c>
      <c r="D34" s="53">
        <v>0.35395442689108714</v>
      </c>
      <c r="E34" s="230">
        <v>0.33645364536453648</v>
      </c>
      <c r="F34" s="230">
        <v>0.3058731915242428</v>
      </c>
      <c r="G34" s="230">
        <v>0.26234522942461763</v>
      </c>
      <c r="H34" s="230">
        <v>0.26084049174425183</v>
      </c>
      <c r="I34" s="230">
        <v>0.24941738522488929</v>
      </c>
      <c r="J34" s="230">
        <v>0.29524136353237246</v>
      </c>
      <c r="K34" s="429">
        <f t="shared" si="1"/>
        <v>0.26354547087349578</v>
      </c>
      <c r="L34" s="429">
        <f t="shared" si="2"/>
        <v>0.22067133815551537</v>
      </c>
      <c r="M34" s="429">
        <f t="shared" si="3"/>
        <v>0.19337219683840134</v>
      </c>
      <c r="N34" s="429">
        <f t="shared" si="9"/>
        <v>0.19760412001791311</v>
      </c>
      <c r="O34" s="429">
        <f t="shared" si="9"/>
        <v>0.19085487077534791</v>
      </c>
      <c r="P34" s="429">
        <f t="shared" si="10"/>
        <v>0.1795904279797515</v>
      </c>
      <c r="Q34" s="429">
        <f t="shared" si="10"/>
        <v>0.15345794392523365</v>
      </c>
      <c r="R34" s="429">
        <f t="shared" si="11"/>
        <v>0.13273598666388831</v>
      </c>
      <c r="S34" s="429">
        <f t="shared" si="11"/>
        <v>0.12812032443499488</v>
      </c>
      <c r="T34" s="429">
        <f t="shared" si="5"/>
        <v>0.10594953972042277</v>
      </c>
      <c r="U34" s="429">
        <f t="shared" si="5"/>
        <v>9.331273850626931E-2</v>
      </c>
      <c r="V34" s="429">
        <f t="shared" si="6"/>
        <v>8.9135214364235979E-2</v>
      </c>
      <c r="W34" s="429">
        <f t="shared" ref="W34" si="20">W22/W$27</f>
        <v>8.8886965553055225E-2</v>
      </c>
      <c r="X34" s="429">
        <f t="shared" si="6"/>
        <v>7.5167687372411779E-2</v>
      </c>
      <c r="Y34" s="429">
        <f t="shared" ref="Y34:Z34" si="21">Y22/Y$27</f>
        <v>6.9033243616789114E-2</v>
      </c>
      <c r="Z34" s="249">
        <f t="shared" si="21"/>
        <v>6.1018375648758588E-2</v>
      </c>
    </row>
    <row r="35" spans="1:26" x14ac:dyDescent="0.2">
      <c r="A35" s="193" t="s">
        <v>64</v>
      </c>
      <c r="B35" s="53">
        <v>0.10989369068469716</v>
      </c>
      <c r="C35" s="53">
        <v>0.13092301700636116</v>
      </c>
      <c r="D35" s="53">
        <v>0.10217038240070869</v>
      </c>
      <c r="E35" s="230">
        <v>0.11138613861386139</v>
      </c>
      <c r="F35" s="230">
        <v>0.10369277429402844</v>
      </c>
      <c r="G35" s="230">
        <v>0.11978635591162903</v>
      </c>
      <c r="H35" s="230">
        <v>0.12123861941258166</v>
      </c>
      <c r="I35" s="230">
        <v>0.13289443020274994</v>
      </c>
      <c r="J35" s="230">
        <v>0.14098604438343629</v>
      </c>
      <c r="K35" s="429">
        <f t="shared" si="1"/>
        <v>0.12500748368556547</v>
      </c>
      <c r="L35" s="429">
        <f t="shared" si="2"/>
        <v>0.10109629294755877</v>
      </c>
      <c r="M35" s="429">
        <f t="shared" si="3"/>
        <v>0.13281865448243266</v>
      </c>
      <c r="N35" s="429">
        <f t="shared" si="9"/>
        <v>0.12169726824899239</v>
      </c>
      <c r="O35" s="429">
        <f t="shared" si="9"/>
        <v>0.10820789548423743</v>
      </c>
      <c r="P35" s="429">
        <f t="shared" si="10"/>
        <v>9.3304187758858723E-2</v>
      </c>
      <c r="Q35" s="429">
        <f t="shared" si="10"/>
        <v>0.10473520249221184</v>
      </c>
      <c r="R35" s="429">
        <f t="shared" si="11"/>
        <v>0.10335486559699937</v>
      </c>
      <c r="S35" s="429">
        <f t="shared" si="11"/>
        <v>9.3314434207417904E-2</v>
      </c>
      <c r="T35" s="429">
        <f t="shared" si="5"/>
        <v>7.5519945448346407E-2</v>
      </c>
      <c r="U35" s="429">
        <f t="shared" si="5"/>
        <v>7.4232236961657275E-2</v>
      </c>
      <c r="V35" s="429">
        <f t="shared" si="6"/>
        <v>7.5760351777207774E-2</v>
      </c>
      <c r="W35" s="429">
        <f t="shared" ref="W35" si="22">W23/W$27</f>
        <v>5.9806127747966072E-2</v>
      </c>
      <c r="X35" s="429">
        <f t="shared" si="6"/>
        <v>5.2347623213764946E-2</v>
      </c>
      <c r="Y35" s="429">
        <f t="shared" ref="Y35:Z35" si="23">Y23/Y$27</f>
        <v>4.917436531606896E-2</v>
      </c>
      <c r="Z35" s="249">
        <f t="shared" si="23"/>
        <v>4.853415626315051E-2</v>
      </c>
    </row>
    <row r="36" spans="1:26" x14ac:dyDescent="0.2">
      <c r="A36" s="193" t="s">
        <v>65</v>
      </c>
      <c r="B36" s="53">
        <v>0.25249480672885016</v>
      </c>
      <c r="C36" s="53">
        <v>0.24879916915487471</v>
      </c>
      <c r="D36" s="53">
        <v>0.22648752399232247</v>
      </c>
      <c r="E36" s="230">
        <v>0.22236723672367237</v>
      </c>
      <c r="F36" s="230">
        <v>0.20595106356817902</v>
      </c>
      <c r="G36" s="230">
        <v>0.21582908472930323</v>
      </c>
      <c r="H36" s="230">
        <v>0.21861015379867291</v>
      </c>
      <c r="I36" s="230">
        <v>0.22116056863202052</v>
      </c>
      <c r="J36" s="230">
        <v>0.18880118965911691</v>
      </c>
      <c r="K36" s="429">
        <f t="shared" si="1"/>
        <v>0.18457762078668502</v>
      </c>
      <c r="L36" s="429">
        <f t="shared" si="2"/>
        <v>0.21931509945750452</v>
      </c>
      <c r="M36" s="429">
        <f t="shared" si="3"/>
        <v>0.21968384013444672</v>
      </c>
      <c r="N36" s="429">
        <f t="shared" si="9"/>
        <v>0.23421406180026869</v>
      </c>
      <c r="O36" s="429">
        <f t="shared" si="9"/>
        <v>0.2382277761999432</v>
      </c>
      <c r="P36" s="429">
        <f t="shared" si="10"/>
        <v>0.25966405890473998</v>
      </c>
      <c r="Q36" s="429">
        <f t="shared" si="10"/>
        <v>0.26654205607476633</v>
      </c>
      <c r="R36" s="429">
        <f t="shared" si="11"/>
        <v>0.25713690352156698</v>
      </c>
      <c r="S36" s="429">
        <f t="shared" si="11"/>
        <v>0.24545239782660053</v>
      </c>
      <c r="T36" s="429">
        <f t="shared" si="5"/>
        <v>0.26738833958404362</v>
      </c>
      <c r="U36" s="429">
        <f t="shared" si="5"/>
        <v>0.30474286752680357</v>
      </c>
      <c r="V36" s="429">
        <f t="shared" si="6"/>
        <v>0.30551484060095274</v>
      </c>
      <c r="W36" s="429">
        <f t="shared" ref="W36" si="24">W24/W$27</f>
        <v>0.31209970572961743</v>
      </c>
      <c r="X36" s="429">
        <f t="shared" si="6"/>
        <v>0.33457276173811606</v>
      </c>
      <c r="Y36" s="429">
        <f t="shared" ref="Y36:Z36" si="25">Y24/Y$27</f>
        <v>0.35178584418418563</v>
      </c>
      <c r="Z36" s="249">
        <f t="shared" si="25"/>
        <v>0.30214616355730117</v>
      </c>
    </row>
    <row r="37" spans="1:26" x14ac:dyDescent="0.2">
      <c r="A37" s="194" t="s">
        <v>68</v>
      </c>
      <c r="B37" s="56">
        <v>4.2442263044275182E-2</v>
      </c>
      <c r="C37" s="56">
        <v>3.8751135921069713E-2</v>
      </c>
      <c r="D37" s="56">
        <v>4.0208671686598751E-2</v>
      </c>
      <c r="E37" s="217">
        <v>4.5274527452745274E-2</v>
      </c>
      <c r="F37" s="217">
        <v>4.114922742735358E-2</v>
      </c>
      <c r="G37" s="217">
        <v>5.1468803107550379E-2</v>
      </c>
      <c r="H37" s="217">
        <v>4.475078442466951E-2</v>
      </c>
      <c r="I37" s="217">
        <v>4.8123980424143557E-2</v>
      </c>
      <c r="J37" s="217">
        <v>5.7481125600549077E-2</v>
      </c>
      <c r="K37" s="430">
        <f t="shared" si="1"/>
        <v>5.2864754834460875E-2</v>
      </c>
      <c r="L37" s="430">
        <f t="shared" si="2"/>
        <v>4.7976943942133816E-2</v>
      </c>
      <c r="M37" s="430">
        <f t="shared" si="3"/>
        <v>5.262328659209075E-2</v>
      </c>
      <c r="N37" s="429">
        <f t="shared" si="9"/>
        <v>4.4950738916256158E-2</v>
      </c>
      <c r="O37" s="430">
        <f t="shared" si="9"/>
        <v>4.623686452712298E-2</v>
      </c>
      <c r="P37" s="430">
        <f t="shared" si="10"/>
        <v>4.8722963644730784E-2</v>
      </c>
      <c r="Q37" s="430">
        <f t="shared" si="10"/>
        <v>4.6168224299065419E-2</v>
      </c>
      <c r="R37" s="430">
        <f t="shared" si="11"/>
        <v>4.6954226574980898E-2</v>
      </c>
      <c r="S37" s="430">
        <f t="shared" si="11"/>
        <v>5.9217261201669424E-2</v>
      </c>
      <c r="T37" s="430">
        <f t="shared" si="5"/>
        <v>5.4551653596999657E-2</v>
      </c>
      <c r="U37" s="430">
        <f t="shared" si="5"/>
        <v>5.6060330728693437E-2</v>
      </c>
      <c r="V37" s="430">
        <f t="shared" si="6"/>
        <v>4.6262367167460607E-2</v>
      </c>
      <c r="W37" s="441">
        <f t="shared" ref="W37" si="26">W25/W$27</f>
        <v>5.9979227972996367E-2</v>
      </c>
      <c r="X37" s="441">
        <f t="shared" si="6"/>
        <v>5.4389034703995337E-2</v>
      </c>
      <c r="Y37" s="441">
        <f t="shared" ref="Y37:Z37" si="27">Y25/Y$27</f>
        <v>6.0085836909871244E-2</v>
      </c>
      <c r="Z37" s="249">
        <f t="shared" si="27"/>
        <v>6.2350960864076307E-2</v>
      </c>
    </row>
    <row r="38" spans="1:26" x14ac:dyDescent="0.2">
      <c r="A38" s="478"/>
      <c r="B38" s="479"/>
      <c r="C38" s="479"/>
      <c r="D38" s="479"/>
      <c r="E38" s="480"/>
      <c r="F38" s="480"/>
      <c r="G38" s="480"/>
      <c r="H38" s="480"/>
      <c r="I38" s="480"/>
      <c r="J38" s="480"/>
      <c r="K38" s="481"/>
      <c r="L38" s="499"/>
      <c r="M38" s="493"/>
      <c r="N38" s="493">
        <f t="shared" si="9"/>
        <v>8.9565606806986115E-4</v>
      </c>
      <c r="O38" s="493"/>
      <c r="P38" s="493"/>
      <c r="Q38" s="493"/>
      <c r="R38" s="493">
        <f t="shared" si="11"/>
        <v>8.3350698062096271E-4</v>
      </c>
      <c r="S38" s="493">
        <f t="shared" si="11"/>
        <v>8.662099377903772E-4</v>
      </c>
      <c r="T38" s="493">
        <f t="shared" si="5"/>
        <v>4.2618479372655982E-4</v>
      </c>
      <c r="U38" s="493">
        <f t="shared" si="5"/>
        <v>0</v>
      </c>
      <c r="V38" s="493">
        <f t="shared" si="6"/>
        <v>1.1909124221326493E-3</v>
      </c>
      <c r="W38" s="493">
        <f t="shared" ref="W38" si="28">W26/W$27</f>
        <v>8.6550112515146273E-4</v>
      </c>
      <c r="X38" s="493">
        <f t="shared" si="6"/>
        <v>8.0198308544765235E-4</v>
      </c>
      <c r="Y38" s="493">
        <f t="shared" ref="Y38:Z38" si="29">Y26/Y$27</f>
        <v>0</v>
      </c>
      <c r="Z38" s="494">
        <f t="shared" si="29"/>
        <v>6.3122457567681297E-4</v>
      </c>
    </row>
    <row r="39" spans="1:26" ht="13.5" thickBot="1" x14ac:dyDescent="0.25">
      <c r="A39" s="189" t="s">
        <v>20</v>
      </c>
      <c r="B39" s="116">
        <v>1</v>
      </c>
      <c r="C39" s="116">
        <v>1</v>
      </c>
      <c r="D39" s="116">
        <v>1</v>
      </c>
      <c r="E39" s="231">
        <v>1</v>
      </c>
      <c r="F39" s="231">
        <v>1</v>
      </c>
      <c r="G39" s="231">
        <v>1</v>
      </c>
      <c r="H39" s="231">
        <v>1</v>
      </c>
      <c r="I39" s="231">
        <v>1</v>
      </c>
      <c r="J39" s="231">
        <v>1</v>
      </c>
      <c r="K39" s="431">
        <f>K27/$K$27</f>
        <v>1</v>
      </c>
      <c r="L39" s="500">
        <f>L27/$L$27</f>
        <v>1</v>
      </c>
      <c r="M39" s="431">
        <f>M27/$M$27</f>
        <v>1</v>
      </c>
      <c r="N39" s="431">
        <f t="shared" si="9"/>
        <v>1</v>
      </c>
      <c r="O39" s="431">
        <f t="shared" si="9"/>
        <v>1</v>
      </c>
      <c r="P39" s="431">
        <f t="shared" si="10"/>
        <v>1</v>
      </c>
      <c r="Q39" s="431">
        <f t="shared" si="10"/>
        <v>1</v>
      </c>
      <c r="R39" s="431">
        <f t="shared" si="11"/>
        <v>1</v>
      </c>
      <c r="S39" s="431">
        <f t="shared" si="11"/>
        <v>1</v>
      </c>
      <c r="T39" s="431">
        <f t="shared" si="5"/>
        <v>1</v>
      </c>
      <c r="U39" s="431">
        <f t="shared" si="5"/>
        <v>1</v>
      </c>
      <c r="V39" s="431">
        <f t="shared" si="6"/>
        <v>1</v>
      </c>
      <c r="W39" s="431">
        <f t="shared" ref="W39" si="30">W27/W$27</f>
        <v>1</v>
      </c>
      <c r="X39" s="431">
        <f t="shared" si="6"/>
        <v>1</v>
      </c>
      <c r="Y39" s="431">
        <f t="shared" ref="Y39:Z39" si="31">Y27/Y$27</f>
        <v>1</v>
      </c>
      <c r="Z39" s="495">
        <f t="shared" si="31"/>
        <v>1</v>
      </c>
    </row>
    <row r="40" spans="1:26" ht="13.5" thickBot="1" x14ac:dyDescent="0.25">
      <c r="A40" s="35" t="s">
        <v>96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465"/>
      <c r="M40" s="465"/>
      <c r="N40" s="465"/>
      <c r="O40" s="465"/>
      <c r="P40" s="465"/>
      <c r="Q40" s="465"/>
      <c r="R40" s="465"/>
      <c r="S40" s="465"/>
      <c r="T40" s="465"/>
      <c r="U40" s="465"/>
      <c r="V40" s="465"/>
      <c r="W40" s="465"/>
      <c r="X40" s="465"/>
      <c r="Y40" s="465"/>
      <c r="Z40" s="433"/>
    </row>
    <row r="41" spans="1:26" x14ac:dyDescent="0.2">
      <c r="A41" s="195" t="s">
        <v>60</v>
      </c>
      <c r="B41" s="141">
        <v>1.0248447204968945</v>
      </c>
      <c r="C41" s="141">
        <v>1.008</v>
      </c>
      <c r="D41" s="141">
        <v>1.0918727915194346</v>
      </c>
      <c r="E41" s="232">
        <v>1.0627450980392157</v>
      </c>
      <c r="F41" s="232">
        <v>1.0338983050847457</v>
      </c>
      <c r="G41" s="232">
        <v>1.0211267605633803</v>
      </c>
      <c r="H41" s="232">
        <v>1.0334728033472804</v>
      </c>
      <c r="I41" s="232">
        <v>1.0133928571428572</v>
      </c>
      <c r="J41" s="232">
        <v>1</v>
      </c>
      <c r="K41" s="232">
        <f t="shared" ref="K41:P41" si="32">K5/K17</f>
        <v>1</v>
      </c>
      <c r="L41" s="232">
        <f t="shared" si="32"/>
        <v>1</v>
      </c>
      <c r="M41" s="232">
        <f t="shared" si="32"/>
        <v>1</v>
      </c>
      <c r="N41" s="502">
        <f t="shared" si="32"/>
        <v>1</v>
      </c>
      <c r="O41" s="502">
        <f t="shared" si="32"/>
        <v>1</v>
      </c>
      <c r="P41" s="502">
        <f t="shared" si="32"/>
        <v>1</v>
      </c>
      <c r="Q41" s="502">
        <f>Q5/Q17</f>
        <v>1</v>
      </c>
      <c r="R41" s="502">
        <f>R5/R17</f>
        <v>1</v>
      </c>
      <c r="S41" s="502">
        <f>S5/S17</f>
        <v>1.0476190476190477</v>
      </c>
      <c r="T41" s="502">
        <f>T5/T17</f>
        <v>1</v>
      </c>
      <c r="U41" s="502" t="s">
        <v>148</v>
      </c>
      <c r="V41" s="502">
        <f t="shared" ref="V41:Z51" si="33">V5/V17</f>
        <v>1</v>
      </c>
      <c r="W41" s="502" t="s">
        <v>148</v>
      </c>
      <c r="X41" s="502">
        <f t="shared" si="33"/>
        <v>1</v>
      </c>
      <c r="Y41" s="502">
        <f t="shared" ref="Y41:Z41" si="34">Y5/Y17</f>
        <v>1</v>
      </c>
      <c r="Z41" s="542">
        <f t="shared" si="34"/>
        <v>1.0689655172413792</v>
      </c>
    </row>
    <row r="42" spans="1:26" x14ac:dyDescent="0.2">
      <c r="A42" s="187" t="s">
        <v>61</v>
      </c>
      <c r="B42" s="143">
        <v>1.1177849399355406</v>
      </c>
      <c r="C42" s="143">
        <v>1.109478324761205</v>
      </c>
      <c r="D42" s="143">
        <v>1.0752958049480101</v>
      </c>
      <c r="E42" s="233">
        <v>1.0927553804183086</v>
      </c>
      <c r="F42" s="233">
        <v>1.1085481682496607</v>
      </c>
      <c r="G42" s="233">
        <v>1.094224924012158</v>
      </c>
      <c r="H42" s="233">
        <v>1.0654627539503385</v>
      </c>
      <c r="I42" s="233">
        <v>1.0851433536055604</v>
      </c>
      <c r="J42" s="233">
        <v>1.0573028866867729</v>
      </c>
      <c r="K42" s="233">
        <f t="shared" ref="K42:M49" si="35">K6/K18</f>
        <v>1.0270413573700954</v>
      </c>
      <c r="L42" s="233">
        <f t="shared" si="35"/>
        <v>1.0241299303944316</v>
      </c>
      <c r="M42" s="233">
        <f t="shared" si="35"/>
        <v>1.0340807174887892</v>
      </c>
      <c r="N42" s="233">
        <f t="shared" ref="N42:O51" si="36">N6/N18</f>
        <v>1.032520325203252</v>
      </c>
      <c r="O42" s="233">
        <f t="shared" si="36"/>
        <v>1.026386404293381</v>
      </c>
      <c r="P42" s="233">
        <f t="shared" ref="P42:Q49" si="37">P6/P18</f>
        <v>1.0386029411764706</v>
      </c>
      <c r="Q42" s="233">
        <f t="shared" si="37"/>
        <v>1.0238095238095237</v>
      </c>
      <c r="R42" s="233">
        <f t="shared" ref="R42:S51" si="38">R6/R18</f>
        <v>1.0258780036968578</v>
      </c>
      <c r="S42" s="233">
        <f t="shared" si="38"/>
        <v>1.0256410256410255</v>
      </c>
      <c r="T42" s="233">
        <f t="shared" ref="T42:U51" si="39">T6/T18</f>
        <v>1.0450660450660452</v>
      </c>
      <c r="U42" s="233">
        <f t="shared" si="39"/>
        <v>1.0323232323232323</v>
      </c>
      <c r="V42" s="233">
        <f t="shared" si="33"/>
        <v>1.0414462081128748</v>
      </c>
      <c r="W42" s="233">
        <f t="shared" ref="W42" si="40">W6/W18</f>
        <v>1.0629107981220658</v>
      </c>
      <c r="X42" s="233">
        <f t="shared" si="33"/>
        <v>1.0734883720930233</v>
      </c>
      <c r="Y42" s="233">
        <f t="shared" ref="Y42:Z42" si="41">Y6/Y18</f>
        <v>1.0572232645403377</v>
      </c>
      <c r="Z42" s="144">
        <f t="shared" si="41"/>
        <v>1.172699069286453</v>
      </c>
    </row>
    <row r="43" spans="1:26" x14ac:dyDescent="0.2">
      <c r="A43" s="187" t="s">
        <v>67</v>
      </c>
      <c r="B43" s="143">
        <v>1.0932703659976388</v>
      </c>
      <c r="C43" s="143">
        <v>1.0693069306930694</v>
      </c>
      <c r="D43" s="143">
        <v>1.0974967061923584</v>
      </c>
      <c r="E43" s="233">
        <v>1.0779054916985951</v>
      </c>
      <c r="F43" s="233">
        <v>1.0679320679320679</v>
      </c>
      <c r="G43" s="233">
        <v>1.0720823798627002</v>
      </c>
      <c r="H43" s="233">
        <v>1.0386533665835411</v>
      </c>
      <c r="I43" s="233">
        <v>1.0388513513513513</v>
      </c>
      <c r="J43" s="233">
        <v>1.0278637770897834</v>
      </c>
      <c r="K43" s="233">
        <f t="shared" si="35"/>
        <v>1.0189473684210526</v>
      </c>
      <c r="L43" s="233">
        <f t="shared" si="35"/>
        <v>1.0256410256410255</v>
      </c>
      <c r="M43" s="233">
        <f t="shared" si="35"/>
        <v>1.0266940451745379</v>
      </c>
      <c r="N43" s="233">
        <f t="shared" si="36"/>
        <v>1.0109409190371992</v>
      </c>
      <c r="O43" s="233">
        <f t="shared" si="36"/>
        <v>1.0091324200913243</v>
      </c>
      <c r="P43" s="233">
        <f t="shared" si="37"/>
        <v>1.0167865707434052</v>
      </c>
      <c r="Q43" s="233">
        <f t="shared" si="37"/>
        <v>1.0063291139240507</v>
      </c>
      <c r="R43" s="233">
        <f t="shared" si="38"/>
        <v>1.0154440154440154</v>
      </c>
      <c r="S43" s="233">
        <f t="shared" si="38"/>
        <v>1.0199004975124377</v>
      </c>
      <c r="T43" s="233">
        <f t="shared" si="39"/>
        <v>1.0130718954248366</v>
      </c>
      <c r="U43" s="233">
        <f t="shared" si="39"/>
        <v>1</v>
      </c>
      <c r="V43" s="233">
        <f t="shared" si="33"/>
        <v>1.0188679245283019</v>
      </c>
      <c r="W43" s="233">
        <f t="shared" ref="W43" si="42">W7/W19</f>
        <v>1.0327102803738317</v>
      </c>
      <c r="X43" s="233">
        <f t="shared" si="33"/>
        <v>1.0278688524590165</v>
      </c>
      <c r="Y43" s="233">
        <f t="shared" ref="Y43:Z43" si="43">Y7/Y19</f>
        <v>1.0658064516129033</v>
      </c>
      <c r="Z43" s="144">
        <f t="shared" si="43"/>
        <v>1.1346444780635401</v>
      </c>
    </row>
    <row r="44" spans="1:26" x14ac:dyDescent="0.2">
      <c r="A44" s="187" t="s">
        <v>66</v>
      </c>
      <c r="B44" s="143">
        <v>1.3985809682804675</v>
      </c>
      <c r="C44" s="143">
        <v>1.2337201805286913</v>
      </c>
      <c r="D44" s="143">
        <v>1.3152542372881355</v>
      </c>
      <c r="E44" s="233">
        <v>1.2864666819326769</v>
      </c>
      <c r="F44" s="233">
        <v>1.3464391691394659</v>
      </c>
      <c r="G44" s="233">
        <v>1.3294522360412808</v>
      </c>
      <c r="H44" s="233">
        <v>1.2704728950403692</v>
      </c>
      <c r="I44" s="233">
        <v>1.2343394077448746</v>
      </c>
      <c r="J44" s="233">
        <v>1.225868725868726</v>
      </c>
      <c r="K44" s="233">
        <f t="shared" si="35"/>
        <v>1.1611137553545932</v>
      </c>
      <c r="L44" s="233">
        <f t="shared" si="35"/>
        <v>1.2560537041476865</v>
      </c>
      <c r="M44" s="233">
        <f t="shared" si="35"/>
        <v>1.2051168945743274</v>
      </c>
      <c r="N44" s="233">
        <f t="shared" si="36"/>
        <v>1.2688851105173671</v>
      </c>
      <c r="O44" s="233">
        <f t="shared" si="36"/>
        <v>1.2609970674486803</v>
      </c>
      <c r="P44" s="233">
        <f t="shared" si="37"/>
        <v>1.2971830985915493</v>
      </c>
      <c r="Q44" s="233">
        <f t="shared" si="37"/>
        <v>1.3118231046931408</v>
      </c>
      <c r="R44" s="233">
        <f t="shared" si="38"/>
        <v>1.3089412302766978</v>
      </c>
      <c r="S44" s="233">
        <f t="shared" si="38"/>
        <v>1.2657004830917875</v>
      </c>
      <c r="T44" s="233">
        <f t="shared" si="39"/>
        <v>1.2566964285714286</v>
      </c>
      <c r="U44" s="233">
        <f t="shared" si="39"/>
        <v>1.2649456521739131</v>
      </c>
      <c r="V44" s="233">
        <f t="shared" si="33"/>
        <v>1.3252519749387088</v>
      </c>
      <c r="W44" s="233">
        <f t="shared" ref="W44" si="44">W8/W20</f>
        <v>1.3507737656595431</v>
      </c>
      <c r="X44" s="233">
        <f t="shared" si="33"/>
        <v>1.442233502538071</v>
      </c>
      <c r="Y44" s="233">
        <f t="shared" ref="Y44:Z44" si="45">Y8/Y20</f>
        <v>1.4278544542032623</v>
      </c>
      <c r="Z44" s="144">
        <f t="shared" si="45"/>
        <v>1.5573175391669851</v>
      </c>
    </row>
    <row r="45" spans="1:26" x14ac:dyDescent="0.2">
      <c r="A45" s="187" t="s">
        <v>63</v>
      </c>
      <c r="B45" s="143">
        <v>1.5649809679173463</v>
      </c>
      <c r="C45" s="143">
        <v>1.0197044334975369</v>
      </c>
      <c r="D45" s="143">
        <v>1.017170891251022</v>
      </c>
      <c r="E45" s="233">
        <v>1.016282225237449</v>
      </c>
      <c r="F45" s="233">
        <v>1.0187590187590188</v>
      </c>
      <c r="G45" s="233">
        <v>1.1104014598540146</v>
      </c>
      <c r="H45" s="233">
        <v>1.0803657362848893</v>
      </c>
      <c r="I45" s="233">
        <v>1.078974358974359</v>
      </c>
      <c r="J45" s="233">
        <v>1.0038314176245211</v>
      </c>
      <c r="K45" s="233">
        <f t="shared" si="35"/>
        <v>1.0028169014084507</v>
      </c>
      <c r="L45" s="233">
        <f t="shared" si="35"/>
        <v>1.04869913275517</v>
      </c>
      <c r="M45" s="233">
        <f t="shared" si="35"/>
        <v>1.0321361058601135</v>
      </c>
      <c r="N45" s="233">
        <f t="shared" si="36"/>
        <v>1.0341402855369335</v>
      </c>
      <c r="O45" s="233">
        <f t="shared" si="36"/>
        <v>1.0262068965517241</v>
      </c>
      <c r="P45" s="233">
        <f t="shared" si="37"/>
        <v>1.0232249502322495</v>
      </c>
      <c r="Q45" s="233">
        <f t="shared" si="37"/>
        <v>1.0232220609579099</v>
      </c>
      <c r="R45" s="233">
        <f t="shared" si="38"/>
        <v>1.0208159866777686</v>
      </c>
      <c r="S45" s="233">
        <f t="shared" si="38"/>
        <v>1.0151821862348178</v>
      </c>
      <c r="T45" s="233">
        <f t="shared" si="39"/>
        <v>1.0109890109890109</v>
      </c>
      <c r="U45" s="233">
        <f t="shared" si="39"/>
        <v>1.024547803617571</v>
      </c>
      <c r="V45" s="233">
        <f t="shared" si="33"/>
        <v>1.014903129657228</v>
      </c>
      <c r="W45" s="233">
        <f t="shared" ref="W45" si="46">W9/W21</f>
        <v>1.0354838709677419</v>
      </c>
      <c r="X45" s="233">
        <f t="shared" si="33"/>
        <v>1.0543293718166384</v>
      </c>
      <c r="Y45" s="233">
        <f t="shared" ref="Y45:Z45" si="47">Y9/Y21</f>
        <v>1.056420233463035</v>
      </c>
      <c r="Z45" s="144">
        <f t="shared" si="47"/>
        <v>1.1035087719298247</v>
      </c>
    </row>
    <row r="46" spans="1:26" x14ac:dyDescent="0.2">
      <c r="A46" s="187" t="s">
        <v>62</v>
      </c>
      <c r="B46" s="143">
        <v>1.2591517293612724</v>
      </c>
      <c r="C46" s="143">
        <v>1.2490820073439413</v>
      </c>
      <c r="D46" s="143">
        <v>1.1515572858731924</v>
      </c>
      <c r="E46" s="233">
        <v>1.1425896201177099</v>
      </c>
      <c r="F46" s="233">
        <v>1.219616776095404</v>
      </c>
      <c r="G46" s="233">
        <v>1.1319637238571165</v>
      </c>
      <c r="H46" s="233">
        <v>1.1443502267797279</v>
      </c>
      <c r="I46" s="233">
        <v>1.1403877598691894</v>
      </c>
      <c r="J46" s="233">
        <v>1.0889190236342503</v>
      </c>
      <c r="K46" s="233">
        <f t="shared" si="35"/>
        <v>1.0742844161744662</v>
      </c>
      <c r="L46" s="233">
        <f t="shared" si="35"/>
        <v>1.046606914212548</v>
      </c>
      <c r="M46" s="233">
        <f t="shared" si="35"/>
        <v>1.0488864747419882</v>
      </c>
      <c r="N46" s="233">
        <f t="shared" si="36"/>
        <v>1.0753541076487252</v>
      </c>
      <c r="O46" s="233">
        <f t="shared" si="36"/>
        <v>1.0735119047619048</v>
      </c>
      <c r="P46" s="233">
        <f t="shared" si="37"/>
        <v>1.0992953235105702</v>
      </c>
      <c r="Q46" s="233">
        <f t="shared" si="37"/>
        <v>1.0438489646772229</v>
      </c>
      <c r="R46" s="233">
        <f t="shared" si="38"/>
        <v>1.0455259026687598</v>
      </c>
      <c r="S46" s="233">
        <f t="shared" si="38"/>
        <v>1.0442532267977873</v>
      </c>
      <c r="T46" s="233">
        <f t="shared" si="39"/>
        <v>1.0410297666934836</v>
      </c>
      <c r="U46" s="233">
        <f t="shared" si="39"/>
        <v>1.0399221032132424</v>
      </c>
      <c r="V46" s="233">
        <f t="shared" si="33"/>
        <v>1.0298047276464544</v>
      </c>
      <c r="W46" s="233">
        <f t="shared" ref="W46" si="48">W10/W22</f>
        <v>1.0671859785783837</v>
      </c>
      <c r="X46" s="233">
        <f t="shared" si="33"/>
        <v>1.0572259941804074</v>
      </c>
      <c r="Y46" s="233">
        <f t="shared" ref="Y46:Z46" si="49">Y10/Y22</f>
        <v>1.0400421496311907</v>
      </c>
      <c r="Z46" s="144">
        <f t="shared" si="49"/>
        <v>1.1287356321839082</v>
      </c>
    </row>
    <row r="47" spans="1:26" x14ac:dyDescent="0.2">
      <c r="A47" s="187" t="s">
        <v>64</v>
      </c>
      <c r="B47" s="143">
        <v>0.69458858413639735</v>
      </c>
      <c r="C47" s="143">
        <v>1.0674268715914725</v>
      </c>
      <c r="D47" s="143">
        <v>1.0891136801541426</v>
      </c>
      <c r="E47" s="233">
        <v>1.0674747474747475</v>
      </c>
      <c r="F47" s="233">
        <v>1.0422924901185771</v>
      </c>
      <c r="G47" s="233">
        <v>1.0591811917308471</v>
      </c>
      <c r="H47" s="233">
        <v>1.0572761985574883</v>
      </c>
      <c r="I47" s="233">
        <v>1.0451556334940815</v>
      </c>
      <c r="J47" s="233">
        <v>1.0275862068965518</v>
      </c>
      <c r="K47" s="233">
        <f t="shared" si="35"/>
        <v>1.0129310344827587</v>
      </c>
      <c r="L47" s="233">
        <f t="shared" si="35"/>
        <v>1.0229178311906093</v>
      </c>
      <c r="M47" s="233">
        <f t="shared" si="35"/>
        <v>1.0233293792012654</v>
      </c>
      <c r="N47" s="233">
        <f t="shared" si="36"/>
        <v>1.0252989880404784</v>
      </c>
      <c r="O47" s="233">
        <f t="shared" si="36"/>
        <v>1.0230971128608923</v>
      </c>
      <c r="P47" s="233">
        <f t="shared" si="37"/>
        <v>1.0123304562268804</v>
      </c>
      <c r="Q47" s="233">
        <f t="shared" si="37"/>
        <v>1.024390243902439</v>
      </c>
      <c r="R47" s="233">
        <f t="shared" si="38"/>
        <v>1.0376344086021505</v>
      </c>
      <c r="S47" s="233">
        <f t="shared" si="38"/>
        <v>1.0202531645569621</v>
      </c>
      <c r="T47" s="233">
        <f t="shared" si="39"/>
        <v>1.0158013544018059</v>
      </c>
      <c r="U47" s="233">
        <f t="shared" si="39"/>
        <v>1.02203182374541</v>
      </c>
      <c r="V47" s="233">
        <f t="shared" si="33"/>
        <v>1.0157194679564692</v>
      </c>
      <c r="W47" s="233">
        <f t="shared" ref="W47" si="50">W11/W23</f>
        <v>1.0318379160636759</v>
      </c>
      <c r="X47" s="233">
        <f t="shared" si="33"/>
        <v>1.0362116991643453</v>
      </c>
      <c r="Y47" s="233">
        <f t="shared" ref="Y47:Z47" si="51">Y11/Y23</f>
        <v>1.044378698224852</v>
      </c>
      <c r="Z47" s="144">
        <f t="shared" si="51"/>
        <v>1.1112716763005781</v>
      </c>
    </row>
    <row r="48" spans="1:26" x14ac:dyDescent="0.2">
      <c r="A48" s="187" t="s">
        <v>65</v>
      </c>
      <c r="B48" s="143">
        <v>1.3294079690272624</v>
      </c>
      <c r="C48" s="143">
        <v>1.2348030263501173</v>
      </c>
      <c r="D48" s="143">
        <v>1.2909604519774012</v>
      </c>
      <c r="E48" s="233">
        <v>1.2220198340416919</v>
      </c>
      <c r="F48" s="233">
        <v>1.2618905472636817</v>
      </c>
      <c r="G48" s="233">
        <v>1.2292463442069741</v>
      </c>
      <c r="H48" s="233">
        <v>1.207529411764706</v>
      </c>
      <c r="I48" s="233">
        <v>1.2312961011591148</v>
      </c>
      <c r="J48" s="233">
        <v>1.1281429869736443</v>
      </c>
      <c r="K48" s="233">
        <f t="shared" si="35"/>
        <v>1.085306519623743</v>
      </c>
      <c r="L48" s="233">
        <f t="shared" si="35"/>
        <v>1.0832259726874516</v>
      </c>
      <c r="M48" s="233">
        <f t="shared" si="35"/>
        <v>1.0932345206789387</v>
      </c>
      <c r="N48" s="233">
        <f t="shared" si="36"/>
        <v>1.1226099426386233</v>
      </c>
      <c r="O48" s="233">
        <f t="shared" si="36"/>
        <v>1.1137339055793991</v>
      </c>
      <c r="P48" s="233">
        <f t="shared" si="37"/>
        <v>1.1145325653522375</v>
      </c>
      <c r="Q48" s="233">
        <f t="shared" si="37"/>
        <v>1.1276297335203367</v>
      </c>
      <c r="R48" s="233">
        <f t="shared" si="38"/>
        <v>1.119935170178282</v>
      </c>
      <c r="S48" s="233">
        <f t="shared" si="38"/>
        <v>1.1270452358036573</v>
      </c>
      <c r="T48" s="233">
        <f t="shared" si="39"/>
        <v>1.0889384762511953</v>
      </c>
      <c r="U48" s="233">
        <f t="shared" si="39"/>
        <v>1.0906380441264163</v>
      </c>
      <c r="V48" s="233">
        <f t="shared" si="33"/>
        <v>1.0896551724137931</v>
      </c>
      <c r="W48" s="233">
        <f t="shared" ref="W48" si="52">W12/W24</f>
        <v>1.1003882418191901</v>
      </c>
      <c r="X48" s="233">
        <f t="shared" si="33"/>
        <v>1.1300937023316626</v>
      </c>
      <c r="Y48" s="233">
        <f t="shared" ref="Y48:Z48" si="53">Y12/Y24</f>
        <v>1.1581885856079404</v>
      </c>
      <c r="Z48" s="144">
        <f t="shared" si="53"/>
        <v>1.217966573816156</v>
      </c>
    </row>
    <row r="49" spans="1:26" x14ac:dyDescent="0.2">
      <c r="A49" s="188" t="s">
        <v>68</v>
      </c>
      <c r="B49" s="145">
        <v>1.1142034548944337</v>
      </c>
      <c r="C49" s="145">
        <v>1.1055276381909547</v>
      </c>
      <c r="D49" s="145">
        <v>1.1138310893512853</v>
      </c>
      <c r="E49" s="234">
        <v>1.1341948310139165</v>
      </c>
      <c r="F49" s="234">
        <v>1.1025896414342629</v>
      </c>
      <c r="G49" s="234">
        <v>1.1783018867924528</v>
      </c>
      <c r="H49" s="234">
        <v>1.1298850574712644</v>
      </c>
      <c r="I49" s="234">
        <v>1.0920096852300243</v>
      </c>
      <c r="J49" s="234">
        <v>1.1124378109452737</v>
      </c>
      <c r="K49" s="234">
        <f t="shared" si="35"/>
        <v>1.0939977349943375</v>
      </c>
      <c r="L49" s="234">
        <f t="shared" si="35"/>
        <v>1.1012956419316844</v>
      </c>
      <c r="M49" s="234">
        <f t="shared" si="35"/>
        <v>1.1067864271457086</v>
      </c>
      <c r="N49" s="234">
        <f t="shared" si="36"/>
        <v>1.1145703611457036</v>
      </c>
      <c r="O49" s="234">
        <f t="shared" si="36"/>
        <v>1.1105651105651106</v>
      </c>
      <c r="P49" s="234">
        <f t="shared" si="37"/>
        <v>1.1334120425029517</v>
      </c>
      <c r="Q49" s="234">
        <f t="shared" si="37"/>
        <v>1.1282051282051282</v>
      </c>
      <c r="R49" s="234">
        <f t="shared" si="38"/>
        <v>1.1227810650887573</v>
      </c>
      <c r="S49" s="234">
        <f t="shared" si="38"/>
        <v>1.1117021276595744</v>
      </c>
      <c r="T49" s="234">
        <f t="shared" si="39"/>
        <v>1.109375</v>
      </c>
      <c r="U49" s="234">
        <f t="shared" si="39"/>
        <v>1.0956239870340356</v>
      </c>
      <c r="V49" s="234">
        <f t="shared" si="33"/>
        <v>1.1366336633663365</v>
      </c>
      <c r="W49" s="234">
        <f t="shared" ref="W49" si="54">W13/W25</f>
        <v>1.3246753246753247</v>
      </c>
      <c r="X49" s="234">
        <f t="shared" si="33"/>
        <v>1.2345844504021448</v>
      </c>
      <c r="Y49" s="234">
        <f t="shared" ref="Y49:Z49" si="55">Y13/Y25</f>
        <v>1.3135593220338984</v>
      </c>
      <c r="Z49" s="146">
        <f t="shared" si="55"/>
        <v>1.2890888638920135</v>
      </c>
    </row>
    <row r="50" spans="1:26" x14ac:dyDescent="0.2">
      <c r="A50" s="473"/>
      <c r="B50" s="482"/>
      <c r="C50" s="482"/>
      <c r="D50" s="482"/>
      <c r="E50" s="483"/>
      <c r="F50" s="483"/>
      <c r="G50" s="483"/>
      <c r="H50" s="483"/>
      <c r="I50" s="483"/>
      <c r="J50" s="483"/>
      <c r="K50" s="483"/>
      <c r="L50" s="483"/>
      <c r="M50" s="483"/>
      <c r="N50" s="483">
        <f t="shared" si="36"/>
        <v>1</v>
      </c>
      <c r="O50" s="483"/>
      <c r="P50" s="483"/>
      <c r="Q50" s="483"/>
      <c r="R50" s="483">
        <f t="shared" si="38"/>
        <v>1</v>
      </c>
      <c r="S50" s="483">
        <f t="shared" si="38"/>
        <v>1</v>
      </c>
      <c r="T50" s="483">
        <f t="shared" si="39"/>
        <v>1</v>
      </c>
      <c r="U50" s="483">
        <v>0</v>
      </c>
      <c r="V50" s="483">
        <f t="shared" si="33"/>
        <v>1</v>
      </c>
      <c r="W50" s="483">
        <f t="shared" ref="W50" si="56">W14/W26</f>
        <v>1</v>
      </c>
      <c r="X50" s="483">
        <f t="shared" si="33"/>
        <v>1</v>
      </c>
      <c r="Y50" s="483"/>
      <c r="Z50" s="557">
        <f t="shared" si="33"/>
        <v>1</v>
      </c>
    </row>
    <row r="51" spans="1:26" ht="13.5" thickBot="1" x14ac:dyDescent="0.25">
      <c r="A51" s="189" t="s">
        <v>20</v>
      </c>
      <c r="B51" s="147">
        <v>1.4623436927212741</v>
      </c>
      <c r="C51" s="147">
        <v>1.3773854342463976</v>
      </c>
      <c r="D51" s="147">
        <v>1.3884049411880506</v>
      </c>
      <c r="E51" s="235">
        <v>1.3253825382538253</v>
      </c>
      <c r="F51" s="235">
        <v>1.3424134105756194</v>
      </c>
      <c r="G51" s="235">
        <v>1.31133770332605</v>
      </c>
      <c r="H51" s="235">
        <v>1.284553263721002</v>
      </c>
      <c r="I51" s="235">
        <v>1.3179328827779073</v>
      </c>
      <c r="J51" s="235">
        <v>1.2147105925417525</v>
      </c>
      <c r="K51" s="235">
        <f>K15/K27</f>
        <v>1.1313536490450817</v>
      </c>
      <c r="L51" s="235">
        <f>L15/L27</f>
        <v>1.1654046112115732</v>
      </c>
      <c r="M51" s="235">
        <f>M15/M27</f>
        <v>1.163069166535371</v>
      </c>
      <c r="N51" s="503">
        <f t="shared" si="36"/>
        <v>1.1955888938647559</v>
      </c>
      <c r="O51" s="503">
        <f t="shared" si="36"/>
        <v>1.1923317239420619</v>
      </c>
      <c r="P51" s="503">
        <f>P15/P27</f>
        <v>1.2011044638748274</v>
      </c>
      <c r="Q51" s="503">
        <f>Q15/Q27</f>
        <v>1.203613707165109</v>
      </c>
      <c r="R51" s="503">
        <f t="shared" si="38"/>
        <v>1.2075432381746196</v>
      </c>
      <c r="S51" s="503">
        <f t="shared" si="38"/>
        <v>1.1840302386014647</v>
      </c>
      <c r="T51" s="503">
        <f t="shared" si="39"/>
        <v>1.1714115240368224</v>
      </c>
      <c r="U51" s="503">
        <f t="shared" si="39"/>
        <v>1.1675449754679266</v>
      </c>
      <c r="V51" s="503">
        <f t="shared" si="33"/>
        <v>1.1954012458776109</v>
      </c>
      <c r="W51" s="503">
        <f t="shared" ref="W51" si="57">W15/W27</f>
        <v>1.2289250476025619</v>
      </c>
      <c r="X51" s="503">
        <f t="shared" si="33"/>
        <v>1.2763925342665501</v>
      </c>
      <c r="Y51" s="503">
        <f t="shared" ref="Y51:Z51" si="58">Y15/Y27</f>
        <v>1.2897359423874299</v>
      </c>
      <c r="Z51" s="142">
        <f t="shared" si="58"/>
        <v>1.3240987515780613</v>
      </c>
    </row>
    <row r="52" spans="1:26" ht="13.5" thickBot="1" x14ac:dyDescent="0.25">
      <c r="A52" s="35" t="s">
        <v>58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465"/>
      <c r="M52" s="465"/>
      <c r="N52" s="465"/>
      <c r="O52" s="465"/>
      <c r="P52" s="465"/>
      <c r="Q52" s="465"/>
      <c r="R52" s="465"/>
      <c r="S52" s="465"/>
      <c r="T52" s="465"/>
      <c r="U52" s="465"/>
      <c r="V52" s="465"/>
      <c r="W52" s="465"/>
      <c r="X52" s="465"/>
      <c r="Y52" s="465"/>
      <c r="Z52" s="433"/>
    </row>
    <row r="53" spans="1:26" x14ac:dyDescent="0.2">
      <c r="A53" s="195" t="s">
        <v>60</v>
      </c>
      <c r="B53" s="148" t="s">
        <v>73</v>
      </c>
      <c r="C53" s="148" t="s">
        <v>73</v>
      </c>
      <c r="D53" s="148" t="s">
        <v>73</v>
      </c>
      <c r="E53" s="236" t="s">
        <v>73</v>
      </c>
      <c r="F53" s="108" t="s">
        <v>73</v>
      </c>
      <c r="G53" s="108">
        <v>216</v>
      </c>
      <c r="H53" s="108">
        <v>165</v>
      </c>
      <c r="I53" s="224">
        <v>198</v>
      </c>
      <c r="J53" s="224">
        <v>117</v>
      </c>
      <c r="K53" s="224">
        <v>85</v>
      </c>
      <c r="L53" s="224">
        <v>106</v>
      </c>
      <c r="M53" s="224">
        <v>106</v>
      </c>
      <c r="N53" s="224">
        <v>79</v>
      </c>
      <c r="O53" s="224">
        <v>40</v>
      </c>
      <c r="P53" s="224">
        <v>63</v>
      </c>
      <c r="Q53" s="224">
        <v>60</v>
      </c>
      <c r="R53" s="224">
        <v>42</v>
      </c>
      <c r="S53" s="224">
        <v>15</v>
      </c>
      <c r="T53" s="224">
        <v>23</v>
      </c>
      <c r="U53" s="224">
        <v>0</v>
      </c>
      <c r="V53" s="224">
        <v>43</v>
      </c>
      <c r="W53" s="547">
        <v>0</v>
      </c>
      <c r="X53" s="547">
        <v>50</v>
      </c>
      <c r="Y53" s="547">
        <v>27</v>
      </c>
      <c r="Z53" s="150">
        <v>58</v>
      </c>
    </row>
    <row r="54" spans="1:26" x14ac:dyDescent="0.2">
      <c r="A54" s="187" t="s">
        <v>61</v>
      </c>
      <c r="B54" s="78" t="s">
        <v>73</v>
      </c>
      <c r="C54" s="78" t="s">
        <v>73</v>
      </c>
      <c r="D54" s="78" t="s">
        <v>73</v>
      </c>
      <c r="E54" s="225" t="s">
        <v>73</v>
      </c>
      <c r="F54" s="78" t="s">
        <v>73</v>
      </c>
      <c r="G54" s="78">
        <v>2205</v>
      </c>
      <c r="H54" s="78">
        <v>2151</v>
      </c>
      <c r="I54" s="225">
        <v>1805</v>
      </c>
      <c r="J54" s="225">
        <v>1909</v>
      </c>
      <c r="K54" s="225">
        <v>1690</v>
      </c>
      <c r="L54" s="225">
        <v>2004</v>
      </c>
      <c r="M54" s="225">
        <v>2127</v>
      </c>
      <c r="N54" s="225">
        <v>2128</v>
      </c>
      <c r="O54" s="225">
        <v>2108</v>
      </c>
      <c r="P54" s="225">
        <v>2049</v>
      </c>
      <c r="Q54" s="225">
        <v>1639</v>
      </c>
      <c r="R54" s="225">
        <v>1553</v>
      </c>
      <c r="S54" s="225">
        <v>1446</v>
      </c>
      <c r="T54" s="225">
        <v>1241</v>
      </c>
      <c r="U54" s="225">
        <v>991</v>
      </c>
      <c r="V54" s="225">
        <v>1081</v>
      </c>
      <c r="W54" s="225">
        <v>1047</v>
      </c>
      <c r="X54" s="225">
        <v>1058</v>
      </c>
      <c r="Y54" s="225">
        <v>1040</v>
      </c>
      <c r="Z54" s="136">
        <v>953</v>
      </c>
    </row>
    <row r="55" spans="1:26" x14ac:dyDescent="0.2">
      <c r="A55" s="187" t="s">
        <v>67</v>
      </c>
      <c r="B55" s="78" t="s">
        <v>73</v>
      </c>
      <c r="C55" s="80" t="s">
        <v>73</v>
      </c>
      <c r="D55" s="80" t="s">
        <v>73</v>
      </c>
      <c r="E55" s="226" t="s">
        <v>73</v>
      </c>
      <c r="F55" s="80" t="s">
        <v>73</v>
      </c>
      <c r="G55" s="80">
        <v>685</v>
      </c>
      <c r="H55" s="80">
        <v>661</v>
      </c>
      <c r="I55" s="226">
        <v>530</v>
      </c>
      <c r="J55" s="226">
        <v>557</v>
      </c>
      <c r="K55" s="225">
        <v>448</v>
      </c>
      <c r="L55" s="225">
        <v>414</v>
      </c>
      <c r="M55" s="225">
        <v>484</v>
      </c>
      <c r="N55" s="225">
        <v>446</v>
      </c>
      <c r="O55" s="225">
        <v>428</v>
      </c>
      <c r="P55" s="225">
        <v>402</v>
      </c>
      <c r="Q55" s="225">
        <v>301</v>
      </c>
      <c r="R55" s="225">
        <v>254</v>
      </c>
      <c r="S55" s="225">
        <v>196</v>
      </c>
      <c r="T55" s="225">
        <v>151</v>
      </c>
      <c r="U55" s="225">
        <v>141</v>
      </c>
      <c r="V55" s="225">
        <v>206</v>
      </c>
      <c r="W55" s="225">
        <v>214</v>
      </c>
      <c r="X55" s="225">
        <v>610</v>
      </c>
      <c r="Y55" s="225">
        <v>767</v>
      </c>
      <c r="Z55" s="136">
        <v>658</v>
      </c>
    </row>
    <row r="56" spans="1:26" x14ac:dyDescent="0.2">
      <c r="A56" s="187" t="s">
        <v>66</v>
      </c>
      <c r="B56" s="78" t="s">
        <v>73</v>
      </c>
      <c r="C56" s="80" t="s">
        <v>73</v>
      </c>
      <c r="D56" s="80" t="s">
        <v>73</v>
      </c>
      <c r="E56" s="226" t="s">
        <v>73</v>
      </c>
      <c r="F56" s="80" t="s">
        <v>73</v>
      </c>
      <c r="G56" s="80">
        <v>3242</v>
      </c>
      <c r="H56" s="80">
        <v>2919</v>
      </c>
      <c r="I56" s="226">
        <v>3054</v>
      </c>
      <c r="J56" s="226">
        <v>3279</v>
      </c>
      <c r="K56" s="225">
        <v>3641</v>
      </c>
      <c r="L56" s="225">
        <v>3782</v>
      </c>
      <c r="M56" s="225">
        <v>4102</v>
      </c>
      <c r="N56" s="225">
        <v>3780</v>
      </c>
      <c r="O56" s="225">
        <v>4060</v>
      </c>
      <c r="P56" s="225">
        <v>3958</v>
      </c>
      <c r="Q56" s="225">
        <v>4095</v>
      </c>
      <c r="R56" s="225">
        <v>3978</v>
      </c>
      <c r="S56" s="225">
        <v>3620</v>
      </c>
      <c r="T56" s="225">
        <v>3579</v>
      </c>
      <c r="U56" s="225">
        <v>3758</v>
      </c>
      <c r="V56" s="225">
        <v>3357</v>
      </c>
      <c r="W56" s="225">
        <v>3818</v>
      </c>
      <c r="X56" s="225">
        <v>4469</v>
      </c>
      <c r="Y56" s="225">
        <v>4494</v>
      </c>
      <c r="Z56" s="136">
        <v>4920</v>
      </c>
    </row>
    <row r="57" spans="1:26" x14ac:dyDescent="0.2">
      <c r="A57" s="187" t="s">
        <v>63</v>
      </c>
      <c r="B57" s="78" t="s">
        <v>73</v>
      </c>
      <c r="C57" s="80" t="s">
        <v>73</v>
      </c>
      <c r="D57" s="80" t="s">
        <v>73</v>
      </c>
      <c r="E57" s="226" t="s">
        <v>73</v>
      </c>
      <c r="F57" s="80" t="s">
        <v>73</v>
      </c>
      <c r="G57" s="80">
        <v>1890</v>
      </c>
      <c r="H57" s="80">
        <v>1647</v>
      </c>
      <c r="I57" s="226">
        <v>1661</v>
      </c>
      <c r="J57" s="226">
        <v>455</v>
      </c>
      <c r="K57" s="225">
        <v>350</v>
      </c>
      <c r="L57" s="225">
        <v>1469</v>
      </c>
      <c r="M57" s="225">
        <v>1552</v>
      </c>
      <c r="N57" s="225">
        <v>1581</v>
      </c>
      <c r="O57" s="225">
        <v>1432</v>
      </c>
      <c r="P57" s="225">
        <v>1489</v>
      </c>
      <c r="Q57" s="225">
        <v>1310</v>
      </c>
      <c r="R57" s="225">
        <v>1154</v>
      </c>
      <c r="S57" s="225">
        <v>953</v>
      </c>
      <c r="T57" s="225">
        <v>785</v>
      </c>
      <c r="U57" s="225">
        <v>761</v>
      </c>
      <c r="V57" s="225">
        <v>617</v>
      </c>
      <c r="W57" s="225">
        <v>594</v>
      </c>
      <c r="X57" s="225">
        <v>576</v>
      </c>
      <c r="Y57" s="225">
        <v>500</v>
      </c>
      <c r="Z57" s="136">
        <v>567</v>
      </c>
    </row>
    <row r="58" spans="1:26" x14ac:dyDescent="0.2">
      <c r="A58" s="187" t="s">
        <v>62</v>
      </c>
      <c r="B58" s="78" t="s">
        <v>73</v>
      </c>
      <c r="C58" s="80" t="s">
        <v>73</v>
      </c>
      <c r="D58" s="80" t="s">
        <v>73</v>
      </c>
      <c r="E58" s="226" t="s">
        <v>73</v>
      </c>
      <c r="F58" s="80" t="s">
        <v>73</v>
      </c>
      <c r="G58" s="80">
        <v>4566</v>
      </c>
      <c r="H58" s="80">
        <v>4131</v>
      </c>
      <c r="I58" s="226">
        <v>3505</v>
      </c>
      <c r="J58" s="226">
        <v>4521</v>
      </c>
      <c r="K58" s="225">
        <v>3745</v>
      </c>
      <c r="L58" s="225">
        <v>3360</v>
      </c>
      <c r="M58" s="225">
        <v>3322</v>
      </c>
      <c r="N58" s="225">
        <v>3206</v>
      </c>
      <c r="O58" s="225">
        <v>2983</v>
      </c>
      <c r="P58" s="225">
        <v>2872</v>
      </c>
      <c r="Q58" s="225">
        <v>2233</v>
      </c>
      <c r="R58" s="225">
        <v>1752</v>
      </c>
      <c r="S58" s="225">
        <v>1494</v>
      </c>
      <c r="T58" s="225">
        <v>1158</v>
      </c>
      <c r="U58" s="225">
        <v>981</v>
      </c>
      <c r="V58" s="225">
        <v>903</v>
      </c>
      <c r="W58" s="225">
        <v>959</v>
      </c>
      <c r="X58" s="225">
        <v>974</v>
      </c>
      <c r="Y58" s="225">
        <v>897</v>
      </c>
      <c r="Z58" s="136">
        <v>845</v>
      </c>
    </row>
    <row r="59" spans="1:26" x14ac:dyDescent="0.2">
      <c r="A59" s="187" t="s">
        <v>64</v>
      </c>
      <c r="B59" s="78" t="s">
        <v>73</v>
      </c>
      <c r="C59" s="80" t="s">
        <v>73</v>
      </c>
      <c r="D59" s="80" t="s">
        <v>73</v>
      </c>
      <c r="E59" s="226" t="s">
        <v>73</v>
      </c>
      <c r="F59" s="80" t="s">
        <v>73</v>
      </c>
      <c r="G59" s="80">
        <v>1667</v>
      </c>
      <c r="H59" s="80">
        <v>1699</v>
      </c>
      <c r="I59" s="226">
        <v>1619</v>
      </c>
      <c r="J59" s="226">
        <v>1832</v>
      </c>
      <c r="K59" s="225">
        <v>1650</v>
      </c>
      <c r="L59" s="225">
        <v>1341</v>
      </c>
      <c r="M59" s="225">
        <v>2055</v>
      </c>
      <c r="N59" s="225">
        <v>1840</v>
      </c>
      <c r="O59" s="225">
        <v>1637</v>
      </c>
      <c r="P59" s="225">
        <v>1448</v>
      </c>
      <c r="Q59" s="225">
        <v>1454</v>
      </c>
      <c r="R59" s="225">
        <v>1303</v>
      </c>
      <c r="S59" s="225">
        <v>1016</v>
      </c>
      <c r="T59" s="225">
        <v>782</v>
      </c>
      <c r="U59" s="225">
        <v>746</v>
      </c>
      <c r="V59" s="225">
        <v>711</v>
      </c>
      <c r="W59" s="225">
        <v>626</v>
      </c>
      <c r="X59" s="225">
        <v>674</v>
      </c>
      <c r="Y59" s="225">
        <v>611</v>
      </c>
      <c r="Z59" s="136">
        <v>657</v>
      </c>
    </row>
    <row r="60" spans="1:26" x14ac:dyDescent="0.2">
      <c r="A60" s="187" t="s">
        <v>65</v>
      </c>
      <c r="B60" s="78" t="s">
        <v>73</v>
      </c>
      <c r="C60" s="80" t="s">
        <v>73</v>
      </c>
      <c r="D60" s="80" t="s">
        <v>73</v>
      </c>
      <c r="E60" s="226" t="s">
        <v>73</v>
      </c>
      <c r="F60" s="80" t="s">
        <v>73</v>
      </c>
      <c r="G60" s="80">
        <v>3600</v>
      </c>
      <c r="H60" s="80">
        <v>3369</v>
      </c>
      <c r="I60" s="226">
        <v>3105</v>
      </c>
      <c r="J60" s="226">
        <v>2890</v>
      </c>
      <c r="K60" s="225">
        <v>2688</v>
      </c>
      <c r="L60" s="225">
        <v>3474</v>
      </c>
      <c r="M60" s="225">
        <v>3706</v>
      </c>
      <c r="N60" s="225">
        <v>3657</v>
      </c>
      <c r="O60" s="225">
        <v>3707</v>
      </c>
      <c r="P60" s="225">
        <v>4132</v>
      </c>
      <c r="Q60" s="225">
        <v>3686</v>
      </c>
      <c r="R60" s="225">
        <v>3138</v>
      </c>
      <c r="S60" s="225">
        <v>2588</v>
      </c>
      <c r="T60" s="225">
        <v>2621</v>
      </c>
      <c r="U60" s="225">
        <v>3045</v>
      </c>
      <c r="V60" s="225">
        <v>2873</v>
      </c>
      <c r="W60" s="225">
        <v>3049</v>
      </c>
      <c r="X60" s="225">
        <v>3909</v>
      </c>
      <c r="Y60" s="225">
        <v>4243</v>
      </c>
      <c r="Z60" s="136">
        <v>4017</v>
      </c>
    </row>
    <row r="61" spans="1:26" x14ac:dyDescent="0.2">
      <c r="A61" s="188" t="s">
        <v>68</v>
      </c>
      <c r="B61" s="113" t="s">
        <v>73</v>
      </c>
      <c r="C61" s="137" t="s">
        <v>73</v>
      </c>
      <c r="D61" s="137" t="s">
        <v>73</v>
      </c>
      <c r="E61" s="227" t="s">
        <v>73</v>
      </c>
      <c r="F61" s="137" t="s">
        <v>73</v>
      </c>
      <c r="G61" s="137">
        <v>975</v>
      </c>
      <c r="H61" s="137">
        <v>784</v>
      </c>
      <c r="I61" s="227">
        <v>749</v>
      </c>
      <c r="J61" s="227">
        <v>890</v>
      </c>
      <c r="K61" s="428">
        <v>793</v>
      </c>
      <c r="L61" s="428">
        <v>771</v>
      </c>
      <c r="M61" s="428">
        <v>891</v>
      </c>
      <c r="N61" s="428">
        <v>721</v>
      </c>
      <c r="O61" s="428">
        <v>703</v>
      </c>
      <c r="P61" s="428">
        <v>751</v>
      </c>
      <c r="Q61" s="428">
        <v>665</v>
      </c>
      <c r="R61" s="428">
        <v>594</v>
      </c>
      <c r="S61" s="428">
        <v>670</v>
      </c>
      <c r="T61" s="428">
        <v>588</v>
      </c>
      <c r="U61" s="428">
        <v>593</v>
      </c>
      <c r="V61" s="428">
        <v>459</v>
      </c>
      <c r="W61" s="428">
        <v>650</v>
      </c>
      <c r="X61" s="428">
        <v>678</v>
      </c>
      <c r="Y61" s="428">
        <v>762</v>
      </c>
      <c r="Z61" s="138">
        <v>843</v>
      </c>
    </row>
    <row r="62" spans="1:26" x14ac:dyDescent="0.2">
      <c r="A62" s="473"/>
      <c r="B62" s="474"/>
      <c r="C62" s="475"/>
      <c r="D62" s="475"/>
      <c r="E62" s="476"/>
      <c r="F62" s="475"/>
      <c r="G62" s="475"/>
      <c r="H62" s="475"/>
      <c r="I62" s="476"/>
      <c r="J62" s="476"/>
      <c r="K62" s="477"/>
      <c r="L62" s="477"/>
      <c r="M62" s="477"/>
      <c r="N62" s="477">
        <v>16</v>
      </c>
      <c r="O62" s="477"/>
      <c r="P62" s="477"/>
      <c r="Q62" s="477"/>
      <c r="R62" s="477">
        <v>12</v>
      </c>
      <c r="S62" s="477">
        <v>8</v>
      </c>
      <c r="T62" s="477">
        <v>5</v>
      </c>
      <c r="U62" s="477">
        <v>0</v>
      </c>
      <c r="V62" s="477">
        <v>13</v>
      </c>
      <c r="W62" s="477">
        <v>10</v>
      </c>
      <c r="X62" s="477">
        <v>11</v>
      </c>
      <c r="Y62" s="477">
        <v>0</v>
      </c>
      <c r="Z62" s="150">
        <v>9</v>
      </c>
    </row>
    <row r="63" spans="1:26" ht="13.5" thickBot="1" x14ac:dyDescent="0.25">
      <c r="A63" s="189" t="s">
        <v>20</v>
      </c>
      <c r="B63" s="115" t="s">
        <v>73</v>
      </c>
      <c r="C63" s="115" t="s">
        <v>73</v>
      </c>
      <c r="D63" s="115" t="s">
        <v>73</v>
      </c>
      <c r="E63" s="228" t="s">
        <v>73</v>
      </c>
      <c r="F63" s="115" t="s">
        <v>73</v>
      </c>
      <c r="G63" s="115">
        <v>17577</v>
      </c>
      <c r="H63" s="115">
        <v>16309</v>
      </c>
      <c r="I63" s="228">
        <v>14989</v>
      </c>
      <c r="J63" s="228">
        <v>15600</v>
      </c>
      <c r="K63" s="228">
        <v>14593</v>
      </c>
      <c r="L63" s="228">
        <v>15972</v>
      </c>
      <c r="M63" s="228">
        <v>17418</v>
      </c>
      <c r="N63" s="228">
        <v>16458</v>
      </c>
      <c r="O63" s="228">
        <f>+'voš_druh studia '!G59</f>
        <v>16196</v>
      </c>
      <c r="P63" s="228">
        <f>+'voš_druh studia '!G63</f>
        <v>16264</v>
      </c>
      <c r="Q63" s="228">
        <f>+'voš_druh studia '!G67</f>
        <v>14740</v>
      </c>
      <c r="R63" s="228">
        <f>+'voš_druh studia '!G71</f>
        <v>13149</v>
      </c>
      <c r="S63" s="228">
        <f>+'voš_druh studia '!G75</f>
        <v>11550</v>
      </c>
      <c r="T63" s="228">
        <f>+'voš_druh studia '!G79</f>
        <v>10614</v>
      </c>
      <c r="U63" s="228">
        <f>+'voš_druh studia '!G83</f>
        <v>10154</v>
      </c>
      <c r="V63" s="228">
        <f>+'voš_druh studia '!G87</f>
        <v>9930</v>
      </c>
      <c r="W63" s="228">
        <f>+'voš_druh studia '!G91</f>
        <v>10637</v>
      </c>
      <c r="X63" s="228">
        <f>+'voš_druh studia '!G95</f>
        <v>12466</v>
      </c>
      <c r="Y63" s="228">
        <f>+'voš_druh studia '!G99</f>
        <v>13105</v>
      </c>
      <c r="Z63" s="139">
        <f>+'voš_druh studia '!G103</f>
        <v>13105</v>
      </c>
    </row>
    <row r="64" spans="1:26" ht="13.5" thickBot="1" x14ac:dyDescent="0.25">
      <c r="A64" s="35" t="s">
        <v>23</v>
      </c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465"/>
      <c r="M64" s="465"/>
      <c r="N64" s="465"/>
      <c r="O64" s="465"/>
      <c r="P64" s="465"/>
      <c r="Q64" s="465"/>
      <c r="R64" s="465"/>
      <c r="S64" s="465"/>
      <c r="T64" s="465"/>
      <c r="U64" s="465"/>
      <c r="V64" s="465"/>
      <c r="W64" s="465"/>
      <c r="X64" s="465"/>
      <c r="Y64" s="465"/>
      <c r="Z64" s="433"/>
    </row>
    <row r="65" spans="1:26" x14ac:dyDescent="0.2">
      <c r="A65" s="195" t="s">
        <v>60</v>
      </c>
      <c r="B65" s="148">
        <v>170</v>
      </c>
      <c r="C65" s="148">
        <v>85</v>
      </c>
      <c r="D65" s="148">
        <v>174</v>
      </c>
      <c r="E65" s="236">
        <v>187</v>
      </c>
      <c r="F65" s="236">
        <v>207</v>
      </c>
      <c r="G65" s="236">
        <v>171</v>
      </c>
      <c r="H65" s="236">
        <v>153</v>
      </c>
      <c r="I65" s="236">
        <v>185</v>
      </c>
      <c r="J65" s="236">
        <v>117</v>
      </c>
      <c r="K65" s="236">
        <v>79</v>
      </c>
      <c r="L65" s="236">
        <v>106</v>
      </c>
      <c r="M65" s="236">
        <v>103</v>
      </c>
      <c r="N65" s="236">
        <v>79</v>
      </c>
      <c r="O65" s="236">
        <v>40</v>
      </c>
      <c r="P65" s="236">
        <v>63</v>
      </c>
      <c r="Q65" s="236">
        <v>58</v>
      </c>
      <c r="R65" s="236">
        <v>42</v>
      </c>
      <c r="S65" s="236">
        <v>13</v>
      </c>
      <c r="T65" s="236">
        <v>17</v>
      </c>
      <c r="U65" s="236">
        <v>0</v>
      </c>
      <c r="V65" s="236">
        <v>43</v>
      </c>
      <c r="W65" s="236">
        <v>0</v>
      </c>
      <c r="X65" s="236">
        <v>49</v>
      </c>
      <c r="Y65" s="236">
        <v>25</v>
      </c>
      <c r="Z65" s="150">
        <v>57</v>
      </c>
    </row>
    <row r="66" spans="1:26" x14ac:dyDescent="0.2">
      <c r="A66" s="187" t="s">
        <v>61</v>
      </c>
      <c r="B66" s="78">
        <v>2252</v>
      </c>
      <c r="C66" s="78">
        <v>1044</v>
      </c>
      <c r="D66" s="78">
        <v>2059</v>
      </c>
      <c r="E66" s="225">
        <v>2379</v>
      </c>
      <c r="F66" s="225">
        <v>2544</v>
      </c>
      <c r="G66" s="225">
        <v>1961</v>
      </c>
      <c r="H66" s="225">
        <v>1989</v>
      </c>
      <c r="I66" s="225">
        <v>1649</v>
      </c>
      <c r="J66" s="225">
        <v>1757</v>
      </c>
      <c r="K66" s="225">
        <v>1524</v>
      </c>
      <c r="L66" s="225">
        <v>1767</v>
      </c>
      <c r="M66" s="225">
        <v>1965</v>
      </c>
      <c r="N66" s="225">
        <v>1915</v>
      </c>
      <c r="O66" s="225">
        <v>1928</v>
      </c>
      <c r="P66" s="225">
        <v>1857</v>
      </c>
      <c r="Q66" s="225">
        <v>1571</v>
      </c>
      <c r="R66" s="225">
        <v>1467</v>
      </c>
      <c r="S66" s="225">
        <v>1364</v>
      </c>
      <c r="T66" s="225">
        <v>1175</v>
      </c>
      <c r="U66" s="225">
        <v>936</v>
      </c>
      <c r="V66" s="225">
        <v>1012</v>
      </c>
      <c r="W66" s="225">
        <v>991</v>
      </c>
      <c r="X66" s="225">
        <v>984</v>
      </c>
      <c r="Y66" s="225">
        <v>939</v>
      </c>
      <c r="Z66" s="136">
        <v>891</v>
      </c>
    </row>
    <row r="67" spans="1:26" x14ac:dyDescent="0.2">
      <c r="A67" s="187" t="s">
        <v>67</v>
      </c>
      <c r="B67" s="78">
        <v>590</v>
      </c>
      <c r="C67" s="80">
        <v>282</v>
      </c>
      <c r="D67" s="80">
        <v>506</v>
      </c>
      <c r="E67" s="226">
        <v>534</v>
      </c>
      <c r="F67" s="226">
        <v>600</v>
      </c>
      <c r="G67" s="226">
        <v>548</v>
      </c>
      <c r="H67" s="226">
        <v>584</v>
      </c>
      <c r="I67" s="226">
        <v>467</v>
      </c>
      <c r="J67" s="226">
        <v>469</v>
      </c>
      <c r="K67" s="225">
        <v>384</v>
      </c>
      <c r="L67" s="225">
        <v>344</v>
      </c>
      <c r="M67" s="225">
        <v>444</v>
      </c>
      <c r="N67" s="225">
        <v>407</v>
      </c>
      <c r="O67" s="225">
        <v>407</v>
      </c>
      <c r="P67" s="225">
        <v>384</v>
      </c>
      <c r="Q67" s="225">
        <v>276</v>
      </c>
      <c r="R67" s="225">
        <v>250</v>
      </c>
      <c r="S67" s="225">
        <v>192</v>
      </c>
      <c r="T67" s="225">
        <v>149</v>
      </c>
      <c r="U67" s="225">
        <v>140</v>
      </c>
      <c r="V67" s="225">
        <v>205</v>
      </c>
      <c r="W67" s="225">
        <v>198</v>
      </c>
      <c r="X67" s="225">
        <v>430</v>
      </c>
      <c r="Y67" s="225">
        <v>597</v>
      </c>
      <c r="Z67" s="136">
        <v>486</v>
      </c>
    </row>
    <row r="68" spans="1:26" x14ac:dyDescent="0.2">
      <c r="A68" s="187" t="s">
        <v>66</v>
      </c>
      <c r="B68" s="78">
        <v>3177</v>
      </c>
      <c r="C68" s="80">
        <v>2268</v>
      </c>
      <c r="D68" s="80">
        <v>2993</v>
      </c>
      <c r="E68" s="226">
        <v>3109</v>
      </c>
      <c r="F68" s="226">
        <v>3455</v>
      </c>
      <c r="G68" s="226">
        <v>2520</v>
      </c>
      <c r="H68" s="226">
        <v>2410</v>
      </c>
      <c r="I68" s="226">
        <v>2538</v>
      </c>
      <c r="J68" s="226">
        <v>2567</v>
      </c>
      <c r="K68" s="225">
        <v>2902</v>
      </c>
      <c r="L68" s="225">
        <v>3031</v>
      </c>
      <c r="M68" s="225">
        <v>3077</v>
      </c>
      <c r="N68" s="225">
        <v>3085</v>
      </c>
      <c r="O68" s="225">
        <v>3405</v>
      </c>
      <c r="P68" s="225">
        <v>3218</v>
      </c>
      <c r="Q68" s="225">
        <v>3221</v>
      </c>
      <c r="R68" s="225">
        <v>3205</v>
      </c>
      <c r="S68" s="225">
        <v>2978</v>
      </c>
      <c r="T68" s="225">
        <v>3003</v>
      </c>
      <c r="U68" s="225">
        <v>2846</v>
      </c>
      <c r="V68" s="225">
        <v>2779</v>
      </c>
      <c r="W68" s="225">
        <v>3033</v>
      </c>
      <c r="X68" s="225">
        <v>3575</v>
      </c>
      <c r="Y68" s="225">
        <v>3467</v>
      </c>
      <c r="Z68" s="136">
        <v>3545</v>
      </c>
    </row>
    <row r="69" spans="1:26" x14ac:dyDescent="0.2">
      <c r="A69" s="187" t="s">
        <v>63</v>
      </c>
      <c r="B69" s="78">
        <v>668</v>
      </c>
      <c r="C69" s="80">
        <v>566</v>
      </c>
      <c r="D69" s="80">
        <v>567</v>
      </c>
      <c r="E69" s="226">
        <v>343</v>
      </c>
      <c r="F69" s="226">
        <v>372</v>
      </c>
      <c r="G69" s="226">
        <v>1381</v>
      </c>
      <c r="H69" s="226">
        <v>1365</v>
      </c>
      <c r="I69" s="226">
        <v>1421</v>
      </c>
      <c r="J69" s="226">
        <v>436</v>
      </c>
      <c r="K69" s="225">
        <v>348</v>
      </c>
      <c r="L69" s="225">
        <v>1291</v>
      </c>
      <c r="M69" s="225">
        <v>1373</v>
      </c>
      <c r="N69" s="225">
        <v>1376</v>
      </c>
      <c r="O69" s="225">
        <v>1290</v>
      </c>
      <c r="P69" s="225">
        <v>1432</v>
      </c>
      <c r="Q69" s="225">
        <v>1284</v>
      </c>
      <c r="R69" s="225">
        <v>1116</v>
      </c>
      <c r="S69" s="225">
        <v>926</v>
      </c>
      <c r="T69" s="225">
        <v>762</v>
      </c>
      <c r="U69" s="225">
        <v>744</v>
      </c>
      <c r="V69" s="225">
        <v>613</v>
      </c>
      <c r="W69" s="225">
        <v>586</v>
      </c>
      <c r="X69" s="225">
        <v>562</v>
      </c>
      <c r="Y69" s="225">
        <v>488</v>
      </c>
      <c r="Z69" s="136">
        <v>559</v>
      </c>
    </row>
    <row r="70" spans="1:26" x14ac:dyDescent="0.2">
      <c r="A70" s="187" t="s">
        <v>62</v>
      </c>
      <c r="B70" s="78">
        <v>5218</v>
      </c>
      <c r="C70" s="80">
        <v>3286</v>
      </c>
      <c r="D70" s="80">
        <v>4670</v>
      </c>
      <c r="E70" s="226">
        <v>4783</v>
      </c>
      <c r="F70" s="226">
        <v>4888</v>
      </c>
      <c r="G70" s="226">
        <v>3642</v>
      </c>
      <c r="H70" s="226">
        <v>3399</v>
      </c>
      <c r="I70" s="226">
        <v>2996</v>
      </c>
      <c r="J70" s="226">
        <v>4226</v>
      </c>
      <c r="K70" s="225">
        <v>3387</v>
      </c>
      <c r="L70" s="225">
        <v>3018</v>
      </c>
      <c r="M70" s="225">
        <v>2922</v>
      </c>
      <c r="N70" s="225">
        <v>2813</v>
      </c>
      <c r="O70" s="225">
        <v>2643</v>
      </c>
      <c r="P70" s="225">
        <v>2492</v>
      </c>
      <c r="Q70" s="225">
        <v>2020</v>
      </c>
      <c r="R70" s="225">
        <v>1645</v>
      </c>
      <c r="S70" s="225">
        <v>1420</v>
      </c>
      <c r="T70" s="225">
        <v>1103</v>
      </c>
      <c r="U70" s="225">
        <v>907</v>
      </c>
      <c r="V70" s="225">
        <v>854</v>
      </c>
      <c r="W70" s="225">
        <v>870</v>
      </c>
      <c r="X70" s="225">
        <v>920</v>
      </c>
      <c r="Y70" s="225">
        <v>798</v>
      </c>
      <c r="Z70" s="136">
        <v>764</v>
      </c>
    </row>
    <row r="71" spans="1:26" x14ac:dyDescent="0.2">
      <c r="A71" s="187" t="s">
        <v>64</v>
      </c>
      <c r="B71" s="78">
        <v>1724</v>
      </c>
      <c r="C71" s="80">
        <v>1322</v>
      </c>
      <c r="D71" s="80">
        <v>1212</v>
      </c>
      <c r="E71" s="226">
        <v>1556</v>
      </c>
      <c r="F71" s="226">
        <v>1426</v>
      </c>
      <c r="G71" s="226">
        <v>1200</v>
      </c>
      <c r="H71" s="226">
        <v>1302</v>
      </c>
      <c r="I71" s="226">
        <v>1251</v>
      </c>
      <c r="J71" s="226">
        <v>1671</v>
      </c>
      <c r="K71" s="225">
        <v>1499</v>
      </c>
      <c r="L71" s="225">
        <v>1244</v>
      </c>
      <c r="M71" s="225">
        <v>1607</v>
      </c>
      <c r="N71" s="225">
        <v>1413</v>
      </c>
      <c r="O71" s="225">
        <v>1303</v>
      </c>
      <c r="P71" s="225">
        <v>1258</v>
      </c>
      <c r="Q71" s="225">
        <v>1249</v>
      </c>
      <c r="R71" s="225">
        <v>1147</v>
      </c>
      <c r="S71" s="225">
        <v>898</v>
      </c>
      <c r="T71" s="225">
        <v>696</v>
      </c>
      <c r="U71" s="225">
        <v>635</v>
      </c>
      <c r="V71" s="225">
        <v>644</v>
      </c>
      <c r="W71" s="225">
        <v>568</v>
      </c>
      <c r="X71" s="225">
        <v>596</v>
      </c>
      <c r="Y71" s="225">
        <v>557</v>
      </c>
      <c r="Z71" s="136">
        <v>581</v>
      </c>
    </row>
    <row r="72" spans="1:26" x14ac:dyDescent="0.2">
      <c r="A72" s="187" t="s">
        <v>65</v>
      </c>
      <c r="B72" s="78">
        <v>1766</v>
      </c>
      <c r="C72" s="80">
        <v>1640</v>
      </c>
      <c r="D72" s="80">
        <v>1812</v>
      </c>
      <c r="E72" s="226">
        <v>1924</v>
      </c>
      <c r="F72" s="226">
        <v>1956</v>
      </c>
      <c r="G72" s="226">
        <v>1821</v>
      </c>
      <c r="H72" s="226">
        <v>1981</v>
      </c>
      <c r="I72" s="226">
        <v>2062</v>
      </c>
      <c r="J72" s="226">
        <v>2152</v>
      </c>
      <c r="K72" s="225">
        <v>2246</v>
      </c>
      <c r="L72" s="225">
        <v>2863</v>
      </c>
      <c r="M72" s="225">
        <v>2817</v>
      </c>
      <c r="N72" s="225">
        <v>2664</v>
      </c>
      <c r="O72" s="225">
        <v>2719</v>
      </c>
      <c r="P72" s="225">
        <v>2883</v>
      </c>
      <c r="Q72" s="225">
        <v>2768</v>
      </c>
      <c r="R72" s="225">
        <v>2644</v>
      </c>
      <c r="S72" s="225">
        <v>2333</v>
      </c>
      <c r="T72" s="225">
        <v>2391</v>
      </c>
      <c r="U72" s="225">
        <v>2589</v>
      </c>
      <c r="V72" s="225">
        <v>2574</v>
      </c>
      <c r="W72" s="225">
        <v>2610</v>
      </c>
      <c r="X72" s="225">
        <v>3344</v>
      </c>
      <c r="Y72" s="225">
        <v>3494</v>
      </c>
      <c r="Z72" s="136">
        <v>3068</v>
      </c>
    </row>
    <row r="73" spans="1:26" x14ac:dyDescent="0.2">
      <c r="A73" s="188" t="s">
        <v>68</v>
      </c>
      <c r="B73" s="113">
        <v>366</v>
      </c>
      <c r="C73" s="137">
        <v>297</v>
      </c>
      <c r="D73" s="137">
        <v>374</v>
      </c>
      <c r="E73" s="227">
        <v>450</v>
      </c>
      <c r="F73" s="227">
        <v>387</v>
      </c>
      <c r="G73" s="227">
        <v>493</v>
      </c>
      <c r="H73" s="227">
        <v>489</v>
      </c>
      <c r="I73" s="227">
        <v>519</v>
      </c>
      <c r="J73" s="227">
        <v>579</v>
      </c>
      <c r="K73" s="428">
        <v>526</v>
      </c>
      <c r="L73" s="428">
        <v>513</v>
      </c>
      <c r="M73" s="428">
        <v>576</v>
      </c>
      <c r="N73" s="428">
        <v>502</v>
      </c>
      <c r="O73" s="428">
        <v>507</v>
      </c>
      <c r="P73" s="428">
        <v>553</v>
      </c>
      <c r="Q73" s="428">
        <v>475</v>
      </c>
      <c r="R73" s="428">
        <v>461</v>
      </c>
      <c r="S73" s="428">
        <v>545</v>
      </c>
      <c r="T73" s="428">
        <v>465</v>
      </c>
      <c r="U73" s="428">
        <v>442</v>
      </c>
      <c r="V73" s="428">
        <v>388</v>
      </c>
      <c r="W73" s="428">
        <v>539</v>
      </c>
      <c r="X73" s="428">
        <v>577</v>
      </c>
      <c r="Y73" s="428">
        <v>596</v>
      </c>
      <c r="Z73" s="138">
        <v>685</v>
      </c>
    </row>
    <row r="74" spans="1:26" x14ac:dyDescent="0.2">
      <c r="A74" s="473"/>
      <c r="B74" s="474"/>
      <c r="C74" s="475"/>
      <c r="D74" s="475"/>
      <c r="E74" s="476"/>
      <c r="F74" s="476"/>
      <c r="G74" s="476"/>
      <c r="H74" s="476"/>
      <c r="I74" s="476"/>
      <c r="J74" s="476"/>
      <c r="K74" s="477"/>
      <c r="L74" s="477"/>
      <c r="M74" s="477"/>
      <c r="N74" s="477">
        <v>16</v>
      </c>
      <c r="O74" s="477"/>
      <c r="P74" s="477"/>
      <c r="Q74" s="477"/>
      <c r="R74" s="477">
        <v>10</v>
      </c>
      <c r="S74" s="477">
        <v>8</v>
      </c>
      <c r="T74" s="477">
        <v>3</v>
      </c>
      <c r="U74" s="477">
        <v>0</v>
      </c>
      <c r="V74" s="477">
        <v>13</v>
      </c>
      <c r="W74" s="477">
        <v>10</v>
      </c>
      <c r="X74" s="477">
        <v>11</v>
      </c>
      <c r="Y74" s="477">
        <v>0</v>
      </c>
      <c r="Z74" s="150">
        <v>9</v>
      </c>
    </row>
    <row r="75" spans="1:26" ht="13.5" thickBot="1" x14ac:dyDescent="0.25">
      <c r="A75" s="189" t="s">
        <v>20</v>
      </c>
      <c r="B75" s="115">
        <v>15398</v>
      </c>
      <c r="C75" s="115">
        <v>10446</v>
      </c>
      <c r="D75" s="115">
        <v>13870</v>
      </c>
      <c r="E75" s="228">
        <v>14823</v>
      </c>
      <c r="F75" s="228">
        <v>15507</v>
      </c>
      <c r="G75" s="228">
        <v>13361</v>
      </c>
      <c r="H75" s="228">
        <v>13203</v>
      </c>
      <c r="I75" s="228">
        <v>12645</v>
      </c>
      <c r="J75" s="228">
        <v>13629</v>
      </c>
      <c r="K75" s="228">
        <v>12593</v>
      </c>
      <c r="L75" s="228">
        <v>13741</v>
      </c>
      <c r="M75" s="228">
        <v>14447</v>
      </c>
      <c r="N75" s="228">
        <v>13820</v>
      </c>
      <c r="O75" s="228">
        <f>+'voš_druh studia '!H59</f>
        <v>13798</v>
      </c>
      <c r="P75" s="228">
        <f>+'voš_druh studia '!H63</f>
        <v>13740</v>
      </c>
      <c r="Q75" s="228">
        <f>+'voš_druh studia '!H67</f>
        <v>12482</v>
      </c>
      <c r="R75" s="228">
        <f>+'voš_druh studia '!H71</f>
        <v>11580</v>
      </c>
      <c r="S75" s="228">
        <f>+'voš_druh studia '!H75</f>
        <v>10362</v>
      </c>
      <c r="T75" s="228">
        <f>+'voš_druh studia '!H79</f>
        <v>9825</v>
      </c>
      <c r="U75" s="228">
        <f>+'voš_druh studia '!H83</f>
        <v>9028</v>
      </c>
      <c r="V75" s="228">
        <f>+'voš_druh studia '!H87</f>
        <v>8900</v>
      </c>
      <c r="W75" s="228">
        <f>+'voš_druh studia '!H91</f>
        <v>9212</v>
      </c>
      <c r="X75" s="228">
        <f>+'voš_druh studia '!H95</f>
        <v>10793</v>
      </c>
      <c r="Y75" s="228">
        <f>+'voš_druh studia '!H99</f>
        <v>10652</v>
      </c>
      <c r="Z75" s="139">
        <f>+'voš_druh studia '!H103</f>
        <v>10645</v>
      </c>
    </row>
    <row r="76" spans="1:26" ht="13.5" thickBot="1" x14ac:dyDescent="0.25">
      <c r="A76" s="35" t="s">
        <v>79</v>
      </c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465"/>
      <c r="M76" s="465"/>
      <c r="N76" s="465"/>
      <c r="O76" s="465"/>
      <c r="P76" s="465"/>
      <c r="Q76" s="465"/>
      <c r="R76" s="465"/>
      <c r="S76" s="465"/>
      <c r="T76" s="465"/>
      <c r="U76" s="465"/>
      <c r="V76" s="465"/>
      <c r="W76" s="465"/>
      <c r="X76" s="465"/>
      <c r="Y76" s="465"/>
      <c r="Z76" s="433"/>
    </row>
    <row r="77" spans="1:26" x14ac:dyDescent="0.2">
      <c r="A77" s="192" t="s">
        <v>60</v>
      </c>
      <c r="B77" s="140">
        <v>0.52795031055900621</v>
      </c>
      <c r="C77" s="140">
        <v>0.68</v>
      </c>
      <c r="D77" s="140">
        <v>0.61484098939929333</v>
      </c>
      <c r="E77" s="229">
        <v>0.73333333333333328</v>
      </c>
      <c r="F77" s="110">
        <v>0.5847457627118644</v>
      </c>
      <c r="G77" s="110">
        <v>0.79166666666666663</v>
      </c>
      <c r="H77" s="110">
        <v>0.92727272727272725</v>
      </c>
      <c r="I77" s="330">
        <v>0.93434343434343436</v>
      </c>
      <c r="J77" s="330">
        <v>1</v>
      </c>
      <c r="K77" s="330">
        <f t="shared" ref="K77:P77" si="59">K65/K53</f>
        <v>0.92941176470588238</v>
      </c>
      <c r="L77" s="330">
        <f t="shared" si="59"/>
        <v>1</v>
      </c>
      <c r="M77" s="330">
        <f t="shared" si="59"/>
        <v>0.97169811320754718</v>
      </c>
      <c r="N77" s="330">
        <f t="shared" si="59"/>
        <v>1</v>
      </c>
      <c r="O77" s="330">
        <f t="shared" si="59"/>
        <v>1</v>
      </c>
      <c r="P77" s="330">
        <f t="shared" si="59"/>
        <v>1</v>
      </c>
      <c r="Q77" s="330">
        <f>Q65/Q53</f>
        <v>0.96666666666666667</v>
      </c>
      <c r="R77" s="330">
        <f>R65/R53</f>
        <v>1</v>
      </c>
      <c r="S77" s="330">
        <f>S65/S53</f>
        <v>0.8666666666666667</v>
      </c>
      <c r="T77" s="330">
        <f>T65/T53</f>
        <v>0.73913043478260865</v>
      </c>
      <c r="U77" s="330" t="s">
        <v>148</v>
      </c>
      <c r="V77" s="330">
        <f t="shared" ref="V77:Z87" si="60">V65/V53</f>
        <v>1</v>
      </c>
      <c r="W77" s="330" t="s">
        <v>148</v>
      </c>
      <c r="X77" s="330">
        <f t="shared" si="60"/>
        <v>0.98</v>
      </c>
      <c r="Y77" s="330">
        <f t="shared" si="60"/>
        <v>0.92592592592592593</v>
      </c>
      <c r="Z77" s="111">
        <f t="shared" ref="Z77" si="61">Z65/Z53</f>
        <v>0.98275862068965514</v>
      </c>
    </row>
    <row r="78" spans="1:26" x14ac:dyDescent="0.2">
      <c r="A78" s="193" t="s">
        <v>61</v>
      </c>
      <c r="B78" s="53">
        <v>0.65983006152944623</v>
      </c>
      <c r="C78" s="53">
        <v>0.76708302718589272</v>
      </c>
      <c r="D78" s="53">
        <v>0.73825743994263182</v>
      </c>
      <c r="E78" s="230">
        <v>0.72112761442861473</v>
      </c>
      <c r="F78" s="53">
        <v>0.69036635006784264</v>
      </c>
      <c r="G78" s="53">
        <v>0.88934240362811789</v>
      </c>
      <c r="H78" s="53">
        <v>0.92468619246861927</v>
      </c>
      <c r="I78" s="230">
        <v>0.91357340720221603</v>
      </c>
      <c r="J78" s="230">
        <v>0.92037716081718179</v>
      </c>
      <c r="K78" s="230">
        <f t="shared" ref="K78:M85" si="62">K66/K54</f>
        <v>0.90177514792899405</v>
      </c>
      <c r="L78" s="230">
        <f t="shared" si="62"/>
        <v>0.88173652694610782</v>
      </c>
      <c r="M78" s="230">
        <f t="shared" si="62"/>
        <v>0.92383638928067702</v>
      </c>
      <c r="N78" s="230">
        <f t="shared" ref="N78:O87" si="63">N66/N54</f>
        <v>0.89990601503759393</v>
      </c>
      <c r="O78" s="230">
        <f t="shared" si="63"/>
        <v>0.91461100569259957</v>
      </c>
      <c r="P78" s="230">
        <f t="shared" ref="P78:Q85" si="64">P66/P54</f>
        <v>0.90629575402635432</v>
      </c>
      <c r="Q78" s="230">
        <f t="shared" si="64"/>
        <v>0.95851128737034774</v>
      </c>
      <c r="R78" s="230">
        <f t="shared" ref="R78:S87" si="65">R66/R54</f>
        <v>0.94462330972311659</v>
      </c>
      <c r="S78" s="230">
        <f t="shared" si="65"/>
        <v>0.9432918395573997</v>
      </c>
      <c r="T78" s="230">
        <f t="shared" ref="T78:U87" si="66">T66/T54</f>
        <v>0.9468170829975826</v>
      </c>
      <c r="U78" s="230">
        <f t="shared" si="66"/>
        <v>0.94450050454086776</v>
      </c>
      <c r="V78" s="230">
        <f t="shared" si="60"/>
        <v>0.93617021276595747</v>
      </c>
      <c r="W78" s="230">
        <f t="shared" ref="W78" si="67">W66/W54</f>
        <v>0.94651384909264569</v>
      </c>
      <c r="X78" s="230">
        <f t="shared" si="60"/>
        <v>0.93005671077504726</v>
      </c>
      <c r="Y78" s="230">
        <f t="shared" ref="Y78:Z78" si="68">Y66/Y54</f>
        <v>0.9028846153846154</v>
      </c>
      <c r="Z78" s="54">
        <f t="shared" si="68"/>
        <v>0.93494228751311648</v>
      </c>
    </row>
    <row r="79" spans="1:26" x14ac:dyDescent="0.2">
      <c r="A79" s="193" t="s">
        <v>67</v>
      </c>
      <c r="B79" s="53">
        <v>0.69657615112160565</v>
      </c>
      <c r="C79" s="53">
        <v>0.69801980198019797</v>
      </c>
      <c r="D79" s="53">
        <v>0.66666666666666663</v>
      </c>
      <c r="E79" s="230">
        <v>0.68199233716475094</v>
      </c>
      <c r="F79" s="53">
        <v>0.59940059940059942</v>
      </c>
      <c r="G79" s="53">
        <v>0.8</v>
      </c>
      <c r="H79" s="53">
        <v>0.88350983358547652</v>
      </c>
      <c r="I79" s="230">
        <v>0.88113207547169814</v>
      </c>
      <c r="J79" s="230">
        <v>0.84201077199281871</v>
      </c>
      <c r="K79" s="230">
        <f t="shared" si="62"/>
        <v>0.8571428571428571</v>
      </c>
      <c r="L79" s="230">
        <f t="shared" si="62"/>
        <v>0.83091787439613529</v>
      </c>
      <c r="M79" s="230">
        <f t="shared" si="62"/>
        <v>0.9173553719008265</v>
      </c>
      <c r="N79" s="230">
        <f t="shared" si="63"/>
        <v>0.91255605381165916</v>
      </c>
      <c r="O79" s="230">
        <f t="shared" si="63"/>
        <v>0.9509345794392523</v>
      </c>
      <c r="P79" s="230">
        <f t="shared" si="64"/>
        <v>0.95522388059701491</v>
      </c>
      <c r="Q79" s="230">
        <f t="shared" si="64"/>
        <v>0.9169435215946844</v>
      </c>
      <c r="R79" s="230">
        <f t="shared" si="65"/>
        <v>0.98425196850393704</v>
      </c>
      <c r="S79" s="230">
        <f t="shared" si="65"/>
        <v>0.97959183673469385</v>
      </c>
      <c r="T79" s="230">
        <f t="shared" si="66"/>
        <v>0.98675496688741726</v>
      </c>
      <c r="U79" s="230">
        <f t="shared" si="66"/>
        <v>0.99290780141843971</v>
      </c>
      <c r="V79" s="230">
        <f t="shared" si="60"/>
        <v>0.99514563106796117</v>
      </c>
      <c r="W79" s="230">
        <f t="shared" ref="W79" si="69">W67/W55</f>
        <v>0.92523364485981308</v>
      </c>
      <c r="X79" s="230">
        <f t="shared" si="60"/>
        <v>0.70491803278688525</v>
      </c>
      <c r="Y79" s="230">
        <f t="shared" ref="Y79:Z79" si="70">Y67/Y55</f>
        <v>0.77835723598435458</v>
      </c>
      <c r="Z79" s="54">
        <f t="shared" si="70"/>
        <v>0.73860182370820671</v>
      </c>
    </row>
    <row r="80" spans="1:26" ht="13.7" customHeight="1" x14ac:dyDescent="0.2">
      <c r="A80" s="193" t="s">
        <v>66</v>
      </c>
      <c r="B80" s="53">
        <v>0.66297996661101832</v>
      </c>
      <c r="C80" s="53">
        <v>0.7311411992263056</v>
      </c>
      <c r="D80" s="53">
        <v>0.72469733656174329</v>
      </c>
      <c r="E80" s="230">
        <v>0.71193038699335931</v>
      </c>
      <c r="F80" s="53">
        <v>0.64076409495548958</v>
      </c>
      <c r="G80" s="53">
        <v>0.7772979642196175</v>
      </c>
      <c r="H80" s="53">
        <v>0.8256252141144228</v>
      </c>
      <c r="I80" s="230">
        <v>0.83104125736738699</v>
      </c>
      <c r="J80" s="230">
        <v>0.78286062824031721</v>
      </c>
      <c r="K80" s="230">
        <f t="shared" si="62"/>
        <v>0.79703378192804175</v>
      </c>
      <c r="L80" s="230">
        <f t="shared" si="62"/>
        <v>0.80142781597038604</v>
      </c>
      <c r="M80" s="230">
        <f t="shared" si="62"/>
        <v>0.75012189176011701</v>
      </c>
      <c r="N80" s="230">
        <f t="shared" si="63"/>
        <v>0.81613756613756616</v>
      </c>
      <c r="O80" s="230">
        <f t="shared" si="63"/>
        <v>0.83866995073891626</v>
      </c>
      <c r="P80" s="230">
        <f t="shared" si="64"/>
        <v>0.81303688731682666</v>
      </c>
      <c r="Q80" s="230">
        <f t="shared" si="64"/>
        <v>0.78656898656898655</v>
      </c>
      <c r="R80" s="230">
        <f t="shared" si="65"/>
        <v>0.80568124685771747</v>
      </c>
      <c r="S80" s="230">
        <f t="shared" si="65"/>
        <v>0.82265193370165746</v>
      </c>
      <c r="T80" s="230">
        <f t="shared" si="66"/>
        <v>0.83906119027661363</v>
      </c>
      <c r="U80" s="230">
        <f t="shared" si="66"/>
        <v>0.7573177221926557</v>
      </c>
      <c r="V80" s="230">
        <f t="shared" si="60"/>
        <v>0.82782246053023534</v>
      </c>
      <c r="W80" s="230">
        <f t="shared" ref="W80" si="71">W68/W56</f>
        <v>0.79439497118910429</v>
      </c>
      <c r="X80" s="230">
        <f t="shared" si="60"/>
        <v>0.79995524725889455</v>
      </c>
      <c r="Y80" s="230">
        <f t="shared" ref="Y80:Z80" si="72">Y68/Y56</f>
        <v>0.77147307521139297</v>
      </c>
      <c r="Z80" s="54">
        <f t="shared" si="72"/>
        <v>0.72052845528455289</v>
      </c>
    </row>
    <row r="81" spans="1:26" x14ac:dyDescent="0.2">
      <c r="A81" s="193" t="s">
        <v>63</v>
      </c>
      <c r="B81" s="53">
        <v>0.36324089178901575</v>
      </c>
      <c r="C81" s="53">
        <v>0.34852216748768472</v>
      </c>
      <c r="D81" s="53">
        <v>0.46361406377759606</v>
      </c>
      <c r="E81" s="230">
        <v>0.46540027137042062</v>
      </c>
      <c r="F81" s="53">
        <v>0.53679653679653683</v>
      </c>
      <c r="G81" s="53">
        <v>0.73068783068783072</v>
      </c>
      <c r="H81" s="53">
        <v>0.82877959927140255</v>
      </c>
      <c r="I81" s="230">
        <v>0.85550872968091507</v>
      </c>
      <c r="J81" s="230">
        <v>0.95824175824175828</v>
      </c>
      <c r="K81" s="230">
        <f t="shared" si="62"/>
        <v>0.99428571428571433</v>
      </c>
      <c r="L81" s="230">
        <f t="shared" si="62"/>
        <v>0.87882913546630359</v>
      </c>
      <c r="M81" s="230">
        <f t="shared" si="62"/>
        <v>0.88466494845360821</v>
      </c>
      <c r="N81" s="230">
        <f t="shared" si="63"/>
        <v>0.87033523086654019</v>
      </c>
      <c r="O81" s="230">
        <f t="shared" si="63"/>
        <v>0.90083798882681565</v>
      </c>
      <c r="P81" s="230">
        <f t="shared" si="64"/>
        <v>0.96171927468099394</v>
      </c>
      <c r="Q81" s="230">
        <f t="shared" si="64"/>
        <v>0.98015267175572518</v>
      </c>
      <c r="R81" s="230">
        <f t="shared" si="65"/>
        <v>0.96707105719237429</v>
      </c>
      <c r="S81" s="230">
        <f t="shared" si="65"/>
        <v>0.97166841552990557</v>
      </c>
      <c r="T81" s="230">
        <f t="shared" si="66"/>
        <v>0.97070063694267517</v>
      </c>
      <c r="U81" s="230">
        <f t="shared" si="66"/>
        <v>0.9776609724047306</v>
      </c>
      <c r="V81" s="230">
        <f t="shared" si="60"/>
        <v>0.99351701782820101</v>
      </c>
      <c r="W81" s="230">
        <f t="shared" ref="W81" si="73">W69/W57</f>
        <v>0.98653198653198648</v>
      </c>
      <c r="X81" s="230">
        <f t="shared" si="60"/>
        <v>0.97569444444444442</v>
      </c>
      <c r="Y81" s="230">
        <f t="shared" ref="Y81:Z81" si="74">Y69/Y57</f>
        <v>0.97599999999999998</v>
      </c>
      <c r="Z81" s="54">
        <f t="shared" si="74"/>
        <v>0.98589065255731922</v>
      </c>
    </row>
    <row r="82" spans="1:26" x14ac:dyDescent="0.2">
      <c r="A82" s="193" t="s">
        <v>62</v>
      </c>
      <c r="B82" s="53">
        <v>0.6586720525119919</v>
      </c>
      <c r="C82" s="53">
        <v>0.67033863729090171</v>
      </c>
      <c r="D82" s="53">
        <v>0.64933259176863178</v>
      </c>
      <c r="E82" s="230">
        <v>0.63978063135366503</v>
      </c>
      <c r="F82" s="53">
        <v>0.65496449149135738</v>
      </c>
      <c r="G82" s="53">
        <v>0.797634691195795</v>
      </c>
      <c r="H82" s="53">
        <v>0.82280319535221491</v>
      </c>
      <c r="I82" s="230">
        <v>0.85477888730385165</v>
      </c>
      <c r="J82" s="230">
        <v>0.93474894934748953</v>
      </c>
      <c r="K82" s="230">
        <f t="shared" si="62"/>
        <v>0.90440587449933241</v>
      </c>
      <c r="L82" s="230">
        <f t="shared" si="62"/>
        <v>0.89821428571428574</v>
      </c>
      <c r="M82" s="230">
        <f t="shared" si="62"/>
        <v>0.87959060806742928</v>
      </c>
      <c r="N82" s="230">
        <f t="shared" si="63"/>
        <v>0.87741734248284464</v>
      </c>
      <c r="O82" s="230">
        <f t="shared" si="63"/>
        <v>0.88602078444518939</v>
      </c>
      <c r="P82" s="230">
        <f t="shared" si="64"/>
        <v>0.86768802228412256</v>
      </c>
      <c r="Q82" s="230">
        <f t="shared" si="64"/>
        <v>0.90461262875055981</v>
      </c>
      <c r="R82" s="230">
        <f t="shared" si="65"/>
        <v>0.9389269406392694</v>
      </c>
      <c r="S82" s="230">
        <f t="shared" si="65"/>
        <v>0.95046854082998666</v>
      </c>
      <c r="T82" s="230">
        <f t="shared" si="66"/>
        <v>0.9525043177892919</v>
      </c>
      <c r="U82" s="230">
        <f t="shared" si="66"/>
        <v>0.92456676860346587</v>
      </c>
      <c r="V82" s="230">
        <f t="shared" si="60"/>
        <v>0.94573643410852715</v>
      </c>
      <c r="W82" s="230">
        <f t="shared" ref="W82" si="75">W70/W58</f>
        <v>0.90719499478623566</v>
      </c>
      <c r="X82" s="230">
        <f t="shared" si="60"/>
        <v>0.94455852156057496</v>
      </c>
      <c r="Y82" s="230">
        <f t="shared" ref="Y82:Z82" si="76">Y70/Y58</f>
        <v>0.88963210702341133</v>
      </c>
      <c r="Z82" s="54">
        <f t="shared" si="76"/>
        <v>0.90414201183431953</v>
      </c>
    </row>
    <row r="83" spans="1:26" x14ac:dyDescent="0.2">
      <c r="A83" s="193" t="s">
        <v>64</v>
      </c>
      <c r="B83" s="53">
        <v>0.63899184581171242</v>
      </c>
      <c r="C83" s="53">
        <v>0.65542885473475454</v>
      </c>
      <c r="D83" s="53">
        <v>0.58381502890173409</v>
      </c>
      <c r="E83" s="230">
        <v>0.62868686868686874</v>
      </c>
      <c r="F83" s="53">
        <v>0.5636363636363636</v>
      </c>
      <c r="G83" s="53">
        <v>0.71985602879424115</v>
      </c>
      <c r="H83" s="53">
        <v>0.7663331371394938</v>
      </c>
      <c r="I83" s="230">
        <v>0.77269919703520695</v>
      </c>
      <c r="J83" s="230">
        <v>0.91211790393013104</v>
      </c>
      <c r="K83" s="230">
        <f t="shared" si="62"/>
        <v>0.90848484848484845</v>
      </c>
      <c r="L83" s="230">
        <f t="shared" si="62"/>
        <v>0.92766592095451161</v>
      </c>
      <c r="M83" s="230">
        <f t="shared" si="62"/>
        <v>0.78199513381995134</v>
      </c>
      <c r="N83" s="230">
        <f t="shared" si="63"/>
        <v>0.76793478260869563</v>
      </c>
      <c r="O83" s="230">
        <f t="shared" si="63"/>
        <v>0.79596823457544286</v>
      </c>
      <c r="P83" s="230">
        <f t="shared" si="64"/>
        <v>0.86878453038674031</v>
      </c>
      <c r="Q83" s="230">
        <f t="shared" si="64"/>
        <v>0.85900962861072905</v>
      </c>
      <c r="R83" s="230">
        <f t="shared" si="65"/>
        <v>0.88027628549501147</v>
      </c>
      <c r="S83" s="230">
        <f t="shared" si="65"/>
        <v>0.88385826771653542</v>
      </c>
      <c r="T83" s="230">
        <f t="shared" si="66"/>
        <v>0.89002557544757033</v>
      </c>
      <c r="U83" s="230">
        <f t="shared" si="66"/>
        <v>0.8512064343163539</v>
      </c>
      <c r="V83" s="230">
        <f t="shared" si="60"/>
        <v>0.90576652601969054</v>
      </c>
      <c r="W83" s="230">
        <f t="shared" ref="W83" si="77">W71/W59</f>
        <v>0.90734824281150162</v>
      </c>
      <c r="X83" s="230">
        <f t="shared" si="60"/>
        <v>0.88427299703264095</v>
      </c>
      <c r="Y83" s="230">
        <f t="shared" ref="Y83:Z83" si="78">Y71/Y59</f>
        <v>0.91162029459901806</v>
      </c>
      <c r="Z83" s="54">
        <f t="shared" si="78"/>
        <v>0.88432267884322679</v>
      </c>
    </row>
    <row r="84" spans="1:26" x14ac:dyDescent="0.2">
      <c r="A84" s="187" t="s">
        <v>65</v>
      </c>
      <c r="B84" s="53">
        <v>0.28488465881593805</v>
      </c>
      <c r="C84" s="53">
        <v>0.42786329246021393</v>
      </c>
      <c r="D84" s="53">
        <v>0.39374185136897</v>
      </c>
      <c r="E84" s="230">
        <v>0.38939485934021451</v>
      </c>
      <c r="F84" s="53">
        <v>0.38925373134328356</v>
      </c>
      <c r="G84" s="53">
        <v>0.50583333333333336</v>
      </c>
      <c r="H84" s="53">
        <v>0.58800831107153462</v>
      </c>
      <c r="I84" s="230">
        <v>0.66409017713365537</v>
      </c>
      <c r="J84" s="230">
        <v>0.74463667820069201</v>
      </c>
      <c r="K84" s="230">
        <f t="shared" si="62"/>
        <v>0.83556547619047616</v>
      </c>
      <c r="L84" s="230">
        <f t="shared" si="62"/>
        <v>0.8241220495106506</v>
      </c>
      <c r="M84" s="230">
        <f t="shared" si="62"/>
        <v>0.7601187263896384</v>
      </c>
      <c r="N84" s="230">
        <f t="shared" si="63"/>
        <v>0.72846595570139461</v>
      </c>
      <c r="O84" s="230">
        <f t="shared" si="63"/>
        <v>0.73347720528729432</v>
      </c>
      <c r="P84" s="230">
        <f t="shared" si="64"/>
        <v>0.6977250726040658</v>
      </c>
      <c r="Q84" s="230">
        <f t="shared" si="64"/>
        <v>0.75094953879544224</v>
      </c>
      <c r="R84" s="230">
        <f t="shared" si="65"/>
        <v>0.84257488846398976</v>
      </c>
      <c r="S84" s="230">
        <f t="shared" si="65"/>
        <v>0.90146831530139104</v>
      </c>
      <c r="T84" s="230">
        <f t="shared" si="66"/>
        <v>0.91224723388019835</v>
      </c>
      <c r="U84" s="230">
        <f t="shared" si="66"/>
        <v>0.85024630541871926</v>
      </c>
      <c r="V84" s="230">
        <f t="shared" si="60"/>
        <v>0.89592760180995479</v>
      </c>
      <c r="W84" s="230">
        <f t="shared" ref="W84" si="79">W72/W60</f>
        <v>0.85601836667759923</v>
      </c>
      <c r="X84" s="230">
        <f t="shared" si="60"/>
        <v>0.85546175492453314</v>
      </c>
      <c r="Y84" s="230">
        <f t="shared" ref="Y84:Z84" si="80">Y72/Y60</f>
        <v>0.82347395710582139</v>
      </c>
      <c r="Z84" s="54">
        <f t="shared" si="80"/>
        <v>0.7637540453074434</v>
      </c>
    </row>
    <row r="85" spans="1:26" x14ac:dyDescent="0.2">
      <c r="A85" s="194" t="s">
        <v>68</v>
      </c>
      <c r="B85" s="56">
        <v>0.3512476007677543</v>
      </c>
      <c r="C85" s="56">
        <v>0.49748743718592964</v>
      </c>
      <c r="D85" s="56">
        <v>0.45777233782129745</v>
      </c>
      <c r="E85" s="217">
        <v>0.44731610337972166</v>
      </c>
      <c r="F85" s="56">
        <v>0.38545816733067728</v>
      </c>
      <c r="G85" s="56">
        <v>0.50564102564102564</v>
      </c>
      <c r="H85" s="56">
        <v>0.62372448979591832</v>
      </c>
      <c r="I85" s="217">
        <v>0.69292389853137515</v>
      </c>
      <c r="J85" s="217">
        <v>0.65056179775280898</v>
      </c>
      <c r="K85" s="217">
        <f t="shared" si="62"/>
        <v>0.6633039092055486</v>
      </c>
      <c r="L85" s="217">
        <f t="shared" si="62"/>
        <v>0.66536964980544744</v>
      </c>
      <c r="M85" s="217">
        <f t="shared" si="62"/>
        <v>0.64646464646464652</v>
      </c>
      <c r="N85" s="217">
        <f t="shared" si="63"/>
        <v>0.69625520110957007</v>
      </c>
      <c r="O85" s="217">
        <f t="shared" si="63"/>
        <v>0.72119487908961588</v>
      </c>
      <c r="P85" s="217">
        <f t="shared" si="64"/>
        <v>0.73635153129161124</v>
      </c>
      <c r="Q85" s="217">
        <f t="shared" si="64"/>
        <v>0.7142857142857143</v>
      </c>
      <c r="R85" s="217">
        <f t="shared" si="65"/>
        <v>0.77609427609427606</v>
      </c>
      <c r="S85" s="217">
        <f t="shared" si="65"/>
        <v>0.81343283582089554</v>
      </c>
      <c r="T85" s="217">
        <f t="shared" si="66"/>
        <v>0.79081632653061229</v>
      </c>
      <c r="U85" s="217">
        <f t="shared" si="66"/>
        <v>0.74536256323777406</v>
      </c>
      <c r="V85" s="217">
        <f t="shared" si="60"/>
        <v>0.84531590413943358</v>
      </c>
      <c r="W85" s="217">
        <f t="shared" ref="W85" si="81">W73/W61</f>
        <v>0.82923076923076922</v>
      </c>
      <c r="X85" s="217">
        <f t="shared" si="60"/>
        <v>0.85103244837758107</v>
      </c>
      <c r="Y85" s="217">
        <f t="shared" ref="Y85:Z85" si="82">Y73/Y61</f>
        <v>0.78215223097112863</v>
      </c>
      <c r="Z85" s="57">
        <f t="shared" si="82"/>
        <v>0.81257413997627526</v>
      </c>
    </row>
    <row r="86" spans="1:26" x14ac:dyDescent="0.2">
      <c r="A86" s="478"/>
      <c r="B86" s="479"/>
      <c r="C86" s="479"/>
      <c r="D86" s="479"/>
      <c r="E86" s="480"/>
      <c r="F86" s="479"/>
      <c r="G86" s="479"/>
      <c r="H86" s="479"/>
      <c r="I86" s="480"/>
      <c r="J86" s="480"/>
      <c r="K86" s="480"/>
      <c r="L86" s="480"/>
      <c r="M86" s="496"/>
      <c r="N86" s="496">
        <f t="shared" si="63"/>
        <v>1</v>
      </c>
      <c r="O86" s="496"/>
      <c r="P86" s="496"/>
      <c r="Q86" s="496"/>
      <c r="R86" s="496">
        <f t="shared" si="65"/>
        <v>0.83333333333333337</v>
      </c>
      <c r="S86" s="496">
        <f t="shared" si="65"/>
        <v>1</v>
      </c>
      <c r="T86" s="496">
        <f t="shared" si="66"/>
        <v>0.6</v>
      </c>
      <c r="U86" s="496"/>
      <c r="V86" s="496">
        <f t="shared" si="60"/>
        <v>1</v>
      </c>
      <c r="W86" s="548">
        <f t="shared" ref="W86" si="83">W74/W62</f>
        <v>1</v>
      </c>
      <c r="X86" s="548">
        <f t="shared" si="60"/>
        <v>1</v>
      </c>
      <c r="Y86" s="548"/>
      <c r="Z86" s="543">
        <f t="shared" si="60"/>
        <v>1</v>
      </c>
    </row>
    <row r="87" spans="1:26" ht="13.5" thickBot="1" x14ac:dyDescent="0.25">
      <c r="A87" s="189" t="s">
        <v>20</v>
      </c>
      <c r="B87" s="116">
        <v>0.62718422874831981</v>
      </c>
      <c r="C87" s="116">
        <v>0.6780475139556017</v>
      </c>
      <c r="D87" s="116">
        <v>0.6826123332841183</v>
      </c>
      <c r="E87" s="116">
        <v>0.66710171017101705</v>
      </c>
      <c r="F87" s="116">
        <v>0.63712560088746462</v>
      </c>
      <c r="G87" s="116">
        <v>0.76014109347442682</v>
      </c>
      <c r="H87" s="116">
        <v>0.80955300754184811</v>
      </c>
      <c r="I87" s="231">
        <v>0.84361865367936484</v>
      </c>
      <c r="J87" s="231">
        <v>0.87365384615384611</v>
      </c>
      <c r="K87" s="231">
        <f>K75/K63</f>
        <v>0.86294798876173506</v>
      </c>
      <c r="L87" s="231">
        <f>L75/L63</f>
        <v>0.86031805659904836</v>
      </c>
      <c r="M87" s="231">
        <f>M75/M63</f>
        <v>0.82942932598461361</v>
      </c>
      <c r="N87" s="231">
        <f t="shared" si="63"/>
        <v>0.83971320938145577</v>
      </c>
      <c r="O87" s="231">
        <f t="shared" si="63"/>
        <v>0.85193875030871824</v>
      </c>
      <c r="P87" s="231">
        <f>P75/P63</f>
        <v>0.84481062469257251</v>
      </c>
      <c r="Q87" s="231">
        <f>Q75/Q63</f>
        <v>0.84681139755766621</v>
      </c>
      <c r="R87" s="231">
        <f t="shared" si="65"/>
        <v>0.88067533652749264</v>
      </c>
      <c r="S87" s="231">
        <f t="shared" si="65"/>
        <v>0.89714285714285713</v>
      </c>
      <c r="T87" s="231">
        <f t="shared" si="66"/>
        <v>0.92566421707179203</v>
      </c>
      <c r="U87" s="231">
        <f t="shared" si="66"/>
        <v>0.88910774079180621</v>
      </c>
      <c r="V87" s="231">
        <f t="shared" si="60"/>
        <v>0.89627391742195373</v>
      </c>
      <c r="W87" s="231">
        <f t="shared" ref="W87" si="84">W75/W63</f>
        <v>0.86603365610604499</v>
      </c>
      <c r="X87" s="231">
        <f t="shared" si="60"/>
        <v>0.86579496229744901</v>
      </c>
      <c r="Y87" s="231">
        <f t="shared" ref="Y87:Z87" si="85">Y75/Y63</f>
        <v>0.81281953452880584</v>
      </c>
      <c r="Z87" s="117">
        <f t="shared" si="85"/>
        <v>0.81228538725677224</v>
      </c>
    </row>
    <row r="88" spans="1:26" ht="13.5" thickBot="1" x14ac:dyDescent="0.25">
      <c r="A88" s="35" t="s">
        <v>74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465"/>
      <c r="M88" s="465"/>
      <c r="N88" s="465"/>
      <c r="O88" s="465"/>
      <c r="P88" s="465"/>
      <c r="Q88" s="465"/>
      <c r="R88" s="465"/>
      <c r="S88" s="465"/>
      <c r="T88" s="465"/>
      <c r="U88" s="465"/>
      <c r="V88" s="465"/>
      <c r="W88" s="465"/>
      <c r="X88" s="465"/>
      <c r="Y88" s="465"/>
      <c r="Z88" s="433"/>
    </row>
    <row r="89" spans="1:26" x14ac:dyDescent="0.2">
      <c r="A89" s="192" t="s">
        <v>60</v>
      </c>
      <c r="B89" s="259">
        <v>1.3115555374526496E-2</v>
      </c>
      <c r="C89" s="259">
        <v>8.1137219265221341E-3</v>
      </c>
      <c r="D89" s="259">
        <v>1.3927850780058074E-2</v>
      </c>
      <c r="E89" s="260">
        <v>1.1476147614761477E-2</v>
      </c>
      <c r="F89" s="260">
        <v>1.3348810214741729E-2</v>
      </c>
      <c r="G89" s="260">
        <v>1.2798443230297133E-2</v>
      </c>
      <c r="H89" s="260">
        <v>1.1588275391956374E-2</v>
      </c>
      <c r="I89" s="260">
        <v>1.4630288651640965E-2</v>
      </c>
      <c r="J89" s="260">
        <v>8.5846357032797714E-3</v>
      </c>
      <c r="K89" s="260">
        <f t="shared" ref="K89:K97" si="86">K65/$K$75</f>
        <v>6.273326451203049E-3</v>
      </c>
      <c r="L89" s="466">
        <f t="shared" ref="L89:L97" si="87">L65/$L$75</f>
        <v>7.7141401644712903E-3</v>
      </c>
      <c r="M89" s="466">
        <f t="shared" ref="M89:M97" si="88">M65/$M$75</f>
        <v>7.1295078563023461E-3</v>
      </c>
      <c r="N89" s="466">
        <f t="shared" ref="N89:S89" si="89">N65/N$75</f>
        <v>5.7163531114327064E-3</v>
      </c>
      <c r="O89" s="466">
        <f t="shared" si="89"/>
        <v>2.8989708653428033E-3</v>
      </c>
      <c r="P89" s="466">
        <f t="shared" si="89"/>
        <v>4.5851528384279472E-3</v>
      </c>
      <c r="Q89" s="466">
        <f t="shared" si="89"/>
        <v>4.646691235378946E-3</v>
      </c>
      <c r="R89" s="466">
        <f t="shared" si="89"/>
        <v>3.6269430051813472E-3</v>
      </c>
      <c r="S89" s="466">
        <f t="shared" si="89"/>
        <v>1.2545840571318279E-3</v>
      </c>
      <c r="T89" s="466">
        <f t="shared" ref="T89:U99" si="90">T65/T$75</f>
        <v>1.7302798982188295E-3</v>
      </c>
      <c r="U89" s="466">
        <f t="shared" si="90"/>
        <v>0</v>
      </c>
      <c r="V89" s="466">
        <f t="shared" ref="V89:X99" si="91">V65/V$75</f>
        <v>4.831460674157303E-3</v>
      </c>
      <c r="W89" s="466">
        <f t="shared" ref="W89" si="92">W65/W$75</f>
        <v>0</v>
      </c>
      <c r="X89" s="466">
        <f t="shared" si="91"/>
        <v>4.539979616418049E-3</v>
      </c>
      <c r="Y89" s="466">
        <f t="shared" ref="Y89:Z89" si="93">Y65/Y$75</f>
        <v>2.3469770935035674E-3</v>
      </c>
      <c r="Z89" s="246">
        <f t="shared" si="93"/>
        <v>5.3546265852512914E-3</v>
      </c>
    </row>
    <row r="90" spans="1:26" x14ac:dyDescent="0.2">
      <c r="A90" s="193" t="s">
        <v>61</v>
      </c>
      <c r="B90" s="262">
        <v>0.1390167406622948</v>
      </c>
      <c r="C90" s="262">
        <v>8.8342204335972993E-2</v>
      </c>
      <c r="D90" s="262">
        <v>0.13726069196318716</v>
      </c>
      <c r="E90" s="263">
        <v>0.14846984698469848</v>
      </c>
      <c r="F90" s="263">
        <v>0.1640549429289998</v>
      </c>
      <c r="G90" s="263">
        <v>0.14677045131352442</v>
      </c>
      <c r="H90" s="263">
        <v>0.15064758009543286</v>
      </c>
      <c r="I90" s="263">
        <v>0.13040727560300513</v>
      </c>
      <c r="J90" s="263">
        <v>0.12891628145865433</v>
      </c>
      <c r="K90" s="263">
        <f t="shared" si="86"/>
        <v>0.12101961407130946</v>
      </c>
      <c r="L90" s="263">
        <f t="shared" si="87"/>
        <v>0.12859326104359217</v>
      </c>
      <c r="M90" s="263">
        <f t="shared" si="88"/>
        <v>0.13601439745275837</v>
      </c>
      <c r="N90" s="263">
        <f t="shared" ref="N90:O99" si="94">N66/N$75</f>
        <v>0.13856729377713459</v>
      </c>
      <c r="O90" s="263">
        <f t="shared" si="94"/>
        <v>0.13973039570952311</v>
      </c>
      <c r="P90" s="263">
        <f t="shared" ref="P90:Q99" si="95">P66/P$75</f>
        <v>0.13515283842794759</v>
      </c>
      <c r="Q90" s="263">
        <f t="shared" si="95"/>
        <v>0.12586124018586764</v>
      </c>
      <c r="R90" s="263">
        <f t="shared" ref="R90:S99" si="96">R66/R$75</f>
        <v>0.12668393782383419</v>
      </c>
      <c r="S90" s="263">
        <f t="shared" si="96"/>
        <v>0.1316348195329087</v>
      </c>
      <c r="T90" s="263">
        <f t="shared" si="90"/>
        <v>0.11959287531806616</v>
      </c>
      <c r="U90" s="263">
        <f t="shared" si="90"/>
        <v>0.10367744793974303</v>
      </c>
      <c r="V90" s="263">
        <f t="shared" si="91"/>
        <v>0.11370786516853933</v>
      </c>
      <c r="W90" s="263">
        <f t="shared" ref="W90" si="97">W66/W$75</f>
        <v>0.10757707338254451</v>
      </c>
      <c r="X90" s="263">
        <f t="shared" si="91"/>
        <v>9.1170202909293063E-2</v>
      </c>
      <c r="Y90" s="263">
        <f t="shared" ref="Y90:Z90" si="98">Y66/Y$75</f>
        <v>8.8152459631993987E-2</v>
      </c>
      <c r="Z90" s="245">
        <f t="shared" si="98"/>
        <v>8.3701268201033352E-2</v>
      </c>
    </row>
    <row r="91" spans="1:26" x14ac:dyDescent="0.2">
      <c r="A91" s="193" t="s">
        <v>67</v>
      </c>
      <c r="B91" s="262">
        <v>3.449961305038491E-2</v>
      </c>
      <c r="C91" s="262">
        <v>2.6223549266519538E-2</v>
      </c>
      <c r="D91" s="262">
        <v>3.7354200501993208E-2</v>
      </c>
      <c r="E91" s="263">
        <v>3.523852385238524E-2</v>
      </c>
      <c r="F91" s="263">
        <v>3.8692203520990523E-2</v>
      </c>
      <c r="G91" s="263">
        <v>4.1014894094753389E-2</v>
      </c>
      <c r="H91" s="263">
        <v>4.423237143073544E-2</v>
      </c>
      <c r="I91" s="263">
        <v>3.6931593515223411E-2</v>
      </c>
      <c r="J91" s="263">
        <v>3.4411915767847974E-2</v>
      </c>
      <c r="K91" s="263">
        <f t="shared" si="86"/>
        <v>3.0493131104581912E-2</v>
      </c>
      <c r="L91" s="263">
        <f t="shared" si="87"/>
        <v>2.5034568080925697E-2</v>
      </c>
      <c r="M91" s="263">
        <f t="shared" si="88"/>
        <v>3.0733024157264484E-2</v>
      </c>
      <c r="N91" s="263">
        <f t="shared" si="94"/>
        <v>2.9450072358900143E-2</v>
      </c>
      <c r="O91" s="263">
        <f t="shared" si="94"/>
        <v>2.9497028554863025E-2</v>
      </c>
      <c r="P91" s="263">
        <f t="shared" si="95"/>
        <v>2.794759825327511E-2</v>
      </c>
      <c r="Q91" s="263">
        <f t="shared" si="95"/>
        <v>2.2111841051113603E-2</v>
      </c>
      <c r="R91" s="263">
        <f t="shared" si="96"/>
        <v>2.158894645941278E-2</v>
      </c>
      <c r="S91" s="263">
        <f t="shared" si="96"/>
        <v>1.8529241459177764E-2</v>
      </c>
      <c r="T91" s="263">
        <f t="shared" si="90"/>
        <v>1.5165394402035624E-2</v>
      </c>
      <c r="U91" s="263">
        <f t="shared" si="90"/>
        <v>1.5507310589277802E-2</v>
      </c>
      <c r="V91" s="263">
        <f t="shared" si="91"/>
        <v>2.3033707865168538E-2</v>
      </c>
      <c r="W91" s="263">
        <f t="shared" ref="W91" si="99">W67/W$75</f>
        <v>2.1493703864524535E-2</v>
      </c>
      <c r="X91" s="263">
        <f t="shared" si="91"/>
        <v>3.9840637450199202E-2</v>
      </c>
      <c r="Y91" s="263">
        <f t="shared" ref="Y91:Z91" si="100">Y67/Y$75</f>
        <v>5.6045812992865186E-2</v>
      </c>
      <c r="Z91" s="245">
        <f t="shared" si="100"/>
        <v>4.5655237200563643E-2</v>
      </c>
    </row>
    <row r="92" spans="1:26" x14ac:dyDescent="0.2">
      <c r="A92" s="193" t="s">
        <v>66</v>
      </c>
      <c r="B92" s="262">
        <v>0.19518553215754958</v>
      </c>
      <c r="C92" s="262">
        <v>0.20135012332857327</v>
      </c>
      <c r="D92" s="262">
        <v>0.20325803435208425</v>
      </c>
      <c r="E92" s="263">
        <v>0.19653465346534654</v>
      </c>
      <c r="F92" s="263">
        <v>0.22280260527503709</v>
      </c>
      <c r="G92" s="263">
        <v>0.18860863707806302</v>
      </c>
      <c r="H92" s="263">
        <v>0.18253427251382262</v>
      </c>
      <c r="I92" s="263">
        <v>0.20071174377224199</v>
      </c>
      <c r="J92" s="263">
        <v>0.18834837478905275</v>
      </c>
      <c r="K92" s="263">
        <f t="shared" si="86"/>
        <v>0.23044548558723099</v>
      </c>
      <c r="L92" s="263">
        <f t="shared" si="87"/>
        <v>0.2205807437595517</v>
      </c>
      <c r="M92" s="263">
        <f t="shared" si="88"/>
        <v>0.21298539489167301</v>
      </c>
      <c r="N92" s="263">
        <f t="shared" si="94"/>
        <v>0.22322720694645443</v>
      </c>
      <c r="O92" s="263">
        <f t="shared" si="94"/>
        <v>0.24677489491230614</v>
      </c>
      <c r="P92" s="263">
        <f t="shared" si="95"/>
        <v>0.23420669577874817</v>
      </c>
      <c r="Q92" s="263">
        <f t="shared" si="95"/>
        <v>0.25805159429578595</v>
      </c>
      <c r="R92" s="263">
        <f t="shared" si="96"/>
        <v>0.27677029360967187</v>
      </c>
      <c r="S92" s="263">
        <f t="shared" si="96"/>
        <v>0.28739625554912179</v>
      </c>
      <c r="T92" s="263">
        <f t="shared" si="90"/>
        <v>0.30564885496183208</v>
      </c>
      <c r="U92" s="263">
        <f t="shared" si="90"/>
        <v>0.31524147097917588</v>
      </c>
      <c r="V92" s="263">
        <f t="shared" si="91"/>
        <v>0.31224719101123594</v>
      </c>
      <c r="W92" s="263">
        <f t="shared" ref="W92" si="101">W68/W$75</f>
        <v>0.32924446374294397</v>
      </c>
      <c r="X92" s="263">
        <f t="shared" si="91"/>
        <v>0.33123320670805151</v>
      </c>
      <c r="Y92" s="263">
        <f t="shared" ref="Y92:Z92" si="102">Y68/Y$75</f>
        <v>0.32547878332707475</v>
      </c>
      <c r="Z92" s="245">
        <f t="shared" si="102"/>
        <v>0.3330201972757163</v>
      </c>
    </row>
    <row r="93" spans="1:26" x14ac:dyDescent="0.2">
      <c r="A93" s="193" t="s">
        <v>63</v>
      </c>
      <c r="B93" s="262">
        <v>7.4905299173149767E-2</v>
      </c>
      <c r="C93" s="262">
        <v>0.10541347526937557</v>
      </c>
      <c r="D93" s="262">
        <v>6.0189969978837542E-2</v>
      </c>
      <c r="E93" s="263">
        <v>3.316831683168317E-2</v>
      </c>
      <c r="F93" s="263">
        <v>2.3989166183014124E-2</v>
      </c>
      <c r="G93" s="263">
        <v>0.10336052690666866</v>
      </c>
      <c r="H93" s="263">
        <v>0.10338559418314019</v>
      </c>
      <c r="I93" s="263">
        <v>0.11237643337287466</v>
      </c>
      <c r="J93" s="263">
        <v>3.1990608261794701E-2</v>
      </c>
      <c r="K93" s="263">
        <f t="shared" si="86"/>
        <v>2.7634400063527357E-2</v>
      </c>
      <c r="L93" s="263">
        <f t="shared" si="87"/>
        <v>9.3952405210683362E-2</v>
      </c>
      <c r="M93" s="263">
        <f t="shared" si="88"/>
        <v>9.5037031909739042E-2</v>
      </c>
      <c r="N93" s="263">
        <f t="shared" si="94"/>
        <v>9.9565846599131688E-2</v>
      </c>
      <c r="O93" s="263">
        <f t="shared" si="94"/>
        <v>9.3491810407305406E-2</v>
      </c>
      <c r="P93" s="263">
        <f t="shared" si="95"/>
        <v>0.10422125181950509</v>
      </c>
      <c r="Q93" s="263">
        <f t="shared" si="95"/>
        <v>0.10286813010735459</v>
      </c>
      <c r="R93" s="263">
        <f t="shared" si="96"/>
        <v>9.6373056994818657E-2</v>
      </c>
      <c r="S93" s="263">
        <f t="shared" si="96"/>
        <v>8.9364987454159425E-2</v>
      </c>
      <c r="T93" s="263">
        <f t="shared" si="90"/>
        <v>7.7557251908396949E-2</v>
      </c>
      <c r="U93" s="263">
        <f t="shared" si="90"/>
        <v>8.2410279131590602E-2</v>
      </c>
      <c r="V93" s="263">
        <f t="shared" si="91"/>
        <v>6.8876404494382024E-2</v>
      </c>
      <c r="W93" s="263">
        <f t="shared" ref="W93" si="103">W69/W$75</f>
        <v>6.3612679114198878E-2</v>
      </c>
      <c r="X93" s="263">
        <f t="shared" si="91"/>
        <v>5.2070786620958029E-2</v>
      </c>
      <c r="Y93" s="263">
        <f t="shared" ref="Y93:Z93" si="104">Y69/Y$75</f>
        <v>4.5812992865189639E-2</v>
      </c>
      <c r="Z93" s="245">
        <f t="shared" si="104"/>
        <v>5.2512916862376705E-2</v>
      </c>
    </row>
    <row r="94" spans="1:26" x14ac:dyDescent="0.2">
      <c r="A94" s="193" t="s">
        <v>62</v>
      </c>
      <c r="B94" s="262">
        <v>0.32267524744409598</v>
      </c>
      <c r="C94" s="262">
        <v>0.31818771907049204</v>
      </c>
      <c r="D94" s="262">
        <v>0.22648752399232247</v>
      </c>
      <c r="E94" s="263">
        <v>0.22236723672367237</v>
      </c>
      <c r="F94" s="263">
        <v>0.3152124846843361</v>
      </c>
      <c r="G94" s="263">
        <v>0.27258438739615298</v>
      </c>
      <c r="H94" s="263">
        <v>0.25744149057032495</v>
      </c>
      <c r="I94" s="263">
        <v>0.23693159351522342</v>
      </c>
      <c r="J94" s="263">
        <v>0.31007410668427615</v>
      </c>
      <c r="K94" s="263">
        <f t="shared" si="86"/>
        <v>0.26895894544588261</v>
      </c>
      <c r="L94" s="263">
        <f t="shared" si="87"/>
        <v>0.21963466996579578</v>
      </c>
      <c r="M94" s="263">
        <f t="shared" si="88"/>
        <v>0.20225652384578113</v>
      </c>
      <c r="N94" s="263">
        <f t="shared" si="94"/>
        <v>0.20354558610709117</v>
      </c>
      <c r="O94" s="263">
        <f t="shared" si="94"/>
        <v>0.19154949992752573</v>
      </c>
      <c r="P94" s="263">
        <f t="shared" si="95"/>
        <v>0.18136826783114993</v>
      </c>
      <c r="Q94" s="263">
        <f t="shared" si="95"/>
        <v>0.16183303957699086</v>
      </c>
      <c r="R94" s="263">
        <f t="shared" si="96"/>
        <v>0.14205526770293608</v>
      </c>
      <c r="S94" s="263">
        <f t="shared" si="96"/>
        <v>0.1370391816251689</v>
      </c>
      <c r="T94" s="263">
        <f t="shared" si="90"/>
        <v>0.112264631043257</v>
      </c>
      <c r="U94" s="263">
        <f t="shared" si="90"/>
        <v>0.10046521931767834</v>
      </c>
      <c r="V94" s="263">
        <f t="shared" si="91"/>
        <v>9.5955056179775275E-2</v>
      </c>
      <c r="W94" s="263">
        <f t="shared" ref="W94" si="105">W70/W$75</f>
        <v>9.4442032132001738E-2</v>
      </c>
      <c r="X94" s="263">
        <f t="shared" si="91"/>
        <v>8.524043361437969E-2</v>
      </c>
      <c r="Y94" s="263">
        <f t="shared" ref="Y94:Z94" si="106">Y70/Y$75</f>
        <v>7.4915508824633867E-2</v>
      </c>
      <c r="Z94" s="245">
        <f t="shared" si="106"/>
        <v>7.1770784405824337E-2</v>
      </c>
    </row>
    <row r="95" spans="1:26" x14ac:dyDescent="0.2">
      <c r="A95" s="193" t="s">
        <v>64</v>
      </c>
      <c r="B95" s="262">
        <v>0.10989369068469716</v>
      </c>
      <c r="C95" s="262">
        <v>0.13092301700636116</v>
      </c>
      <c r="D95" s="262">
        <v>0.10217038240070869</v>
      </c>
      <c r="E95" s="263">
        <v>0.11138613861386139</v>
      </c>
      <c r="F95" s="263">
        <v>9.1958470368220802E-2</v>
      </c>
      <c r="G95" s="263">
        <v>8.9813636703839531E-2</v>
      </c>
      <c r="H95" s="263">
        <v>9.8613951374687578E-2</v>
      </c>
      <c r="I95" s="263">
        <v>9.8932384341637009E-2</v>
      </c>
      <c r="J95" s="263">
        <v>0.12260620735197006</v>
      </c>
      <c r="K95" s="263">
        <f t="shared" si="86"/>
        <v>0.11903438418168824</v>
      </c>
      <c r="L95" s="263">
        <f t="shared" si="87"/>
        <v>9.0531984571719668E-2</v>
      </c>
      <c r="M95" s="263">
        <f t="shared" si="88"/>
        <v>0.11123416626289195</v>
      </c>
      <c r="N95" s="263">
        <f t="shared" si="94"/>
        <v>0.10224312590448625</v>
      </c>
      <c r="O95" s="263">
        <f t="shared" si="94"/>
        <v>9.4433975938541817E-2</v>
      </c>
      <c r="P95" s="263">
        <f t="shared" si="95"/>
        <v>9.155749636098981E-2</v>
      </c>
      <c r="Q95" s="263">
        <f t="shared" si="95"/>
        <v>0.10006409229290178</v>
      </c>
      <c r="R95" s="263">
        <f t="shared" si="96"/>
        <v>9.9050086355785841E-2</v>
      </c>
      <c r="S95" s="263">
        <f t="shared" si="96"/>
        <v>8.6662806408029341E-2</v>
      </c>
      <c r="T95" s="263">
        <f t="shared" si="90"/>
        <v>7.0839694656488553E-2</v>
      </c>
      <c r="U95" s="263">
        <f t="shared" si="90"/>
        <v>7.033673017279575E-2</v>
      </c>
      <c r="V95" s="263">
        <f t="shared" si="91"/>
        <v>7.2359550561797756E-2</v>
      </c>
      <c r="W95" s="263">
        <f t="shared" ref="W95" si="107">W71/W$75</f>
        <v>6.1658706035605734E-2</v>
      </c>
      <c r="X95" s="263">
        <f t="shared" si="91"/>
        <v>5.5220976558880759E-2</v>
      </c>
      <c r="Y95" s="263">
        <f t="shared" ref="Y95:Z95" si="108">Y71/Y$75</f>
        <v>5.2290649643259482E-2</v>
      </c>
      <c r="Z95" s="245">
        <f t="shared" si="108"/>
        <v>5.457961484264913E-2</v>
      </c>
    </row>
    <row r="96" spans="1:26" x14ac:dyDescent="0.2">
      <c r="A96" s="187" t="s">
        <v>65</v>
      </c>
      <c r="B96" s="262">
        <v>0.25249480672885016</v>
      </c>
      <c r="C96" s="262">
        <v>0.24879916915487471</v>
      </c>
      <c r="D96" s="262">
        <v>0.22648752399232247</v>
      </c>
      <c r="E96" s="263">
        <v>0.22236723672367237</v>
      </c>
      <c r="F96" s="263">
        <v>0.1261365834784291</v>
      </c>
      <c r="G96" s="263">
        <v>0.13629219369807649</v>
      </c>
      <c r="H96" s="263">
        <v>0.15004165719912141</v>
      </c>
      <c r="I96" s="263">
        <v>0.16306840648477658</v>
      </c>
      <c r="J96" s="263">
        <v>0.15789859857656469</v>
      </c>
      <c r="K96" s="263">
        <f t="shared" si="86"/>
        <v>0.17835305328357023</v>
      </c>
      <c r="L96" s="263">
        <f t="shared" si="87"/>
        <v>0.20835455934793684</v>
      </c>
      <c r="M96" s="263">
        <f t="shared" si="88"/>
        <v>0.19498857894372534</v>
      </c>
      <c r="N96" s="263">
        <f t="shared" si="94"/>
        <v>0.19276410998552823</v>
      </c>
      <c r="O96" s="263">
        <f t="shared" si="94"/>
        <v>0.19705754457167707</v>
      </c>
      <c r="P96" s="263">
        <f t="shared" si="95"/>
        <v>0.20982532751091704</v>
      </c>
      <c r="Q96" s="263">
        <f t="shared" si="95"/>
        <v>0.22175933344015383</v>
      </c>
      <c r="R96" s="263">
        <f t="shared" si="96"/>
        <v>0.22832469775474956</v>
      </c>
      <c r="S96" s="263">
        <f t="shared" si="96"/>
        <v>0.22514958502219648</v>
      </c>
      <c r="T96" s="263">
        <f t="shared" si="90"/>
        <v>0.2433587786259542</v>
      </c>
      <c r="U96" s="263">
        <f t="shared" si="90"/>
        <v>0.28677447939743023</v>
      </c>
      <c r="V96" s="263">
        <f t="shared" si="91"/>
        <v>0.28921348314606743</v>
      </c>
      <c r="W96" s="263">
        <f t="shared" ref="W96" si="109">W72/W$75</f>
        <v>0.2833260963960052</v>
      </c>
      <c r="X96" s="263">
        <f t="shared" si="91"/>
        <v>0.30983044565922357</v>
      </c>
      <c r="Y96" s="263">
        <f t="shared" ref="Y96:Z96" si="110">Y72/Y$75</f>
        <v>0.32801351858805861</v>
      </c>
      <c r="Z96" s="245">
        <f t="shared" si="110"/>
        <v>0.28821042743071867</v>
      </c>
    </row>
    <row r="97" spans="1:26" x14ac:dyDescent="0.2">
      <c r="A97" s="194" t="s">
        <v>68</v>
      </c>
      <c r="B97" s="265">
        <v>4.2442263044275182E-2</v>
      </c>
      <c r="C97" s="265">
        <v>3.8751135921069713E-2</v>
      </c>
      <c r="D97" s="265">
        <v>4.0208671686598751E-2</v>
      </c>
      <c r="E97" s="266">
        <v>4.5274527452745274E-2</v>
      </c>
      <c r="F97" s="266">
        <v>2.4956471271038887E-2</v>
      </c>
      <c r="G97" s="266">
        <v>3.6898435745827407E-2</v>
      </c>
      <c r="H97" s="266">
        <v>3.7037037037037035E-2</v>
      </c>
      <c r="I97" s="266">
        <v>4.1043890865954925E-2</v>
      </c>
      <c r="J97" s="266">
        <v>4.2482940788025531E-2</v>
      </c>
      <c r="K97" s="266">
        <f t="shared" si="86"/>
        <v>4.1769236877630428E-2</v>
      </c>
      <c r="L97" s="265">
        <f t="shared" si="87"/>
        <v>3.7333527399752563E-2</v>
      </c>
      <c r="M97" s="266">
        <f t="shared" si="88"/>
        <v>3.9869869176991764E-2</v>
      </c>
      <c r="N97" s="266">
        <f t="shared" si="94"/>
        <v>3.6324167872648333E-2</v>
      </c>
      <c r="O97" s="266">
        <f t="shared" si="94"/>
        <v>3.6744455718220034E-2</v>
      </c>
      <c r="P97" s="266">
        <f t="shared" si="95"/>
        <v>4.0247452692867537E-2</v>
      </c>
      <c r="Q97" s="266">
        <f t="shared" si="95"/>
        <v>3.8054798910431023E-2</v>
      </c>
      <c r="R97" s="266">
        <f t="shared" si="96"/>
        <v>3.9810017271157169E-2</v>
      </c>
      <c r="S97" s="266">
        <f t="shared" si="96"/>
        <v>5.2596023933603554E-2</v>
      </c>
      <c r="T97" s="266">
        <f t="shared" si="90"/>
        <v>4.732824427480916E-2</v>
      </c>
      <c r="U97" s="266">
        <f t="shared" si="90"/>
        <v>4.8958794860434203E-2</v>
      </c>
      <c r="V97" s="266">
        <f t="shared" si="91"/>
        <v>4.359550561797753E-2</v>
      </c>
      <c r="W97" s="266">
        <f t="shared" ref="W97" si="111">W73/W$75</f>
        <v>5.8510638297872342E-2</v>
      </c>
      <c r="X97" s="266">
        <f t="shared" si="91"/>
        <v>5.3460576299453347E-2</v>
      </c>
      <c r="Y97" s="266">
        <f t="shared" ref="Y97:Z97" si="112">Y73/Y$75</f>
        <v>5.5951933909125048E-2</v>
      </c>
      <c r="Z97" s="101">
        <f t="shared" si="112"/>
        <v>6.4349459840300605E-2</v>
      </c>
    </row>
    <row r="98" spans="1:26" x14ac:dyDescent="0.2">
      <c r="A98" s="478"/>
      <c r="B98" s="485"/>
      <c r="C98" s="485"/>
      <c r="D98" s="485"/>
      <c r="E98" s="486"/>
      <c r="F98" s="486"/>
      <c r="G98" s="486"/>
      <c r="H98" s="486"/>
      <c r="I98" s="486"/>
      <c r="J98" s="486"/>
      <c r="K98" s="486"/>
      <c r="L98" s="501"/>
      <c r="M98" s="497"/>
      <c r="N98" s="497">
        <f t="shared" si="94"/>
        <v>1.1577424023154848E-3</v>
      </c>
      <c r="O98" s="497"/>
      <c r="P98" s="497"/>
      <c r="Q98" s="497"/>
      <c r="R98" s="497">
        <f t="shared" si="96"/>
        <v>8.6355785837651119E-4</v>
      </c>
      <c r="S98" s="497">
        <f t="shared" si="96"/>
        <v>7.7205172746574015E-4</v>
      </c>
      <c r="T98" s="497">
        <f t="shared" si="90"/>
        <v>3.0534351145038169E-4</v>
      </c>
      <c r="U98" s="497">
        <f t="shared" si="90"/>
        <v>0</v>
      </c>
      <c r="V98" s="497">
        <f t="shared" si="91"/>
        <v>1.4606741573033708E-3</v>
      </c>
      <c r="W98" s="497">
        <f t="shared" ref="W98" si="113">W74/W$75</f>
        <v>1.0855405992184109E-3</v>
      </c>
      <c r="X98" s="497">
        <f t="shared" si="91"/>
        <v>1.0191790975632355E-3</v>
      </c>
      <c r="Y98" s="497">
        <f t="shared" ref="Y98:Z98" si="114">Y74/Y$75</f>
        <v>0</v>
      </c>
      <c r="Z98" s="498">
        <f t="shared" si="114"/>
        <v>8.4546735556599345E-4</v>
      </c>
    </row>
    <row r="99" spans="1:26" ht="13.5" thickBot="1" x14ac:dyDescent="0.25">
      <c r="A99" s="189" t="s">
        <v>20</v>
      </c>
      <c r="B99" s="267">
        <v>1</v>
      </c>
      <c r="C99" s="267">
        <v>1</v>
      </c>
      <c r="D99" s="267">
        <v>1</v>
      </c>
      <c r="E99" s="268">
        <v>1</v>
      </c>
      <c r="F99" s="268">
        <v>1</v>
      </c>
      <c r="G99" s="268">
        <v>1</v>
      </c>
      <c r="H99" s="268">
        <v>1</v>
      </c>
      <c r="I99" s="268">
        <v>1</v>
      </c>
      <c r="J99" s="268">
        <v>1</v>
      </c>
      <c r="K99" s="268">
        <f>K75/$K$75</f>
        <v>1</v>
      </c>
      <c r="L99" s="268">
        <f>L75/$L$75</f>
        <v>1</v>
      </c>
      <c r="M99" s="268">
        <f>M75/$M$75</f>
        <v>1</v>
      </c>
      <c r="N99" s="268">
        <f t="shared" si="94"/>
        <v>1</v>
      </c>
      <c r="O99" s="268">
        <f t="shared" si="94"/>
        <v>1</v>
      </c>
      <c r="P99" s="268">
        <f t="shared" si="95"/>
        <v>1</v>
      </c>
      <c r="Q99" s="268">
        <f t="shared" si="95"/>
        <v>1</v>
      </c>
      <c r="R99" s="268">
        <f t="shared" si="96"/>
        <v>1</v>
      </c>
      <c r="S99" s="268">
        <f t="shared" si="96"/>
        <v>1</v>
      </c>
      <c r="T99" s="268">
        <f t="shared" si="90"/>
        <v>1</v>
      </c>
      <c r="U99" s="268">
        <f t="shared" si="90"/>
        <v>1</v>
      </c>
      <c r="V99" s="268">
        <f t="shared" si="91"/>
        <v>1</v>
      </c>
      <c r="W99" s="268">
        <f t="shared" ref="W99" si="115">W75/W$75</f>
        <v>1</v>
      </c>
      <c r="X99" s="268">
        <f t="shared" si="91"/>
        <v>1</v>
      </c>
      <c r="Y99" s="268">
        <f t="shared" ref="Y99:Z99" si="116">Y75/Y$75</f>
        <v>1</v>
      </c>
      <c r="Z99" s="269">
        <f t="shared" si="116"/>
        <v>1</v>
      </c>
    </row>
    <row r="100" spans="1:26" ht="13.5" thickBot="1" x14ac:dyDescent="0.25">
      <c r="A100" s="35" t="s">
        <v>120</v>
      </c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465"/>
      <c r="M100" s="465"/>
      <c r="N100" s="465"/>
      <c r="O100" s="465"/>
      <c r="P100" s="465"/>
      <c r="Q100" s="465"/>
      <c r="R100" s="465"/>
      <c r="S100" s="465"/>
      <c r="T100" s="465"/>
      <c r="U100" s="465"/>
      <c r="V100" s="465"/>
      <c r="W100" s="465"/>
      <c r="X100" s="465"/>
      <c r="Y100" s="465"/>
      <c r="Z100" s="433"/>
    </row>
    <row r="101" spans="1:26" x14ac:dyDescent="0.2">
      <c r="A101" s="192" t="s">
        <v>60</v>
      </c>
      <c r="B101" s="149">
        <v>140</v>
      </c>
      <c r="C101" s="149">
        <v>68</v>
      </c>
      <c r="D101" s="149">
        <v>149</v>
      </c>
      <c r="E101" s="237">
        <v>136</v>
      </c>
      <c r="F101" s="237">
        <v>163</v>
      </c>
      <c r="G101" s="237">
        <v>127</v>
      </c>
      <c r="H101" s="237">
        <v>118</v>
      </c>
      <c r="I101" s="237">
        <v>145</v>
      </c>
      <c r="J101" s="237">
        <v>89</v>
      </c>
      <c r="K101" s="237">
        <v>70</v>
      </c>
      <c r="L101" s="237">
        <v>95</v>
      </c>
      <c r="M101" s="237">
        <v>74</v>
      </c>
      <c r="N101" s="237">
        <v>53</v>
      </c>
      <c r="O101" s="237">
        <v>34</v>
      </c>
      <c r="P101" s="237">
        <v>58</v>
      </c>
      <c r="Q101" s="237">
        <v>53</v>
      </c>
      <c r="R101" s="237">
        <v>31</v>
      </c>
      <c r="S101" s="237">
        <v>11</v>
      </c>
      <c r="T101" s="237">
        <v>17</v>
      </c>
      <c r="U101" s="237">
        <v>0</v>
      </c>
      <c r="V101" s="237">
        <v>43</v>
      </c>
      <c r="W101" s="237">
        <v>0</v>
      </c>
      <c r="X101" s="237">
        <v>41</v>
      </c>
      <c r="Y101" s="237">
        <v>25</v>
      </c>
      <c r="Z101" s="150">
        <v>58</v>
      </c>
    </row>
    <row r="102" spans="1:26" x14ac:dyDescent="0.2">
      <c r="A102" s="193" t="s">
        <v>61</v>
      </c>
      <c r="B102" s="151">
        <v>1848</v>
      </c>
      <c r="C102" s="151">
        <v>866</v>
      </c>
      <c r="D102" s="151">
        <v>1569</v>
      </c>
      <c r="E102" s="238">
        <v>1869</v>
      </c>
      <c r="F102" s="238">
        <v>2045</v>
      </c>
      <c r="G102" s="238">
        <v>1545</v>
      </c>
      <c r="H102" s="238">
        <v>1567</v>
      </c>
      <c r="I102" s="238">
        <v>1395</v>
      </c>
      <c r="J102" s="238">
        <v>1547</v>
      </c>
      <c r="K102" s="238">
        <v>1327</v>
      </c>
      <c r="L102" s="238">
        <v>1516</v>
      </c>
      <c r="M102" s="238">
        <v>1700</v>
      </c>
      <c r="N102" s="238">
        <v>1664</v>
      </c>
      <c r="O102" s="238">
        <v>1689</v>
      </c>
      <c r="P102" s="238">
        <v>1595</v>
      </c>
      <c r="Q102" s="238">
        <v>1368</v>
      </c>
      <c r="R102" s="238">
        <v>1229</v>
      </c>
      <c r="S102" s="238">
        <v>1186</v>
      </c>
      <c r="T102" s="238">
        <v>977</v>
      </c>
      <c r="U102" s="238">
        <v>804</v>
      </c>
      <c r="V102" s="238">
        <v>886</v>
      </c>
      <c r="W102" s="238">
        <v>881</v>
      </c>
      <c r="X102" s="238">
        <v>861</v>
      </c>
      <c r="Y102" s="238">
        <v>797</v>
      </c>
      <c r="Z102" s="152">
        <v>796</v>
      </c>
    </row>
    <row r="103" spans="1:26" x14ac:dyDescent="0.2">
      <c r="A103" s="193" t="s">
        <v>67</v>
      </c>
      <c r="B103" s="151">
        <v>513</v>
      </c>
      <c r="C103" s="153">
        <v>233</v>
      </c>
      <c r="D103" s="153">
        <v>406</v>
      </c>
      <c r="E103" s="239">
        <v>428</v>
      </c>
      <c r="F103" s="239">
        <v>520</v>
      </c>
      <c r="G103" s="239">
        <v>434</v>
      </c>
      <c r="H103" s="239">
        <v>458</v>
      </c>
      <c r="I103" s="239">
        <v>374</v>
      </c>
      <c r="J103" s="239">
        <v>344</v>
      </c>
      <c r="K103" s="238">
        <v>273</v>
      </c>
      <c r="L103" s="238">
        <v>259</v>
      </c>
      <c r="M103" s="238">
        <v>339</v>
      </c>
      <c r="N103" s="238">
        <v>312</v>
      </c>
      <c r="O103" s="238">
        <v>352</v>
      </c>
      <c r="P103" s="238">
        <v>332</v>
      </c>
      <c r="Q103" s="238">
        <v>219</v>
      </c>
      <c r="R103" s="238">
        <v>219</v>
      </c>
      <c r="S103" s="238">
        <v>171</v>
      </c>
      <c r="T103" s="238">
        <v>127</v>
      </c>
      <c r="U103" s="238">
        <v>132</v>
      </c>
      <c r="V103" s="238">
        <v>175</v>
      </c>
      <c r="W103" s="238">
        <v>173</v>
      </c>
      <c r="X103" s="238">
        <v>369</v>
      </c>
      <c r="Y103" s="238">
        <v>441</v>
      </c>
      <c r="Z103" s="152">
        <v>414</v>
      </c>
    </row>
    <row r="104" spans="1:26" x14ac:dyDescent="0.2">
      <c r="A104" s="193" t="s">
        <v>66</v>
      </c>
      <c r="B104" s="151">
        <v>2755</v>
      </c>
      <c r="C104" s="153">
        <v>1936</v>
      </c>
      <c r="D104" s="153">
        <v>2729</v>
      </c>
      <c r="E104" s="239">
        <v>2736</v>
      </c>
      <c r="F104" s="239">
        <v>3123</v>
      </c>
      <c r="G104" s="239">
        <v>2211</v>
      </c>
      <c r="H104" s="239">
        <v>2039</v>
      </c>
      <c r="I104" s="239">
        <v>2056</v>
      </c>
      <c r="J104" s="239">
        <v>2063</v>
      </c>
      <c r="K104" s="238">
        <v>2355</v>
      </c>
      <c r="L104" s="238">
        <v>2471</v>
      </c>
      <c r="M104" s="238">
        <v>2680</v>
      </c>
      <c r="N104" s="238">
        <v>2555</v>
      </c>
      <c r="O104" s="238">
        <v>2842</v>
      </c>
      <c r="P104" s="238">
        <v>2689</v>
      </c>
      <c r="Q104" s="238">
        <v>2733</v>
      </c>
      <c r="R104" s="238">
        <v>2666</v>
      </c>
      <c r="S104" s="238">
        <v>2447</v>
      </c>
      <c r="T104" s="238">
        <v>2515</v>
      </c>
      <c r="U104" s="238">
        <v>2403</v>
      </c>
      <c r="V104" s="238">
        <v>2275</v>
      </c>
      <c r="W104" s="238">
        <v>2435</v>
      </c>
      <c r="X104" s="238">
        <v>2879</v>
      </c>
      <c r="Y104" s="238">
        <v>2804</v>
      </c>
      <c r="Z104" s="152">
        <v>2862</v>
      </c>
    </row>
    <row r="105" spans="1:26" x14ac:dyDescent="0.2">
      <c r="A105" s="193" t="s">
        <v>63</v>
      </c>
      <c r="B105" s="151">
        <v>535</v>
      </c>
      <c r="C105" s="153">
        <v>442</v>
      </c>
      <c r="D105" s="153">
        <v>468</v>
      </c>
      <c r="E105" s="239">
        <v>272</v>
      </c>
      <c r="F105" s="239">
        <v>336</v>
      </c>
      <c r="G105" s="239">
        <v>1103</v>
      </c>
      <c r="H105" s="239">
        <v>1082</v>
      </c>
      <c r="I105" s="239">
        <v>1150</v>
      </c>
      <c r="J105" s="239">
        <v>337</v>
      </c>
      <c r="K105" s="238">
        <v>262</v>
      </c>
      <c r="L105" s="238">
        <v>990</v>
      </c>
      <c r="M105" s="238">
        <v>1113</v>
      </c>
      <c r="N105" s="238">
        <v>1102</v>
      </c>
      <c r="O105" s="238">
        <v>1022</v>
      </c>
      <c r="P105" s="238">
        <v>1137</v>
      </c>
      <c r="Q105" s="238">
        <v>1045</v>
      </c>
      <c r="R105" s="238">
        <v>938</v>
      </c>
      <c r="S105" s="238">
        <v>772</v>
      </c>
      <c r="T105" s="238">
        <v>666</v>
      </c>
      <c r="U105" s="238">
        <v>652</v>
      </c>
      <c r="V105" s="238">
        <v>568</v>
      </c>
      <c r="W105" s="238">
        <v>541</v>
      </c>
      <c r="X105" s="238">
        <v>502</v>
      </c>
      <c r="Y105" s="238">
        <v>422</v>
      </c>
      <c r="Z105" s="152">
        <v>523</v>
      </c>
    </row>
    <row r="106" spans="1:26" x14ac:dyDescent="0.2">
      <c r="A106" s="193" t="s">
        <v>62</v>
      </c>
      <c r="B106" s="151">
        <v>4508</v>
      </c>
      <c r="C106" s="153">
        <v>2701</v>
      </c>
      <c r="D106" s="153">
        <v>3707</v>
      </c>
      <c r="E106" s="239">
        <v>3992</v>
      </c>
      <c r="F106" s="239">
        <v>4090</v>
      </c>
      <c r="G106" s="239">
        <v>2959</v>
      </c>
      <c r="H106" s="239">
        <v>2811</v>
      </c>
      <c r="I106" s="239">
        <v>2548</v>
      </c>
      <c r="J106" s="239">
        <v>3410</v>
      </c>
      <c r="K106" s="238">
        <v>2803</v>
      </c>
      <c r="L106" s="238">
        <v>2417</v>
      </c>
      <c r="M106" s="238">
        <v>2377</v>
      </c>
      <c r="N106" s="238">
        <v>2277</v>
      </c>
      <c r="O106" s="238">
        <v>2290</v>
      </c>
      <c r="P106" s="238">
        <v>2093</v>
      </c>
      <c r="Q106" s="238">
        <v>1809</v>
      </c>
      <c r="R106" s="238">
        <v>1420</v>
      </c>
      <c r="S106" s="238">
        <v>1307</v>
      </c>
      <c r="T106" s="238">
        <v>975</v>
      </c>
      <c r="U106" s="238">
        <v>840</v>
      </c>
      <c r="V106" s="238">
        <v>759</v>
      </c>
      <c r="W106" s="238">
        <v>772</v>
      </c>
      <c r="X106" s="238">
        <v>813</v>
      </c>
      <c r="Y106" s="238">
        <v>682</v>
      </c>
      <c r="Z106" s="152">
        <v>706</v>
      </c>
    </row>
    <row r="107" spans="1:26" x14ac:dyDescent="0.2">
      <c r="A107" s="193" t="s">
        <v>64</v>
      </c>
      <c r="B107" s="151">
        <v>1411</v>
      </c>
      <c r="C107" s="153">
        <v>938</v>
      </c>
      <c r="D107" s="153">
        <v>1022</v>
      </c>
      <c r="E107" s="239">
        <v>1277</v>
      </c>
      <c r="F107" s="239">
        <v>1281</v>
      </c>
      <c r="G107" s="239">
        <v>1047</v>
      </c>
      <c r="H107" s="239">
        <v>1142</v>
      </c>
      <c r="I107" s="239">
        <v>1107</v>
      </c>
      <c r="J107" s="239">
        <v>1386</v>
      </c>
      <c r="K107" s="238">
        <v>1285</v>
      </c>
      <c r="L107" s="238">
        <v>1060</v>
      </c>
      <c r="M107" s="238">
        <v>1398</v>
      </c>
      <c r="N107" s="238">
        <v>1171</v>
      </c>
      <c r="O107" s="238">
        <v>1120</v>
      </c>
      <c r="P107" s="238">
        <v>1065</v>
      </c>
      <c r="Q107" s="238">
        <v>1031</v>
      </c>
      <c r="R107" s="238">
        <v>952</v>
      </c>
      <c r="S107" s="238">
        <v>802</v>
      </c>
      <c r="T107" s="238">
        <v>609</v>
      </c>
      <c r="U107" s="238">
        <v>514</v>
      </c>
      <c r="V107" s="238">
        <v>579</v>
      </c>
      <c r="W107" s="238">
        <v>501</v>
      </c>
      <c r="X107" s="238">
        <v>548</v>
      </c>
      <c r="Y107" s="238">
        <v>491</v>
      </c>
      <c r="Z107" s="152">
        <v>529</v>
      </c>
    </row>
    <row r="108" spans="1:26" x14ac:dyDescent="0.2">
      <c r="A108" s="187" t="s">
        <v>65</v>
      </c>
      <c r="B108" s="151">
        <v>1515</v>
      </c>
      <c r="C108" s="153">
        <v>1370</v>
      </c>
      <c r="D108" s="153">
        <v>1472</v>
      </c>
      <c r="E108" s="239">
        <v>1534</v>
      </c>
      <c r="F108" s="239">
        <v>1595</v>
      </c>
      <c r="G108" s="239">
        <v>1480</v>
      </c>
      <c r="H108" s="239">
        <v>1602</v>
      </c>
      <c r="I108" s="239">
        <v>1680</v>
      </c>
      <c r="J108" s="239">
        <v>1685</v>
      </c>
      <c r="K108" s="238">
        <v>1853</v>
      </c>
      <c r="L108" s="238">
        <v>2347</v>
      </c>
      <c r="M108" s="238">
        <v>2357</v>
      </c>
      <c r="N108" s="238">
        <v>2255</v>
      </c>
      <c r="O108" s="238">
        <v>2332</v>
      </c>
      <c r="P108" s="238">
        <v>2384</v>
      </c>
      <c r="Q108" s="238">
        <v>2335</v>
      </c>
      <c r="R108" s="238">
        <v>2229</v>
      </c>
      <c r="S108" s="238">
        <v>1908</v>
      </c>
      <c r="T108" s="238">
        <v>2049</v>
      </c>
      <c r="U108" s="238">
        <v>2139</v>
      </c>
      <c r="V108" s="238">
        <v>2235</v>
      </c>
      <c r="W108" s="238">
        <v>2255</v>
      </c>
      <c r="X108" s="238">
        <v>2862</v>
      </c>
      <c r="Y108" s="238">
        <v>2901</v>
      </c>
      <c r="Z108" s="152">
        <v>2640</v>
      </c>
    </row>
    <row r="109" spans="1:26" x14ac:dyDescent="0.2">
      <c r="A109" s="194" t="s">
        <v>68</v>
      </c>
      <c r="B109" s="154">
        <v>339</v>
      </c>
      <c r="C109" s="155">
        <v>269</v>
      </c>
      <c r="D109" s="155">
        <v>341</v>
      </c>
      <c r="E109" s="240">
        <v>416</v>
      </c>
      <c r="F109" s="240">
        <v>342</v>
      </c>
      <c r="G109" s="240">
        <v>453</v>
      </c>
      <c r="H109" s="240">
        <v>435</v>
      </c>
      <c r="I109" s="240">
        <v>465</v>
      </c>
      <c r="J109" s="240">
        <v>527</v>
      </c>
      <c r="K109" s="434">
        <v>482</v>
      </c>
      <c r="L109" s="434">
        <v>487</v>
      </c>
      <c r="M109" s="434">
        <v>540</v>
      </c>
      <c r="N109" s="434">
        <v>453</v>
      </c>
      <c r="O109" s="434">
        <v>473</v>
      </c>
      <c r="P109" s="434">
        <v>514</v>
      </c>
      <c r="Q109" s="434">
        <v>435</v>
      </c>
      <c r="R109" s="434">
        <v>416</v>
      </c>
      <c r="S109" s="434">
        <v>504</v>
      </c>
      <c r="T109" s="434">
        <v>431</v>
      </c>
      <c r="U109" s="434">
        <v>415</v>
      </c>
      <c r="V109" s="434">
        <v>346</v>
      </c>
      <c r="W109" s="434">
        <v>508</v>
      </c>
      <c r="X109" s="434">
        <v>540</v>
      </c>
      <c r="Y109" s="434">
        <v>555</v>
      </c>
      <c r="Z109" s="156">
        <v>649</v>
      </c>
    </row>
    <row r="110" spans="1:26" x14ac:dyDescent="0.2">
      <c r="A110" s="478"/>
      <c r="B110" s="487"/>
      <c r="C110" s="488"/>
      <c r="D110" s="488"/>
      <c r="E110" s="489"/>
      <c r="F110" s="489"/>
      <c r="G110" s="489"/>
      <c r="H110" s="489"/>
      <c r="I110" s="489"/>
      <c r="J110" s="489"/>
      <c r="K110" s="490"/>
      <c r="L110" s="490"/>
      <c r="M110" s="490"/>
      <c r="N110" s="490">
        <v>12</v>
      </c>
      <c r="O110" s="490"/>
      <c r="P110" s="490"/>
      <c r="Q110" s="490"/>
      <c r="R110" s="490">
        <v>7</v>
      </c>
      <c r="S110" s="490">
        <v>6</v>
      </c>
      <c r="T110" s="490">
        <v>0</v>
      </c>
      <c r="U110" s="490">
        <v>0</v>
      </c>
      <c r="V110" s="490">
        <v>9</v>
      </c>
      <c r="W110" s="490">
        <v>9</v>
      </c>
      <c r="X110" s="490">
        <v>9</v>
      </c>
      <c r="Y110" s="490">
        <v>0</v>
      </c>
      <c r="Z110" s="491">
        <v>7</v>
      </c>
    </row>
    <row r="111" spans="1:26" ht="13.5" thickBot="1" x14ac:dyDescent="0.25">
      <c r="A111" s="189" t="s">
        <v>20</v>
      </c>
      <c r="B111" s="157">
        <v>13456</v>
      </c>
      <c r="C111" s="157">
        <v>8797</v>
      </c>
      <c r="D111" s="157">
        <v>11816</v>
      </c>
      <c r="E111" s="241">
        <v>12602</v>
      </c>
      <c r="F111" s="241">
        <v>13434</v>
      </c>
      <c r="G111" s="241">
        <v>11300</v>
      </c>
      <c r="H111" s="241">
        <v>11149</v>
      </c>
      <c r="I111" s="241">
        <v>10858</v>
      </c>
      <c r="J111" s="241">
        <v>11342</v>
      </c>
      <c r="K111" s="241">
        <v>10658</v>
      </c>
      <c r="L111" s="241">
        <v>11563</v>
      </c>
      <c r="M111" s="241">
        <v>12515</v>
      </c>
      <c r="N111" s="241">
        <v>11804</v>
      </c>
      <c r="O111" s="241">
        <f>+'voš_druh studia '!I59</f>
        <v>12043</v>
      </c>
      <c r="P111" s="241">
        <f>+'voš_druh studia '!I63</f>
        <v>11877</v>
      </c>
      <c r="Q111" s="241">
        <f>+'voš_druh studia '!I67</f>
        <v>10951</v>
      </c>
      <c r="R111" s="241">
        <f>+'voš_druh studia '!I71</f>
        <v>10032</v>
      </c>
      <c r="S111" s="241">
        <f>+'voš_druh studia '!I75</f>
        <v>9025</v>
      </c>
      <c r="T111" s="241">
        <f>+'voš_druh studia '!I79</f>
        <v>8304</v>
      </c>
      <c r="U111" s="241">
        <f>+'voš_druh studia '!I83</f>
        <v>7844</v>
      </c>
      <c r="V111" s="241">
        <f>+'voš_druh studia '!I87</f>
        <v>7833</v>
      </c>
      <c r="W111" s="241">
        <f>+'voš_druh studia '!I91</f>
        <v>8074.9999999999991</v>
      </c>
      <c r="X111" s="241">
        <f>+'voš_druh studia '!I95</f>
        <v>9369</v>
      </c>
      <c r="Y111" s="241">
        <f>+'voš_druh studia '!I99</f>
        <v>9048</v>
      </c>
      <c r="Z111" s="158">
        <f>+'voš_druh studia '!I103</f>
        <v>9184</v>
      </c>
    </row>
    <row r="112" spans="1:26" ht="13.5" thickBot="1" x14ac:dyDescent="0.25">
      <c r="A112" s="35" t="s">
        <v>24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465"/>
      <c r="M112" s="465"/>
      <c r="N112" s="465"/>
      <c r="O112" s="465"/>
      <c r="P112" s="465"/>
      <c r="Q112" s="465"/>
      <c r="R112" s="465"/>
      <c r="S112" s="465"/>
      <c r="T112" s="465"/>
      <c r="U112" s="465"/>
      <c r="V112" s="465"/>
      <c r="W112" s="465"/>
      <c r="X112" s="465"/>
      <c r="Y112" s="465"/>
      <c r="Z112" s="433"/>
    </row>
    <row r="113" spans="1:26" x14ac:dyDescent="0.2">
      <c r="A113" s="192" t="s">
        <v>60</v>
      </c>
      <c r="B113" s="140">
        <v>1.0404280618311534E-2</v>
      </c>
      <c r="C113" s="140">
        <v>7.7299079231556217E-3</v>
      </c>
      <c r="D113" s="140">
        <v>1.2610020311442113E-2</v>
      </c>
      <c r="E113" s="229">
        <v>1.0791937787652753E-2</v>
      </c>
      <c r="F113" s="110">
        <v>1.2133392883727855E-2</v>
      </c>
      <c r="G113" s="110">
        <v>1.1238938053097345E-2</v>
      </c>
      <c r="H113" s="110">
        <v>1.058390887075074E-2</v>
      </c>
      <c r="I113" s="330">
        <v>1.3354208878246454E-2</v>
      </c>
      <c r="J113" s="330">
        <v>7.8469405748545235E-3</v>
      </c>
      <c r="K113" s="330">
        <f t="shared" ref="K113:K121" si="117">K101/$K$111</f>
        <v>6.5678363670482265E-3</v>
      </c>
      <c r="L113" s="330">
        <f t="shared" ref="L113:L121" si="118">L101/$L$111</f>
        <v>8.2158609357433198E-3</v>
      </c>
      <c r="M113" s="330">
        <f t="shared" ref="M113:M121" si="119">M101/$M$111</f>
        <v>5.9129045145825008E-3</v>
      </c>
      <c r="N113" s="330">
        <f t="shared" ref="N113:S113" si="120">N101/N$111</f>
        <v>4.4900033886818031E-3</v>
      </c>
      <c r="O113" s="330">
        <f t="shared" si="120"/>
        <v>2.8232168064435772E-3</v>
      </c>
      <c r="P113" s="330">
        <f t="shared" si="120"/>
        <v>4.8833880609581541E-3</v>
      </c>
      <c r="Q113" s="330">
        <f t="shared" si="120"/>
        <v>4.8397406629531545E-3</v>
      </c>
      <c r="R113" s="330">
        <f t="shared" si="120"/>
        <v>3.0901116427432215E-3</v>
      </c>
      <c r="S113" s="330">
        <f t="shared" si="120"/>
        <v>1.218836565096953E-3</v>
      </c>
      <c r="T113" s="330">
        <f t="shared" ref="T113:U123" si="121">T101/T$111</f>
        <v>2.0472061657032755E-3</v>
      </c>
      <c r="U113" s="330">
        <f t="shared" si="121"/>
        <v>0</v>
      </c>
      <c r="V113" s="330">
        <f t="shared" ref="V113:X123" si="122">V101/V$111</f>
        <v>5.4895953019277414E-3</v>
      </c>
      <c r="W113" s="330">
        <f t="shared" ref="W113" si="123">W101/W$111</f>
        <v>0</v>
      </c>
      <c r="X113" s="330">
        <f t="shared" si="122"/>
        <v>4.3761340591311777E-3</v>
      </c>
      <c r="Y113" s="330">
        <f t="shared" ref="Y113:Z113" si="124">Y101/Y$111</f>
        <v>2.7630415561450045E-3</v>
      </c>
      <c r="Z113" s="111">
        <f t="shared" si="124"/>
        <v>6.3153310104529618E-3</v>
      </c>
    </row>
    <row r="114" spans="1:26" x14ac:dyDescent="0.2">
      <c r="A114" s="193" t="s">
        <v>61</v>
      </c>
      <c r="B114" s="53">
        <v>0.13733650416171225</v>
      </c>
      <c r="C114" s="53">
        <v>9.8442650903717177E-2</v>
      </c>
      <c r="D114" s="53">
        <v>0.13278605280974951</v>
      </c>
      <c r="E114" s="230">
        <v>0.14830979209649262</v>
      </c>
      <c r="F114" s="53">
        <v>0.15222569599523597</v>
      </c>
      <c r="G114" s="53">
        <v>0.13672566371681416</v>
      </c>
      <c r="H114" s="53">
        <v>0.14055072203785093</v>
      </c>
      <c r="I114" s="230">
        <v>0.12847669920795726</v>
      </c>
      <c r="J114" s="230">
        <v>0.13639569740786459</v>
      </c>
      <c r="K114" s="230">
        <f t="shared" si="117"/>
        <v>0.12450741227247138</v>
      </c>
      <c r="L114" s="230">
        <f t="shared" si="118"/>
        <v>0.13110784398512496</v>
      </c>
      <c r="M114" s="230">
        <f t="shared" si="119"/>
        <v>0.13583699560527368</v>
      </c>
      <c r="N114" s="230">
        <f t="shared" ref="N114:O123" si="125">N102/N$111</f>
        <v>0.14096916299559473</v>
      </c>
      <c r="O114" s="230">
        <f t="shared" si="125"/>
        <v>0.14024744664950595</v>
      </c>
      <c r="P114" s="230">
        <f t="shared" ref="P114:Q123" si="126">P102/P$111</f>
        <v>0.13429317167634924</v>
      </c>
      <c r="Q114" s="230">
        <f t="shared" si="126"/>
        <v>0.12492009862113049</v>
      </c>
      <c r="R114" s="230">
        <f t="shared" ref="R114:S123" si="127">R102/R$111</f>
        <v>0.12250797448165869</v>
      </c>
      <c r="S114" s="230">
        <f t="shared" si="127"/>
        <v>0.13141274238227146</v>
      </c>
      <c r="T114" s="230">
        <f t="shared" si="121"/>
        <v>0.11765414258188825</v>
      </c>
      <c r="U114" s="230">
        <f t="shared" si="121"/>
        <v>0.10249872514023457</v>
      </c>
      <c r="V114" s="230">
        <f t="shared" si="122"/>
        <v>0.11311119622111579</v>
      </c>
      <c r="W114" s="230">
        <f t="shared" ref="W114" si="128">W102/W$111</f>
        <v>0.10910216718266255</v>
      </c>
      <c r="X114" s="230">
        <f t="shared" si="122"/>
        <v>9.1898815241754722E-2</v>
      </c>
      <c r="Y114" s="230">
        <f t="shared" ref="Y114:Z114" si="129">Y102/Y$111</f>
        <v>8.8085764809902739E-2</v>
      </c>
      <c r="Z114" s="54">
        <f t="shared" si="129"/>
        <v>8.6672473867595815E-2</v>
      </c>
    </row>
    <row r="115" spans="1:26" x14ac:dyDescent="0.2">
      <c r="A115" s="193" t="s">
        <v>67</v>
      </c>
      <c r="B115" s="53">
        <v>3.8124256837098691E-2</v>
      </c>
      <c r="C115" s="53">
        <v>2.6486302148459703E-2</v>
      </c>
      <c r="D115" s="53">
        <v>3.4360189573459717E-2</v>
      </c>
      <c r="E115" s="230">
        <v>3.3962863037613075E-2</v>
      </c>
      <c r="F115" s="53">
        <v>3.8707756438886409E-2</v>
      </c>
      <c r="G115" s="53">
        <v>3.8407079646017701E-2</v>
      </c>
      <c r="H115" s="53">
        <v>4.1079917481388464E-2</v>
      </c>
      <c r="I115" s="230">
        <v>3.4444649106649475E-2</v>
      </c>
      <c r="J115" s="230">
        <v>3.0329747839887147E-2</v>
      </c>
      <c r="K115" s="230">
        <f t="shared" si="117"/>
        <v>2.5614561831488084E-2</v>
      </c>
      <c r="L115" s="230">
        <f t="shared" si="118"/>
        <v>2.239903139323705E-2</v>
      </c>
      <c r="M115" s="230">
        <f t="shared" si="119"/>
        <v>2.708749500599281E-2</v>
      </c>
      <c r="N115" s="230">
        <f t="shared" si="125"/>
        <v>2.643171806167401E-2</v>
      </c>
      <c r="O115" s="230">
        <f t="shared" si="125"/>
        <v>2.9228597525533504E-2</v>
      </c>
      <c r="P115" s="230">
        <f t="shared" si="126"/>
        <v>2.7953186831691505E-2</v>
      </c>
      <c r="Q115" s="230">
        <f t="shared" si="126"/>
        <v>1.9998173682768697E-2</v>
      </c>
      <c r="R115" s="230">
        <f t="shared" si="127"/>
        <v>2.1830143540669856E-2</v>
      </c>
      <c r="S115" s="230">
        <f t="shared" si="127"/>
        <v>1.8947368421052633E-2</v>
      </c>
      <c r="T115" s="230">
        <f t="shared" si="121"/>
        <v>1.5293834296724471E-2</v>
      </c>
      <c r="U115" s="230">
        <f t="shared" si="121"/>
        <v>1.6828148903620603E-2</v>
      </c>
      <c r="V115" s="230">
        <f t="shared" si="122"/>
        <v>2.2341376228775692E-2</v>
      </c>
      <c r="W115" s="230">
        <f t="shared" ref="W115" si="130">W103/W$111</f>
        <v>2.1424148606811147E-2</v>
      </c>
      <c r="X115" s="230">
        <f t="shared" si="122"/>
        <v>3.9385206532180597E-2</v>
      </c>
      <c r="Y115" s="230">
        <f t="shared" ref="Y115:Z115" si="131">Y103/Y$111</f>
        <v>4.8740053050397879E-2</v>
      </c>
      <c r="Z115" s="54">
        <f t="shared" si="131"/>
        <v>4.5078397212543551E-2</v>
      </c>
    </row>
    <row r="116" spans="1:26" x14ac:dyDescent="0.2">
      <c r="A116" s="193" t="s">
        <v>66</v>
      </c>
      <c r="B116" s="53">
        <v>0.20474137931034483</v>
      </c>
      <c r="C116" s="53">
        <v>0.22007502557690123</v>
      </c>
      <c r="D116" s="53">
        <v>0.23095802301963439</v>
      </c>
      <c r="E116" s="230">
        <v>0.21710839549277891</v>
      </c>
      <c r="F116" s="53">
        <v>0.23246985261277356</v>
      </c>
      <c r="G116" s="53">
        <v>0.19566371681415928</v>
      </c>
      <c r="H116" s="53">
        <v>0.18288635752085389</v>
      </c>
      <c r="I116" s="230">
        <v>0.18935347209430833</v>
      </c>
      <c r="J116" s="230">
        <v>0.1818903191676953</v>
      </c>
      <c r="K116" s="230">
        <f t="shared" si="117"/>
        <v>0.22096078063426533</v>
      </c>
      <c r="L116" s="230">
        <f t="shared" si="118"/>
        <v>0.21369886707601835</v>
      </c>
      <c r="M116" s="230">
        <f t="shared" si="119"/>
        <v>0.21414302836596086</v>
      </c>
      <c r="N116" s="230">
        <f t="shared" si="125"/>
        <v>0.21645205015249069</v>
      </c>
      <c r="O116" s="230">
        <f t="shared" si="125"/>
        <v>0.23598771070331312</v>
      </c>
      <c r="P116" s="230">
        <f t="shared" si="126"/>
        <v>0.22640397406752547</v>
      </c>
      <c r="Q116" s="230">
        <f t="shared" si="126"/>
        <v>0.24956624965756552</v>
      </c>
      <c r="R116" s="230">
        <f t="shared" si="127"/>
        <v>0.26574960127591707</v>
      </c>
      <c r="S116" s="230">
        <f t="shared" si="127"/>
        <v>0.27113573407202218</v>
      </c>
      <c r="T116" s="230">
        <f t="shared" si="121"/>
        <v>0.30286608863198461</v>
      </c>
      <c r="U116" s="230">
        <f t="shared" si="121"/>
        <v>0.30634880163182049</v>
      </c>
      <c r="V116" s="230">
        <f t="shared" si="122"/>
        <v>0.29043789097408401</v>
      </c>
      <c r="W116" s="230">
        <f t="shared" ref="W116" si="132">W104/W$111</f>
        <v>0.30154798761609908</v>
      </c>
      <c r="X116" s="230">
        <f t="shared" si="122"/>
        <v>0.30728999893265024</v>
      </c>
      <c r="Y116" s="230">
        <f t="shared" ref="Y116:Z116" si="133">Y104/Y$111</f>
        <v>0.3099027409372237</v>
      </c>
      <c r="Z116" s="54">
        <f t="shared" si="133"/>
        <v>0.31162891986062718</v>
      </c>
    </row>
    <row r="117" spans="1:26" x14ac:dyDescent="0.2">
      <c r="A117" s="193" t="s">
        <v>63</v>
      </c>
      <c r="B117" s="53">
        <v>3.9759215219976218E-2</v>
      </c>
      <c r="C117" s="53">
        <v>5.0244401500511536E-2</v>
      </c>
      <c r="D117" s="53">
        <v>3.9607312119160458E-2</v>
      </c>
      <c r="E117" s="230">
        <v>2.1583875575305507E-2</v>
      </c>
      <c r="F117" s="53">
        <v>2.5011165698972757E-2</v>
      </c>
      <c r="G117" s="53">
        <v>9.7610619469026549E-2</v>
      </c>
      <c r="H117" s="53">
        <v>9.7049062696205932E-2</v>
      </c>
      <c r="I117" s="230">
        <v>0.10591269110333394</v>
      </c>
      <c r="J117" s="230">
        <v>2.9712572738494092E-2</v>
      </c>
      <c r="K117" s="230">
        <f t="shared" si="117"/>
        <v>2.4582473259523362E-2</v>
      </c>
      <c r="L117" s="230">
        <f t="shared" si="118"/>
        <v>8.5617919225114594E-2</v>
      </c>
      <c r="M117" s="230">
        <f t="shared" si="119"/>
        <v>8.8933280063923287E-2</v>
      </c>
      <c r="N117" s="230">
        <f t="shared" si="125"/>
        <v>9.3358183666553712E-2</v>
      </c>
      <c r="O117" s="230">
        <f t="shared" si="125"/>
        <v>8.4862575770156934E-2</v>
      </c>
      <c r="P117" s="230">
        <f t="shared" si="126"/>
        <v>9.5731245263955544E-2</v>
      </c>
      <c r="Q117" s="230">
        <f t="shared" si="126"/>
        <v>9.5425075335585793E-2</v>
      </c>
      <c r="R117" s="230">
        <f t="shared" si="127"/>
        <v>9.3500797448165876E-2</v>
      </c>
      <c r="S117" s="230">
        <f t="shared" si="127"/>
        <v>8.5540166204986154E-2</v>
      </c>
      <c r="T117" s="230">
        <f t="shared" si="121"/>
        <v>8.0202312138728318E-2</v>
      </c>
      <c r="U117" s="230">
        <f t="shared" si="121"/>
        <v>8.3120856705762372E-2</v>
      </c>
      <c r="V117" s="230">
        <f t="shared" si="122"/>
        <v>7.2513723988254813E-2</v>
      </c>
      <c r="W117" s="230">
        <f t="shared" ref="W117" si="134">W105/W$111</f>
        <v>6.6996904024767809E-2</v>
      </c>
      <c r="X117" s="230">
        <f t="shared" si="122"/>
        <v>5.3580958480093928E-2</v>
      </c>
      <c r="Y117" s="230">
        <f t="shared" ref="Y117:Z117" si="135">Y105/Y$111</f>
        <v>4.6640141467727672E-2</v>
      </c>
      <c r="Z117" s="54">
        <f t="shared" si="135"/>
        <v>5.6946864111498255E-2</v>
      </c>
    </row>
    <row r="118" spans="1:26" x14ac:dyDescent="0.2">
      <c r="A118" s="193" t="s">
        <v>62</v>
      </c>
      <c r="B118" s="53">
        <v>0.33501783590963141</v>
      </c>
      <c r="C118" s="53">
        <v>0.30703648971240194</v>
      </c>
      <c r="D118" s="53">
        <v>0.31372714962762355</v>
      </c>
      <c r="E118" s="230">
        <v>0.3167751150611014</v>
      </c>
      <c r="F118" s="53">
        <v>0.30445139199047194</v>
      </c>
      <c r="G118" s="53">
        <v>0.26185840707964603</v>
      </c>
      <c r="H118" s="53">
        <v>0.25213023589559602</v>
      </c>
      <c r="I118" s="230">
        <v>0.23466568428808252</v>
      </c>
      <c r="J118" s="230">
        <v>0.30065244225004406</v>
      </c>
      <c r="K118" s="230">
        <f t="shared" si="117"/>
        <v>0.26299493338337399</v>
      </c>
      <c r="L118" s="230">
        <f t="shared" si="118"/>
        <v>0.20902879875464844</v>
      </c>
      <c r="M118" s="230">
        <f t="shared" si="119"/>
        <v>0.18993208150219737</v>
      </c>
      <c r="N118" s="230">
        <f t="shared" si="125"/>
        <v>0.19290071162317859</v>
      </c>
      <c r="O118" s="230">
        <f t="shared" si="125"/>
        <v>0.19015195549281741</v>
      </c>
      <c r="P118" s="230">
        <f t="shared" si="126"/>
        <v>0.17622295192388651</v>
      </c>
      <c r="Q118" s="230">
        <f t="shared" si="126"/>
        <v>0.16519039357136334</v>
      </c>
      <c r="R118" s="230">
        <f t="shared" si="127"/>
        <v>0.14154704944178628</v>
      </c>
      <c r="S118" s="230">
        <f t="shared" si="127"/>
        <v>0.14481994459833794</v>
      </c>
      <c r="T118" s="230">
        <f t="shared" si="121"/>
        <v>0.11741329479768786</v>
      </c>
      <c r="U118" s="230">
        <f t="shared" si="121"/>
        <v>0.10708822029576746</v>
      </c>
      <c r="V118" s="230">
        <f t="shared" si="122"/>
        <v>9.6897740329375717E-2</v>
      </c>
      <c r="W118" s="230">
        <f t="shared" ref="W118" si="136">W106/W$111</f>
        <v>9.5603715170278644E-2</v>
      </c>
      <c r="X118" s="230">
        <f t="shared" si="122"/>
        <v>8.6775536343259685E-2</v>
      </c>
      <c r="Y118" s="230">
        <f t="shared" ref="Y118:Z118" si="137">Y106/Y$111</f>
        <v>7.5375773651635725E-2</v>
      </c>
      <c r="Z118" s="54">
        <f t="shared" si="137"/>
        <v>7.6872822299651575E-2</v>
      </c>
    </row>
    <row r="119" spans="1:26" x14ac:dyDescent="0.2">
      <c r="A119" s="193" t="s">
        <v>64</v>
      </c>
      <c r="B119" s="53">
        <v>0.10486028537455411</v>
      </c>
      <c r="C119" s="53">
        <v>0.10662725929294077</v>
      </c>
      <c r="D119" s="53">
        <v>8.6492890995260668E-2</v>
      </c>
      <c r="E119" s="230">
        <v>0.10133312172671005</v>
      </c>
      <c r="F119" s="53">
        <v>9.5355069227333625E-2</v>
      </c>
      <c r="G119" s="53">
        <v>9.2654867256637172E-2</v>
      </c>
      <c r="H119" s="53">
        <v>0.10243071127455378</v>
      </c>
      <c r="I119" s="230">
        <v>0.1019524774359919</v>
      </c>
      <c r="J119" s="230">
        <v>0.12220067007582437</v>
      </c>
      <c r="K119" s="230">
        <f t="shared" si="117"/>
        <v>0.12056671045224245</v>
      </c>
      <c r="L119" s="230">
        <f t="shared" si="118"/>
        <v>9.1671711493557032E-2</v>
      </c>
      <c r="M119" s="230">
        <f t="shared" si="119"/>
        <v>0.11170595285657212</v>
      </c>
      <c r="N119" s="230">
        <f t="shared" si="125"/>
        <v>9.9203659776347E-2</v>
      </c>
      <c r="O119" s="230">
        <f t="shared" si="125"/>
        <v>9.3000083035788425E-2</v>
      </c>
      <c r="P119" s="230">
        <f t="shared" si="126"/>
        <v>8.966910836069715E-2</v>
      </c>
      <c r="Q119" s="230">
        <f t="shared" si="126"/>
        <v>9.4146653273673636E-2</v>
      </c>
      <c r="R119" s="230">
        <f t="shared" si="127"/>
        <v>9.4896331738437006E-2</v>
      </c>
      <c r="S119" s="230">
        <f t="shared" si="127"/>
        <v>8.8864265927977845E-2</v>
      </c>
      <c r="T119" s="230">
        <f t="shared" si="121"/>
        <v>7.3338150289017343E-2</v>
      </c>
      <c r="U119" s="230">
        <f t="shared" si="121"/>
        <v>6.5527791942886285E-2</v>
      </c>
      <c r="V119" s="230">
        <f t="shared" si="122"/>
        <v>7.3918039065492144E-2</v>
      </c>
      <c r="W119" s="230">
        <f t="shared" ref="W119" si="138">W107/W$111</f>
        <v>6.2043343653250781E-2</v>
      </c>
      <c r="X119" s="230">
        <f t="shared" si="122"/>
        <v>5.8490767424485002E-2</v>
      </c>
      <c r="Y119" s="230">
        <f t="shared" ref="Y119:Z119" si="139">Y107/Y$111</f>
        <v>5.4266136162687884E-2</v>
      </c>
      <c r="Z119" s="54">
        <f t="shared" si="139"/>
        <v>5.7600174216027873E-2</v>
      </c>
    </row>
    <row r="120" spans="1:26" x14ac:dyDescent="0.2">
      <c r="A120" s="187" t="s">
        <v>65</v>
      </c>
      <c r="B120" s="53">
        <v>0.11258917954815696</v>
      </c>
      <c r="C120" s="53">
        <v>0.15573490962828238</v>
      </c>
      <c r="D120" s="53">
        <v>0.12457684495599188</v>
      </c>
      <c r="E120" s="230">
        <v>0.12172671004602444</v>
      </c>
      <c r="F120" s="53">
        <v>0.11872859907696888</v>
      </c>
      <c r="G120" s="53">
        <v>0.13097345132743363</v>
      </c>
      <c r="H120" s="53">
        <v>0.14369001704188716</v>
      </c>
      <c r="I120" s="230">
        <v>0.15472462700313133</v>
      </c>
      <c r="J120" s="230">
        <v>0.14856286369247046</v>
      </c>
      <c r="K120" s="230">
        <f t="shared" si="117"/>
        <v>0.17386001125914805</v>
      </c>
      <c r="L120" s="230">
        <f t="shared" si="118"/>
        <v>0.20297500648620601</v>
      </c>
      <c r="M120" s="230">
        <f t="shared" si="119"/>
        <v>0.18833399920095886</v>
      </c>
      <c r="N120" s="230">
        <f t="shared" si="125"/>
        <v>0.19103693663165028</v>
      </c>
      <c r="O120" s="230">
        <f t="shared" si="125"/>
        <v>0.19363945860665946</v>
      </c>
      <c r="P120" s="230">
        <f t="shared" si="126"/>
        <v>0.20072408857455587</v>
      </c>
      <c r="Q120" s="230">
        <f t="shared" si="126"/>
        <v>0.21322253675463429</v>
      </c>
      <c r="R120" s="230">
        <f t="shared" si="127"/>
        <v>0.22218899521531099</v>
      </c>
      <c r="S120" s="230">
        <f t="shared" si="127"/>
        <v>0.21141274238227148</v>
      </c>
      <c r="T120" s="230">
        <f t="shared" si="121"/>
        <v>0.24674855491329481</v>
      </c>
      <c r="U120" s="230">
        <f t="shared" si="121"/>
        <v>0.27269250382457927</v>
      </c>
      <c r="V120" s="230">
        <f t="shared" si="122"/>
        <v>0.285331290693221</v>
      </c>
      <c r="W120" s="230">
        <f t="shared" ref="W120" si="140">W108/W$111</f>
        <v>0.27925696594427246</v>
      </c>
      <c r="X120" s="230">
        <f t="shared" si="122"/>
        <v>0.30547550432276654</v>
      </c>
      <c r="Y120" s="230">
        <f t="shared" ref="Y120:Z120" si="141">Y108/Y$111</f>
        <v>0.32062334217506633</v>
      </c>
      <c r="Z120" s="54">
        <f t="shared" si="141"/>
        <v>0.28745644599303138</v>
      </c>
    </row>
    <row r="121" spans="1:26" x14ac:dyDescent="0.2">
      <c r="A121" s="194" t="s">
        <v>68</v>
      </c>
      <c r="B121" s="56">
        <v>2.5193222354340072E-2</v>
      </c>
      <c r="C121" s="56">
        <v>3.0578606343071503E-2</v>
      </c>
      <c r="D121" s="56">
        <v>2.8859174001354095E-2</v>
      </c>
      <c r="E121" s="217">
        <v>3.3010633232820184E-2</v>
      </c>
      <c r="F121" s="56">
        <v>2.5457793657882984E-2</v>
      </c>
      <c r="G121" s="56">
        <v>4.008849557522124E-2</v>
      </c>
      <c r="H121" s="56">
        <v>3.9016952193021794E-2</v>
      </c>
      <c r="I121" s="217">
        <v>4.2825566402652421E-2</v>
      </c>
      <c r="J121" s="217">
        <v>4.6464468347734086E-2</v>
      </c>
      <c r="K121" s="217">
        <f t="shared" si="117"/>
        <v>4.5224244698817792E-2</v>
      </c>
      <c r="L121" s="56">
        <f t="shared" si="118"/>
        <v>4.2117097639021016E-2</v>
      </c>
      <c r="M121" s="56">
        <f t="shared" si="119"/>
        <v>4.314822213343987E-2</v>
      </c>
      <c r="N121" s="217">
        <f t="shared" si="125"/>
        <v>3.8376821416468997E-2</v>
      </c>
      <c r="O121" s="217">
        <f t="shared" si="125"/>
        <v>3.9275927924935644E-2</v>
      </c>
      <c r="P121" s="217">
        <f t="shared" si="126"/>
        <v>4.3276921781594681E-2</v>
      </c>
      <c r="Q121" s="217">
        <f t="shared" si="126"/>
        <v>3.9722399780841931E-2</v>
      </c>
      <c r="R121" s="217">
        <f t="shared" si="127"/>
        <v>4.1467304625199361E-2</v>
      </c>
      <c r="S121" s="217">
        <f t="shared" si="127"/>
        <v>5.5844875346260391E-2</v>
      </c>
      <c r="T121" s="217">
        <f t="shared" si="121"/>
        <v>5.1902697495183045E-2</v>
      </c>
      <c r="U121" s="217">
        <f t="shared" si="121"/>
        <v>5.2906680265170834E-2</v>
      </c>
      <c r="V121" s="217">
        <f t="shared" si="122"/>
        <v>4.4172092429465085E-2</v>
      </c>
      <c r="W121" s="217">
        <f t="shared" ref="W121" si="142">W109/W$111</f>
        <v>6.2910216718266257E-2</v>
      </c>
      <c r="X121" s="217">
        <f t="shared" si="122"/>
        <v>5.7636887608069162E-2</v>
      </c>
      <c r="Y121" s="217">
        <f t="shared" ref="Y121:Z121" si="143">Y109/Y$111</f>
        <v>6.1339522546419098E-2</v>
      </c>
      <c r="Z121" s="57">
        <f t="shared" si="143"/>
        <v>7.0666376306620204E-2</v>
      </c>
    </row>
    <row r="122" spans="1:26" x14ac:dyDescent="0.2">
      <c r="A122" s="478"/>
      <c r="B122" s="479"/>
      <c r="C122" s="479"/>
      <c r="D122" s="479"/>
      <c r="E122" s="480"/>
      <c r="F122" s="479"/>
      <c r="G122" s="479"/>
      <c r="H122" s="479"/>
      <c r="I122" s="480"/>
      <c r="J122" s="480"/>
      <c r="K122" s="480"/>
      <c r="L122" s="492"/>
      <c r="M122" s="492"/>
      <c r="N122" s="480">
        <f t="shared" si="125"/>
        <v>1.0166045408336157E-3</v>
      </c>
      <c r="O122" s="480"/>
      <c r="P122" s="480"/>
      <c r="Q122" s="480"/>
      <c r="R122" s="480">
        <f t="shared" si="127"/>
        <v>6.9776714513556618E-4</v>
      </c>
      <c r="S122" s="480">
        <f t="shared" si="127"/>
        <v>6.64819944598338E-4</v>
      </c>
      <c r="T122" s="480">
        <f t="shared" si="121"/>
        <v>0</v>
      </c>
      <c r="U122" s="480">
        <f t="shared" si="121"/>
        <v>0</v>
      </c>
      <c r="V122" s="480">
        <f t="shared" si="122"/>
        <v>1.1489850631941786E-3</v>
      </c>
      <c r="W122" s="480">
        <f t="shared" ref="W122" si="144">W110/W$111</f>
        <v>1.1145510835913314E-3</v>
      </c>
      <c r="X122" s="480">
        <f t="shared" si="122"/>
        <v>9.6061479346781938E-4</v>
      </c>
      <c r="Y122" s="480">
        <f t="shared" ref="Y122:Z122" si="145">Y110/Y$111</f>
        <v>0</v>
      </c>
      <c r="Z122" s="484">
        <f t="shared" si="145"/>
        <v>7.6219512195121954E-4</v>
      </c>
    </row>
    <row r="123" spans="1:26" ht="13.5" thickBot="1" x14ac:dyDescent="0.25">
      <c r="A123" s="196" t="s">
        <v>20</v>
      </c>
      <c r="B123" s="120">
        <v>1</v>
      </c>
      <c r="C123" s="120">
        <v>1</v>
      </c>
      <c r="D123" s="392">
        <v>1</v>
      </c>
      <c r="E123" s="393">
        <v>1</v>
      </c>
      <c r="F123" s="394">
        <v>1</v>
      </c>
      <c r="G123" s="394">
        <v>1</v>
      </c>
      <c r="H123" s="394">
        <v>1</v>
      </c>
      <c r="I123" s="395">
        <v>1</v>
      </c>
      <c r="J123" s="395">
        <v>1</v>
      </c>
      <c r="K123" s="395">
        <f>K111/$K$111</f>
        <v>1</v>
      </c>
      <c r="L123" s="467">
        <f>L111/$L$111</f>
        <v>1</v>
      </c>
      <c r="M123" s="467">
        <f>M111/$M$111</f>
        <v>1</v>
      </c>
      <c r="N123" s="467">
        <f t="shared" si="125"/>
        <v>1</v>
      </c>
      <c r="O123" s="467">
        <f t="shared" si="125"/>
        <v>1</v>
      </c>
      <c r="P123" s="467">
        <f t="shared" si="126"/>
        <v>1</v>
      </c>
      <c r="Q123" s="467">
        <f t="shared" si="126"/>
        <v>1</v>
      </c>
      <c r="R123" s="467">
        <f t="shared" si="127"/>
        <v>1</v>
      </c>
      <c r="S123" s="467">
        <f t="shared" si="127"/>
        <v>1</v>
      </c>
      <c r="T123" s="467">
        <f t="shared" si="121"/>
        <v>1</v>
      </c>
      <c r="U123" s="467">
        <f t="shared" si="121"/>
        <v>1</v>
      </c>
      <c r="V123" s="467">
        <f t="shared" si="122"/>
        <v>1</v>
      </c>
      <c r="W123" s="467">
        <f t="shared" ref="W123" si="146">W111/W$111</f>
        <v>1</v>
      </c>
      <c r="X123" s="467">
        <f t="shared" si="122"/>
        <v>1</v>
      </c>
      <c r="Y123" s="467">
        <f t="shared" ref="Y123:Z123" si="147">Y111/Y$111</f>
        <v>1</v>
      </c>
      <c r="Z123" s="451">
        <f t="shared" si="147"/>
        <v>1</v>
      </c>
    </row>
    <row r="124" spans="1:26" ht="5.0999999999999996" customHeight="1" thickTop="1" x14ac:dyDescent="0.2">
      <c r="A124" s="5"/>
      <c r="B124" s="38"/>
      <c r="C124" s="38"/>
      <c r="D124" s="40"/>
      <c r="E124" s="40"/>
      <c r="F124" s="40"/>
      <c r="G124" s="40"/>
      <c r="H124" s="40"/>
      <c r="I124" s="40"/>
      <c r="J124" s="40"/>
      <c r="K124" s="40"/>
    </row>
    <row r="125" spans="1:26" x14ac:dyDescent="0.2">
      <c r="A125" s="1" t="s">
        <v>80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O89"/>
  <sheetViews>
    <sheetView zoomScaleNormal="100" workbookViewId="0">
      <pane ySplit="2" topLeftCell="A22" activePane="bottomLeft" state="frozen"/>
      <selection sqref="A1:B4"/>
      <selection pane="bottomLeft"/>
    </sheetView>
  </sheetViews>
  <sheetFormatPr defaultColWidth="9.140625" defaultRowHeight="12.75" x14ac:dyDescent="0.2"/>
  <cols>
    <col min="1" max="1" width="9.140625" style="1"/>
    <col min="2" max="2" width="8.42578125" style="1" bestFit="1" customWidth="1"/>
    <col min="3" max="3" width="10.42578125" style="1" customWidth="1"/>
    <col min="4" max="4" width="7.5703125" style="1" customWidth="1"/>
    <col min="5" max="6" width="11.42578125" style="1" customWidth="1"/>
    <col min="7" max="7" width="11.140625" style="1" customWidth="1"/>
    <col min="8" max="9" width="7.42578125" style="1" customWidth="1"/>
    <col min="10" max="10" width="5.570312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42578125" style="1" customWidth="1"/>
    <col min="15" max="16384" width="9.140625" style="1"/>
  </cols>
  <sheetData>
    <row r="1" spans="1:15" ht="15.95" customHeight="1" thickBot="1" x14ac:dyDescent="0.25">
      <c r="A1" s="2" t="s">
        <v>164</v>
      </c>
    </row>
    <row r="2" spans="1:15" ht="90.75" thickTop="1" thickBot="1" x14ac:dyDescent="0.25">
      <c r="A2" s="23" t="s">
        <v>27</v>
      </c>
      <c r="B2" s="452" t="s">
        <v>16</v>
      </c>
      <c r="C2" s="305" t="s">
        <v>21</v>
      </c>
      <c r="D2" s="305" t="s">
        <v>17</v>
      </c>
      <c r="E2" s="305" t="s">
        <v>45</v>
      </c>
      <c r="F2" s="453" t="s">
        <v>46</v>
      </c>
      <c r="G2" s="453" t="s">
        <v>59</v>
      </c>
      <c r="H2" s="305" t="s">
        <v>28</v>
      </c>
      <c r="I2" s="305" t="s">
        <v>23</v>
      </c>
      <c r="J2" s="305" t="s">
        <v>29</v>
      </c>
      <c r="K2" s="305" t="s">
        <v>30</v>
      </c>
      <c r="L2" s="305" t="s">
        <v>42</v>
      </c>
      <c r="M2" s="305" t="s">
        <v>31</v>
      </c>
      <c r="N2" s="454" t="s">
        <v>72</v>
      </c>
      <c r="O2" s="455" t="s">
        <v>71</v>
      </c>
    </row>
    <row r="3" spans="1:15" ht="14.25" thickTop="1" thickBot="1" x14ac:dyDescent="0.25">
      <c r="A3" s="35" t="s">
        <v>11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x14ac:dyDescent="0.2">
      <c r="A4" s="186" t="s">
        <v>32</v>
      </c>
      <c r="B4" s="107">
        <v>9757</v>
      </c>
      <c r="C4" s="108">
        <v>7579</v>
      </c>
      <c r="D4" s="109">
        <v>1.2873730043541365</v>
      </c>
      <c r="E4" s="108">
        <v>8278</v>
      </c>
      <c r="F4" s="159">
        <v>0.84841652147176383</v>
      </c>
      <c r="G4" s="110" t="s">
        <v>73</v>
      </c>
      <c r="H4" s="108">
        <v>5522</v>
      </c>
      <c r="I4" s="108">
        <v>5184</v>
      </c>
      <c r="J4" s="160">
        <v>1.0652006172839505</v>
      </c>
      <c r="K4" s="108">
        <v>7577</v>
      </c>
      <c r="L4" s="108">
        <v>7503</v>
      </c>
      <c r="M4" s="160">
        <v>1.0098627215780354</v>
      </c>
      <c r="N4" s="306">
        <v>0.68399525003298589</v>
      </c>
      <c r="O4" s="111" t="s">
        <v>15</v>
      </c>
    </row>
    <row r="5" spans="1:15" ht="13.5" thickBot="1" x14ac:dyDescent="0.25">
      <c r="A5" s="190" t="s">
        <v>33</v>
      </c>
      <c r="B5" s="161">
        <v>26145</v>
      </c>
      <c r="C5" s="162">
        <v>16979</v>
      </c>
      <c r="D5" s="163">
        <v>1.5398433358855057</v>
      </c>
      <c r="E5" s="162">
        <v>21271</v>
      </c>
      <c r="F5" s="164">
        <v>0.81357812201185697</v>
      </c>
      <c r="G5" s="105" t="s">
        <v>73</v>
      </c>
      <c r="H5" s="162">
        <v>11388</v>
      </c>
      <c r="I5" s="162">
        <v>10214</v>
      </c>
      <c r="J5" s="165">
        <v>1.1149402780497357</v>
      </c>
      <c r="K5" s="162">
        <v>9128</v>
      </c>
      <c r="L5" s="162">
        <v>8953</v>
      </c>
      <c r="M5" s="165">
        <v>1.019546520719312</v>
      </c>
      <c r="N5" s="307">
        <v>0.60156664114494374</v>
      </c>
      <c r="O5" s="166" t="s">
        <v>15</v>
      </c>
    </row>
    <row r="6" spans="1:15" ht="13.5" thickBot="1" x14ac:dyDescent="0.25">
      <c r="A6" s="35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7"/>
    </row>
    <row r="7" spans="1:15" x14ac:dyDescent="0.2">
      <c r="A7" s="186" t="s">
        <v>32</v>
      </c>
      <c r="B7" s="107">
        <v>6136</v>
      </c>
      <c r="C7" s="108">
        <v>4799</v>
      </c>
      <c r="D7" s="109">
        <v>1.2785997082725569</v>
      </c>
      <c r="E7" s="108">
        <v>5060</v>
      </c>
      <c r="F7" s="159">
        <v>0.82464146023468055</v>
      </c>
      <c r="G7" s="108">
        <v>4305</v>
      </c>
      <c r="H7" s="108">
        <v>3690</v>
      </c>
      <c r="I7" s="108">
        <v>3470</v>
      </c>
      <c r="J7" s="160">
        <v>1.0634005763688761</v>
      </c>
      <c r="K7" s="108">
        <v>5714</v>
      </c>
      <c r="L7" s="108">
        <v>2945</v>
      </c>
      <c r="M7" s="160">
        <v>1.9402376910016979</v>
      </c>
      <c r="N7" s="306">
        <v>0.72306730568868516</v>
      </c>
      <c r="O7" s="111">
        <f>I7/G7</f>
        <v>0.80603948896631827</v>
      </c>
    </row>
    <row r="8" spans="1:15" ht="13.5" thickBot="1" x14ac:dyDescent="0.25">
      <c r="A8" s="190" t="s">
        <v>33</v>
      </c>
      <c r="B8" s="161">
        <v>15084</v>
      </c>
      <c r="C8" s="162">
        <v>10611</v>
      </c>
      <c r="D8" s="163">
        <v>1.4215436810856659</v>
      </c>
      <c r="E8" s="162">
        <v>11793</v>
      </c>
      <c r="F8" s="164">
        <v>0.78182179793158313</v>
      </c>
      <c r="G8" s="162">
        <v>9295</v>
      </c>
      <c r="H8" s="162">
        <v>7596</v>
      </c>
      <c r="I8" s="162">
        <v>6977</v>
      </c>
      <c r="J8" s="165">
        <v>1.0887200802637236</v>
      </c>
      <c r="K8" s="162">
        <v>2560</v>
      </c>
      <c r="L8" s="162">
        <v>5852</v>
      </c>
      <c r="M8" s="165">
        <v>0.43745727956254271</v>
      </c>
      <c r="N8" s="307">
        <v>0.65752520968805961</v>
      </c>
      <c r="O8" s="166">
        <f>I8/G8</f>
        <v>0.75061861215707371</v>
      </c>
    </row>
    <row r="9" spans="1:15" ht="13.5" thickBot="1" x14ac:dyDescent="0.25">
      <c r="A9" s="35" t="s">
        <v>5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7"/>
    </row>
    <row r="10" spans="1:15" x14ac:dyDescent="0.2">
      <c r="A10" s="186" t="s">
        <v>32</v>
      </c>
      <c r="B10" s="107">
        <v>7890</v>
      </c>
      <c r="C10" s="108">
        <v>6328</v>
      </c>
      <c r="D10" s="109">
        <v>1.2468394437420987</v>
      </c>
      <c r="E10" s="108">
        <v>6396</v>
      </c>
      <c r="F10" s="159">
        <v>0.8106463878326996</v>
      </c>
      <c r="G10" s="108">
        <v>5575</v>
      </c>
      <c r="H10" s="108">
        <v>4954</v>
      </c>
      <c r="I10" s="108">
        <v>4650</v>
      </c>
      <c r="J10" s="160">
        <v>1.0653763440860216</v>
      </c>
      <c r="K10" s="108">
        <v>3918</v>
      </c>
      <c r="L10" s="108">
        <v>3895</v>
      </c>
      <c r="M10" s="160">
        <v>1.0059050064184853</v>
      </c>
      <c r="N10" s="306">
        <v>0.73482932996207329</v>
      </c>
      <c r="O10" s="111">
        <f>I10/G10</f>
        <v>0.8340807174887892</v>
      </c>
    </row>
    <row r="11" spans="1:15" ht="13.5" thickBot="1" x14ac:dyDescent="0.25">
      <c r="A11" s="190" t="s">
        <v>33</v>
      </c>
      <c r="B11" s="161">
        <v>20321</v>
      </c>
      <c r="C11" s="162">
        <v>14018</v>
      </c>
      <c r="D11" s="163">
        <v>1.4496361820516479</v>
      </c>
      <c r="E11" s="162">
        <v>15311</v>
      </c>
      <c r="F11" s="164">
        <v>0.75345701491068351</v>
      </c>
      <c r="G11" s="162">
        <v>12018</v>
      </c>
      <c r="H11" s="162">
        <v>10069</v>
      </c>
      <c r="I11" s="162">
        <v>9186</v>
      </c>
      <c r="J11" s="165">
        <v>1.0961245373394295</v>
      </c>
      <c r="K11" s="162">
        <v>8015</v>
      </c>
      <c r="L11" s="162">
        <v>7921</v>
      </c>
      <c r="M11" s="165">
        <v>1.0118671884863022</v>
      </c>
      <c r="N11" s="307">
        <v>0.65530032814952199</v>
      </c>
      <c r="O11" s="166">
        <f>I11/G11</f>
        <v>0.76435346979530705</v>
      </c>
    </row>
    <row r="12" spans="1:15" ht="13.5" thickBot="1" x14ac:dyDescent="0.25">
      <c r="A12" s="35" t="s">
        <v>41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7"/>
    </row>
    <row r="13" spans="1:15" x14ac:dyDescent="0.2">
      <c r="A13" s="186" t="s">
        <v>32</v>
      </c>
      <c r="B13" s="107">
        <v>8890</v>
      </c>
      <c r="C13" s="108">
        <v>7335</v>
      </c>
      <c r="D13" s="109">
        <v>1.2119972733469666</v>
      </c>
      <c r="E13" s="108">
        <v>7409</v>
      </c>
      <c r="F13" s="159">
        <v>0.83340832395950504</v>
      </c>
      <c r="G13" s="108">
        <v>6532</v>
      </c>
      <c r="H13" s="108">
        <v>5543</v>
      </c>
      <c r="I13" s="108">
        <v>5268</v>
      </c>
      <c r="J13" s="160">
        <v>1.0522019741837509</v>
      </c>
      <c r="K13" s="108">
        <v>4510</v>
      </c>
      <c r="L13" s="108">
        <v>4465</v>
      </c>
      <c r="M13" s="160">
        <v>1.0100783874580068</v>
      </c>
      <c r="N13" s="306">
        <v>0.71820040899795501</v>
      </c>
      <c r="O13" s="111">
        <f>I13/G13</f>
        <v>0.80649112063686468</v>
      </c>
    </row>
    <row r="14" spans="1:15" ht="13.5" thickBot="1" x14ac:dyDescent="0.25">
      <c r="A14" s="190" t="s">
        <v>33</v>
      </c>
      <c r="B14" s="161">
        <v>20560</v>
      </c>
      <c r="C14" s="162">
        <v>14885</v>
      </c>
      <c r="D14" s="163">
        <v>1.3812562982868659</v>
      </c>
      <c r="E14" s="162">
        <v>16134</v>
      </c>
      <c r="F14" s="164">
        <v>0.78472762645914396</v>
      </c>
      <c r="G14" s="162">
        <v>12988</v>
      </c>
      <c r="H14" s="162">
        <v>10417</v>
      </c>
      <c r="I14" s="162">
        <v>9555</v>
      </c>
      <c r="J14" s="165">
        <v>1.0902145473574045</v>
      </c>
      <c r="K14" s="162">
        <v>8279</v>
      </c>
      <c r="L14" s="162">
        <v>8137</v>
      </c>
      <c r="M14" s="165">
        <v>1.0174511490721396</v>
      </c>
      <c r="N14" s="307">
        <v>0.64192139737991272</v>
      </c>
      <c r="O14" s="166">
        <f>I14/G14</f>
        <v>0.73567908838928242</v>
      </c>
    </row>
    <row r="15" spans="1:15" ht="13.5" thickBot="1" x14ac:dyDescent="0.25">
      <c r="A15" s="35" t="s">
        <v>53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7"/>
    </row>
    <row r="16" spans="1:15" x14ac:dyDescent="0.2">
      <c r="A16" s="186" t="s">
        <v>32</v>
      </c>
      <c r="B16" s="107">
        <v>10021</v>
      </c>
      <c r="C16" s="108">
        <v>8237</v>
      </c>
      <c r="D16" s="109">
        <v>1.2165837076605561</v>
      </c>
      <c r="E16" s="108">
        <v>8320</v>
      </c>
      <c r="F16" s="159">
        <v>0.83025646143099496</v>
      </c>
      <c r="G16" s="108">
        <v>7271</v>
      </c>
      <c r="H16" s="108">
        <v>5832</v>
      </c>
      <c r="I16" s="108">
        <v>5574</v>
      </c>
      <c r="J16" s="160">
        <v>1.0462863293864371</v>
      </c>
      <c r="K16" s="108">
        <v>4840</v>
      </c>
      <c r="L16" s="108">
        <v>4798</v>
      </c>
      <c r="M16" s="160">
        <v>1.0087536473530638</v>
      </c>
      <c r="N16" s="306">
        <v>0.67670268301566106</v>
      </c>
      <c r="O16" s="111">
        <f>I16/G16</f>
        <v>0.76660706917892996</v>
      </c>
    </row>
    <row r="17" spans="1:15" ht="13.5" thickBot="1" x14ac:dyDescent="0.25">
      <c r="A17" s="190" t="s">
        <v>33</v>
      </c>
      <c r="B17" s="161">
        <v>22652</v>
      </c>
      <c r="C17" s="162">
        <v>16102</v>
      </c>
      <c r="D17" s="163">
        <v>1.4067817662402187</v>
      </c>
      <c r="E17" s="162">
        <v>17863</v>
      </c>
      <c r="F17" s="164">
        <v>0.78858378951085994</v>
      </c>
      <c r="G17" s="162">
        <v>14123</v>
      </c>
      <c r="H17" s="162">
        <v>10724</v>
      </c>
      <c r="I17" s="162">
        <v>9933</v>
      </c>
      <c r="J17" s="165">
        <v>1.0796335447498238</v>
      </c>
      <c r="K17" s="162">
        <v>8746</v>
      </c>
      <c r="L17" s="162">
        <v>8636</v>
      </c>
      <c r="M17" s="165">
        <v>1.0127373784159333</v>
      </c>
      <c r="N17" s="307">
        <v>0.61687989069680782</v>
      </c>
      <c r="O17" s="166">
        <f>I17/G17</f>
        <v>0.70332082418749553</v>
      </c>
    </row>
    <row r="18" spans="1:15" ht="13.5" thickBot="1" x14ac:dyDescent="0.25">
      <c r="A18" s="35" t="s">
        <v>54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7"/>
    </row>
    <row r="19" spans="1:15" x14ac:dyDescent="0.2">
      <c r="A19" s="186" t="s">
        <v>32</v>
      </c>
      <c r="B19" s="107">
        <v>7098</v>
      </c>
      <c r="C19" s="108">
        <v>5995</v>
      </c>
      <c r="D19" s="109">
        <v>1.1839866555462886</v>
      </c>
      <c r="E19" s="108">
        <v>5166</v>
      </c>
      <c r="F19" s="159">
        <v>0.72781065088757402</v>
      </c>
      <c r="G19" s="108">
        <v>5166</v>
      </c>
      <c r="H19" s="108">
        <v>4469</v>
      </c>
      <c r="I19" s="108">
        <v>4242</v>
      </c>
      <c r="J19" s="160">
        <v>1.0535124941065535</v>
      </c>
      <c r="K19" s="108">
        <v>3592</v>
      </c>
      <c r="L19" s="108">
        <v>3561</v>
      </c>
      <c r="M19" s="160">
        <v>1.0087054198258916</v>
      </c>
      <c r="N19" s="306">
        <v>0.70758965804837359</v>
      </c>
      <c r="O19" s="111">
        <v>0.82113821138211385</v>
      </c>
    </row>
    <row r="20" spans="1:15" ht="13.5" thickBot="1" x14ac:dyDescent="0.25">
      <c r="A20" s="190" t="s">
        <v>33</v>
      </c>
      <c r="B20" s="161">
        <v>19909</v>
      </c>
      <c r="C20" s="162">
        <v>14600</v>
      </c>
      <c r="D20" s="163">
        <v>1.3636301369863013</v>
      </c>
      <c r="E20" s="162">
        <v>12411</v>
      </c>
      <c r="F20" s="164">
        <v>0.62338640815711488</v>
      </c>
      <c r="G20" s="162">
        <v>12411</v>
      </c>
      <c r="H20" s="162">
        <v>9946</v>
      </c>
      <c r="I20" s="162">
        <v>9119</v>
      </c>
      <c r="J20" s="165">
        <v>1.0906897686149797</v>
      </c>
      <c r="K20" s="162">
        <v>7852</v>
      </c>
      <c r="L20" s="162">
        <v>7739</v>
      </c>
      <c r="M20" s="165">
        <v>1.0146013696860059</v>
      </c>
      <c r="N20" s="307">
        <f>I20/C20</f>
        <v>0.62458904109589042</v>
      </c>
      <c r="O20" s="166">
        <f>I20/G20</f>
        <v>0.73475143018290223</v>
      </c>
    </row>
    <row r="21" spans="1:15" ht="13.5" thickBot="1" x14ac:dyDescent="0.25">
      <c r="A21" s="35" t="s">
        <v>76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7"/>
    </row>
    <row r="22" spans="1:15" x14ac:dyDescent="0.2">
      <c r="A22" s="186" t="s">
        <v>32</v>
      </c>
      <c r="B22" s="107">
        <v>6973</v>
      </c>
      <c r="C22" s="108">
        <v>5825</v>
      </c>
      <c r="D22" s="109">
        <v>1.1970815450643777</v>
      </c>
      <c r="E22" s="108">
        <v>5602</v>
      </c>
      <c r="F22" s="159">
        <f>E22/B22</f>
        <v>0.80338448300587983</v>
      </c>
      <c r="G22" s="108">
        <v>4965</v>
      </c>
      <c r="H22" s="108">
        <v>4557</v>
      </c>
      <c r="I22" s="108">
        <v>4229</v>
      </c>
      <c r="J22" s="160">
        <v>1.0775597067864744</v>
      </c>
      <c r="K22" s="108">
        <v>3663</v>
      </c>
      <c r="L22" s="108">
        <v>3572</v>
      </c>
      <c r="M22" s="160">
        <v>1.0254759238521836</v>
      </c>
      <c r="N22" s="306">
        <v>0.72600858369098709</v>
      </c>
      <c r="O22" s="111">
        <v>0.8517623363544814</v>
      </c>
    </row>
    <row r="23" spans="1:15" ht="13.5" thickBot="1" x14ac:dyDescent="0.25">
      <c r="A23" s="190" t="s">
        <v>33</v>
      </c>
      <c r="B23" s="161">
        <v>18000</v>
      </c>
      <c r="C23" s="162">
        <v>13617</v>
      </c>
      <c r="D23" s="163">
        <v>1.3218770654329148</v>
      </c>
      <c r="E23" s="162">
        <v>13529</v>
      </c>
      <c r="F23" s="164">
        <f>E23/B23</f>
        <v>0.75161111111111112</v>
      </c>
      <c r="G23" s="162">
        <v>11345</v>
      </c>
      <c r="H23" s="162">
        <v>9736</v>
      </c>
      <c r="I23" s="162">
        <v>8975</v>
      </c>
      <c r="J23" s="165">
        <v>1.0847910863509749</v>
      </c>
      <c r="K23" s="162">
        <v>7690</v>
      </c>
      <c r="L23" s="162">
        <v>7578</v>
      </c>
      <c r="M23" s="165">
        <v>1.0147796252309316</v>
      </c>
      <c r="N23" s="307">
        <v>0.65910259234780055</v>
      </c>
      <c r="O23" s="166">
        <v>0.79109739973556636</v>
      </c>
    </row>
    <row r="24" spans="1:15" ht="13.5" thickBot="1" x14ac:dyDescent="0.25">
      <c r="A24" s="35" t="s">
        <v>84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7"/>
    </row>
    <row r="25" spans="1:15" x14ac:dyDescent="0.2">
      <c r="A25" s="186" t="s">
        <v>32</v>
      </c>
      <c r="B25" s="107">
        <v>9268</v>
      </c>
      <c r="C25" s="108">
        <v>5810</v>
      </c>
      <c r="D25" s="109">
        <v>1.5951807228915662</v>
      </c>
      <c r="E25" s="108">
        <v>6011</v>
      </c>
      <c r="F25" s="159">
        <v>0.64857574449719468</v>
      </c>
      <c r="G25" s="108">
        <v>4880</v>
      </c>
      <c r="H25" s="108">
        <v>4446</v>
      </c>
      <c r="I25" s="108">
        <v>4092</v>
      </c>
      <c r="J25" s="160">
        <v>1.0865102639296187</v>
      </c>
      <c r="K25" s="108">
        <v>3503</v>
      </c>
      <c r="L25" s="108">
        <v>3441</v>
      </c>
      <c r="M25" s="160">
        <v>1.0180180180180181</v>
      </c>
      <c r="N25" s="306">
        <v>0.70430292598967292</v>
      </c>
      <c r="O25" s="111">
        <v>0.83852459016393444</v>
      </c>
    </row>
    <row r="26" spans="1:15" ht="13.5" thickBot="1" x14ac:dyDescent="0.25">
      <c r="A26" s="190" t="s">
        <v>33</v>
      </c>
      <c r="B26" s="161">
        <v>13353</v>
      </c>
      <c r="C26" s="162">
        <v>11354</v>
      </c>
      <c r="D26" s="163">
        <v>1.176061299982385</v>
      </c>
      <c r="E26" s="162">
        <v>11466</v>
      </c>
      <c r="F26" s="164">
        <v>0.85868344192316337</v>
      </c>
      <c r="G26" s="162">
        <v>10109</v>
      </c>
      <c r="H26" s="162">
        <v>9143</v>
      </c>
      <c r="I26" s="162">
        <v>8553</v>
      </c>
      <c r="J26" s="165">
        <v>1.0689816438676487</v>
      </c>
      <c r="K26" s="162">
        <v>7476</v>
      </c>
      <c r="L26" s="162">
        <v>7417</v>
      </c>
      <c r="M26" s="165">
        <v>1.0079546986652286</v>
      </c>
      <c r="N26" s="307">
        <v>0.75330280077505729</v>
      </c>
      <c r="O26" s="166">
        <v>0.84607775249777428</v>
      </c>
    </row>
    <row r="27" spans="1:15" ht="13.5" thickBot="1" x14ac:dyDescent="0.25">
      <c r="A27" s="35" t="s">
        <v>87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7"/>
    </row>
    <row r="28" spans="1:15" x14ac:dyDescent="0.2">
      <c r="A28" s="186" t="s">
        <v>32</v>
      </c>
      <c r="B28" s="107">
        <v>8025</v>
      </c>
      <c r="C28" s="108">
        <v>6107</v>
      </c>
      <c r="D28" s="109">
        <v>1.3140658261011953</v>
      </c>
      <c r="E28" s="108">
        <v>5939</v>
      </c>
      <c r="F28" s="159">
        <v>0.74006230529595018</v>
      </c>
      <c r="G28" s="108">
        <v>5244</v>
      </c>
      <c r="H28" s="108">
        <v>4807</v>
      </c>
      <c r="I28" s="108">
        <v>4559</v>
      </c>
      <c r="J28" s="160">
        <v>1.0543978942750603</v>
      </c>
      <c r="K28" s="108">
        <v>3777</v>
      </c>
      <c r="L28" s="108">
        <v>3754</v>
      </c>
      <c r="M28" s="160">
        <v>1.0061267980820459</v>
      </c>
      <c r="N28" s="306">
        <v>0.70430292598967292</v>
      </c>
      <c r="O28" s="111">
        <v>0.86937452326468345</v>
      </c>
    </row>
    <row r="29" spans="1:15" ht="13.5" thickBot="1" x14ac:dyDescent="0.25">
      <c r="A29" s="191" t="s">
        <v>33</v>
      </c>
      <c r="B29" s="167">
        <v>13213</v>
      </c>
      <c r="C29" s="168">
        <v>11377</v>
      </c>
      <c r="D29" s="169">
        <v>1.1613782192142041</v>
      </c>
      <c r="E29" s="168">
        <v>11709</v>
      </c>
      <c r="F29" s="170">
        <v>0.88617270869598119</v>
      </c>
      <c r="G29" s="168">
        <v>10356</v>
      </c>
      <c r="H29" s="168">
        <v>9702</v>
      </c>
      <c r="I29" s="168">
        <v>9070</v>
      </c>
      <c r="J29" s="171">
        <v>1.0696802646085999</v>
      </c>
      <c r="K29" s="168">
        <v>7647</v>
      </c>
      <c r="L29" s="168">
        <v>7588</v>
      </c>
      <c r="M29" s="171">
        <v>1.0077754348972061</v>
      </c>
      <c r="N29" s="308">
        <v>0.75330280077505729</v>
      </c>
      <c r="O29" s="172">
        <v>0.87582078022402476</v>
      </c>
    </row>
    <row r="30" spans="1:15" ht="14.25" thickTop="1" thickBot="1" x14ac:dyDescent="0.25">
      <c r="A30" s="35" t="s">
        <v>89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</row>
    <row r="31" spans="1:15" x14ac:dyDescent="0.2">
      <c r="A31" s="186" t="s">
        <v>32</v>
      </c>
      <c r="B31" s="107">
        <v>4646</v>
      </c>
      <c r="C31" s="108">
        <v>4304</v>
      </c>
      <c r="D31" s="109">
        <f>B31/C31</f>
        <v>1.079460966542751</v>
      </c>
      <c r="E31" s="108">
        <v>4095</v>
      </c>
      <c r="F31" s="159">
        <f>E31/B31</f>
        <v>0.88140335772707701</v>
      </c>
      <c r="G31" s="108">
        <v>3840</v>
      </c>
      <c r="H31" s="108">
        <v>3551</v>
      </c>
      <c r="I31" s="108">
        <v>3406</v>
      </c>
      <c r="J31" s="160">
        <f>H31/I31</f>
        <v>1.0425719318849089</v>
      </c>
      <c r="K31" s="108">
        <v>3037</v>
      </c>
      <c r="L31" s="108">
        <v>3018</v>
      </c>
      <c r="M31" s="160">
        <f>K31/L31</f>
        <v>1.0062955599734924</v>
      </c>
      <c r="N31" s="306">
        <f>I31/C31</f>
        <v>0.79135687732342008</v>
      </c>
      <c r="O31" s="111">
        <f>I31/G31</f>
        <v>0.88697916666666665</v>
      </c>
    </row>
    <row r="32" spans="1:15" ht="13.5" thickBot="1" x14ac:dyDescent="0.25">
      <c r="A32" s="435" t="s">
        <v>33</v>
      </c>
      <c r="B32" s="436">
        <v>14251</v>
      </c>
      <c r="C32" s="437">
        <v>12399</v>
      </c>
      <c r="D32" s="438">
        <f>B32/C32</f>
        <v>1.1493668844261633</v>
      </c>
      <c r="E32" s="437">
        <v>12060</v>
      </c>
      <c r="F32" s="439">
        <f>E32/B32</f>
        <v>0.84625640305943439</v>
      </c>
      <c r="G32" s="437">
        <v>10753</v>
      </c>
      <c r="H32" s="437">
        <v>9965</v>
      </c>
      <c r="I32" s="437">
        <v>9187</v>
      </c>
      <c r="J32" s="440">
        <f>H32/I32</f>
        <v>1.0846848808098399</v>
      </c>
      <c r="K32" s="437">
        <v>7764</v>
      </c>
      <c r="L32" s="437">
        <v>7640</v>
      </c>
      <c r="M32" s="440">
        <f>K32/L32</f>
        <v>1.0162303664921466</v>
      </c>
      <c r="N32" s="441">
        <f>I32/C32</f>
        <v>0.7409468505524639</v>
      </c>
      <c r="O32" s="442">
        <f>I32/G32</f>
        <v>0.85436622337952195</v>
      </c>
    </row>
    <row r="33" spans="1:15" ht="13.5" thickBot="1" x14ac:dyDescent="0.25">
      <c r="A33" s="35" t="s">
        <v>108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7"/>
    </row>
    <row r="34" spans="1:15" x14ac:dyDescent="0.2">
      <c r="A34" s="186" t="s">
        <v>32</v>
      </c>
      <c r="B34" s="107">
        <v>4840</v>
      </c>
      <c r="C34" s="108">
        <v>4432</v>
      </c>
      <c r="D34" s="109">
        <f>B34/C34</f>
        <v>1.092057761732852</v>
      </c>
      <c r="E34" s="108">
        <v>4347</v>
      </c>
      <c r="F34" s="159">
        <f>E34/B34</f>
        <v>0.89814049586776856</v>
      </c>
      <c r="G34" s="108">
        <v>4056</v>
      </c>
      <c r="H34" s="108">
        <v>3792</v>
      </c>
      <c r="I34" s="108">
        <v>3651</v>
      </c>
      <c r="J34" s="160">
        <f>H34/I34</f>
        <v>1.038619556285949</v>
      </c>
      <c r="K34" s="108">
        <v>3246</v>
      </c>
      <c r="L34" s="108">
        <v>3217</v>
      </c>
      <c r="M34" s="160">
        <f>K34/L34</f>
        <v>1.0090146098849859</v>
      </c>
      <c r="N34" s="306">
        <f>I34/C34</f>
        <v>0.82378158844765348</v>
      </c>
      <c r="O34" s="111">
        <f>I34/G34</f>
        <v>0.9001479289940828</v>
      </c>
    </row>
    <row r="35" spans="1:15" ht="13.5" thickBot="1" x14ac:dyDescent="0.25">
      <c r="A35" s="191" t="s">
        <v>33</v>
      </c>
      <c r="B35" s="167">
        <v>15783</v>
      </c>
      <c r="C35" s="168">
        <v>13264</v>
      </c>
      <c r="D35" s="169">
        <f>B35/C35</f>
        <v>1.1899125452352231</v>
      </c>
      <c r="E35" s="168">
        <v>13720</v>
      </c>
      <c r="F35" s="170">
        <f>E35/B35</f>
        <v>0.86928974212760568</v>
      </c>
      <c r="G35" s="168">
        <v>11916</v>
      </c>
      <c r="H35" s="168">
        <v>11044</v>
      </c>
      <c r="I35" s="168">
        <v>10090</v>
      </c>
      <c r="J35" s="171">
        <f>H35/I35</f>
        <v>1.0945490584737363</v>
      </c>
      <c r="K35" s="168">
        <v>8477</v>
      </c>
      <c r="L35" s="168">
        <v>8346</v>
      </c>
      <c r="M35" s="171">
        <f>K35/L35</f>
        <v>1.0156961418643662</v>
      </c>
      <c r="N35" s="308">
        <f>I35/C35</f>
        <v>0.7607056694813028</v>
      </c>
      <c r="O35" s="172">
        <f>I35/G35</f>
        <v>0.84676065793890565</v>
      </c>
    </row>
    <row r="36" spans="1:15" ht="14.25" thickTop="1" thickBot="1" x14ac:dyDescent="0.25">
      <c r="A36" s="35" t="s">
        <v>118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7"/>
    </row>
    <row r="37" spans="1:15" x14ac:dyDescent="0.2">
      <c r="A37" s="186" t="s">
        <v>32</v>
      </c>
      <c r="B37" s="107">
        <v>5689</v>
      </c>
      <c r="C37" s="108">
        <v>5161</v>
      </c>
      <c r="D37" s="109">
        <f>B37/C37</f>
        <v>1.1023057546987018</v>
      </c>
      <c r="E37" s="108">
        <v>5246</v>
      </c>
      <c r="F37" s="159">
        <f>E37/B37</f>
        <v>0.92213042714009497</v>
      </c>
      <c r="G37" s="108">
        <v>4853</v>
      </c>
      <c r="H37" s="108">
        <v>4375</v>
      </c>
      <c r="I37" s="108">
        <v>4185</v>
      </c>
      <c r="J37" s="160">
        <f>H37/I37</f>
        <v>1.0454002389486261</v>
      </c>
      <c r="K37" s="108">
        <v>3711</v>
      </c>
      <c r="L37" s="108">
        <v>3684</v>
      </c>
      <c r="M37" s="160">
        <f>K37/L37</f>
        <v>1.0073289902280129</v>
      </c>
      <c r="N37" s="306">
        <f>I37/C37</f>
        <v>0.81088936252664212</v>
      </c>
      <c r="O37" s="111">
        <f>I37/G37</f>
        <v>0.86235318359777458</v>
      </c>
    </row>
    <row r="38" spans="1:15" ht="13.5" thickBot="1" x14ac:dyDescent="0.25">
      <c r="A38" s="191" t="s">
        <v>33</v>
      </c>
      <c r="B38" s="167">
        <v>16457</v>
      </c>
      <c r="C38" s="168">
        <v>13880</v>
      </c>
      <c r="D38" s="169">
        <f>B38/C38</f>
        <v>1.1856628242074927</v>
      </c>
      <c r="E38" s="168">
        <v>14388</v>
      </c>
      <c r="F38" s="170">
        <f>E38/B38</f>
        <v>0.87427842255575139</v>
      </c>
      <c r="G38" s="168">
        <v>12565</v>
      </c>
      <c r="H38" s="168">
        <v>11082</v>
      </c>
      <c r="I38" s="168">
        <v>10262</v>
      </c>
      <c r="J38" s="171">
        <f>H38/I38</f>
        <v>1.0799064509842136</v>
      </c>
      <c r="K38" s="168">
        <v>8973</v>
      </c>
      <c r="L38" s="168">
        <v>8831</v>
      </c>
      <c r="M38" s="171">
        <f>K38/L38</f>
        <v>1.0160797191711017</v>
      </c>
      <c r="N38" s="308">
        <f>I38/C38</f>
        <v>0.73933717579250724</v>
      </c>
      <c r="O38" s="172">
        <f>I38/G38</f>
        <v>0.81671309192200559</v>
      </c>
    </row>
    <row r="39" spans="1:15" ht="14.25" thickTop="1" thickBot="1" x14ac:dyDescent="0.25">
      <c r="A39" s="35" t="s">
        <v>121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7"/>
    </row>
    <row r="40" spans="1:15" x14ac:dyDescent="0.2">
      <c r="A40" s="186" t="s">
        <v>32</v>
      </c>
      <c r="B40" s="107">
        <v>5361</v>
      </c>
      <c r="C40" s="108">
        <v>4824</v>
      </c>
      <c r="D40" s="109">
        <f>B40/C40</f>
        <v>1.111318407960199</v>
      </c>
      <c r="E40" s="108">
        <v>4967</v>
      </c>
      <c r="F40" s="159">
        <f>E40/B40</f>
        <v>0.92650624883417276</v>
      </c>
      <c r="G40" s="108">
        <v>4565</v>
      </c>
      <c r="H40" s="108">
        <v>4176</v>
      </c>
      <c r="I40" s="108">
        <v>4005</v>
      </c>
      <c r="J40" s="160">
        <f>H40/I40</f>
        <v>1.0426966292134832</v>
      </c>
      <c r="K40" s="108">
        <v>3551</v>
      </c>
      <c r="L40" s="108">
        <v>3529</v>
      </c>
      <c r="M40" s="160">
        <f>K40/L40</f>
        <v>1.0062340606404081</v>
      </c>
      <c r="N40" s="306">
        <f>I40/C40</f>
        <v>0.83022388059701491</v>
      </c>
      <c r="O40" s="111">
        <f>I40/G40</f>
        <v>0.8773274917853231</v>
      </c>
    </row>
    <row r="41" spans="1:15" ht="13.5" thickBot="1" x14ac:dyDescent="0.25">
      <c r="A41" s="191" t="s">
        <v>33</v>
      </c>
      <c r="B41" s="167">
        <v>15997</v>
      </c>
      <c r="C41" s="168">
        <v>13040</v>
      </c>
      <c r="D41" s="169">
        <f>B41/C41</f>
        <v>1.2267638036809816</v>
      </c>
      <c r="E41" s="168">
        <v>14106</v>
      </c>
      <c r="F41" s="170">
        <f>E41/B41</f>
        <v>0.88179033568794152</v>
      </c>
      <c r="G41" s="168">
        <v>11893</v>
      </c>
      <c r="H41" s="168">
        <v>10803</v>
      </c>
      <c r="I41" s="168">
        <v>9815</v>
      </c>
      <c r="J41" s="171">
        <f>H41/I41</f>
        <v>1.100662251655629</v>
      </c>
      <c r="K41" s="168">
        <v>8377</v>
      </c>
      <c r="L41" s="168">
        <v>8275</v>
      </c>
      <c r="M41" s="171">
        <f>K41/L41</f>
        <v>1.0123262839879155</v>
      </c>
      <c r="N41" s="308">
        <f>I41/C41</f>
        <v>0.75268404907975461</v>
      </c>
      <c r="O41" s="172">
        <f>I41/G41</f>
        <v>0.82527537206760282</v>
      </c>
    </row>
    <row r="42" spans="1:15" ht="14.25" thickTop="1" thickBot="1" x14ac:dyDescent="0.25">
      <c r="A42" s="35" t="s">
        <v>132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</row>
    <row r="43" spans="1:15" x14ac:dyDescent="0.2">
      <c r="A43" s="186" t="s">
        <v>32</v>
      </c>
      <c r="B43" s="107">
        <v>5194</v>
      </c>
      <c r="C43" s="108">
        <v>4686</v>
      </c>
      <c r="D43" s="109">
        <f>B43/C43</f>
        <v>1.1084080239009817</v>
      </c>
      <c r="E43" s="108">
        <v>4743</v>
      </c>
      <c r="F43" s="159">
        <f>E43/B43</f>
        <v>0.9131690412013862</v>
      </c>
      <c r="G43" s="108">
        <v>4365</v>
      </c>
      <c r="H43" s="108">
        <v>4061</v>
      </c>
      <c r="I43" s="108">
        <v>3902</v>
      </c>
      <c r="J43" s="160">
        <f>H43/I43</f>
        <v>1.040748334187596</v>
      </c>
      <c r="K43" s="108">
        <v>3505</v>
      </c>
      <c r="L43" s="108">
        <v>3477</v>
      </c>
      <c r="M43" s="160">
        <f>K43/L43</f>
        <v>1.0080529191832039</v>
      </c>
      <c r="N43" s="306">
        <f>I43/C43</f>
        <v>0.83269312846777632</v>
      </c>
      <c r="O43" s="111">
        <f>I43/G43</f>
        <v>0.89392898052691872</v>
      </c>
    </row>
    <row r="44" spans="1:15" ht="13.5" thickBot="1" x14ac:dyDescent="0.25">
      <c r="A44" s="191" t="s">
        <v>33</v>
      </c>
      <c r="B44" s="167">
        <v>15797</v>
      </c>
      <c r="C44" s="168">
        <v>12919</v>
      </c>
      <c r="D44" s="169">
        <f>B44/C44</f>
        <v>1.2227726604226334</v>
      </c>
      <c r="E44" s="168">
        <v>13904</v>
      </c>
      <c r="F44" s="170">
        <f>E44/B44</f>
        <v>0.88016712033930489</v>
      </c>
      <c r="G44" s="168">
        <v>11831</v>
      </c>
      <c r="H44" s="168">
        <v>10832</v>
      </c>
      <c r="I44" s="168">
        <v>9896</v>
      </c>
      <c r="J44" s="171">
        <f>H44/I44</f>
        <v>1.0945836701697655</v>
      </c>
      <c r="K44" s="168">
        <v>8743</v>
      </c>
      <c r="L44" s="168">
        <v>8566</v>
      </c>
      <c r="M44" s="171">
        <f>K44/L44</f>
        <v>1.0206630866215269</v>
      </c>
      <c r="N44" s="308">
        <f>I44/C44</f>
        <v>0.76600356064710895</v>
      </c>
      <c r="O44" s="172">
        <f>I44/G44</f>
        <v>0.83644662327782948</v>
      </c>
    </row>
    <row r="45" spans="1:15" ht="14.25" thickTop="1" thickBot="1" x14ac:dyDescent="0.25">
      <c r="A45" s="35" t="s">
        <v>134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7"/>
    </row>
    <row r="46" spans="1:15" x14ac:dyDescent="0.2">
      <c r="A46" s="186" t="s">
        <v>32</v>
      </c>
      <c r="B46" s="107">
        <v>4894</v>
      </c>
      <c r="C46" s="108">
        <v>4391</v>
      </c>
      <c r="D46" s="109">
        <f>B46/C46</f>
        <v>1.1145524937371898</v>
      </c>
      <c r="E46" s="108">
        <v>4562</v>
      </c>
      <c r="F46" s="159">
        <f>E46/B46</f>
        <v>0.93216183081324067</v>
      </c>
      <c r="G46" s="108">
        <v>4171</v>
      </c>
      <c r="H46" s="108">
        <v>3941</v>
      </c>
      <c r="I46" s="108">
        <v>3757</v>
      </c>
      <c r="J46" s="160">
        <f>H46/I46</f>
        <v>1.04897524620708</v>
      </c>
      <c r="K46" s="108">
        <v>3392</v>
      </c>
      <c r="L46" s="108">
        <v>3364</v>
      </c>
      <c r="M46" s="160">
        <f>K46/L46</f>
        <v>1.0083234244946493</v>
      </c>
      <c r="N46" s="306">
        <f>I46/C46</f>
        <v>0.8556137554087907</v>
      </c>
      <c r="O46" s="111">
        <f>I46/G46</f>
        <v>0.90074322704387433</v>
      </c>
    </row>
    <row r="47" spans="1:15" ht="13.5" thickBot="1" x14ac:dyDescent="0.25">
      <c r="A47" s="191" t="s">
        <v>33</v>
      </c>
      <c r="B47" s="167">
        <v>15986</v>
      </c>
      <c r="C47" s="168">
        <v>12993</v>
      </c>
      <c r="D47" s="169">
        <f>B47/C47</f>
        <v>1.2303548064342338</v>
      </c>
      <c r="E47" s="168">
        <v>14385</v>
      </c>
      <c r="F47" s="170">
        <f>E47/B47</f>
        <v>0.89984986863505567</v>
      </c>
      <c r="G47" s="168">
        <v>12093</v>
      </c>
      <c r="H47" s="168">
        <v>10983</v>
      </c>
      <c r="I47" s="168">
        <v>9983</v>
      </c>
      <c r="J47" s="171">
        <f>H47/I47</f>
        <v>1.1001702894921366</v>
      </c>
      <c r="K47" s="168">
        <v>8650</v>
      </c>
      <c r="L47" s="168">
        <v>8513</v>
      </c>
      <c r="M47" s="171">
        <f>K47/L47</f>
        <v>1.0160930341830141</v>
      </c>
      <c r="N47" s="308">
        <f>I47/C47</f>
        <v>0.76833679673670441</v>
      </c>
      <c r="O47" s="172">
        <f>I47/G47</f>
        <v>0.82551889522864463</v>
      </c>
    </row>
    <row r="48" spans="1:15" ht="14.25" thickTop="1" thickBot="1" x14ac:dyDescent="0.25">
      <c r="A48" s="35" t="s">
        <v>137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7"/>
    </row>
    <row r="49" spans="1:15" x14ac:dyDescent="0.2">
      <c r="A49" s="186" t="s">
        <v>32</v>
      </c>
      <c r="B49" s="107">
        <v>4505</v>
      </c>
      <c r="C49" s="108">
        <v>4082</v>
      </c>
      <c r="D49" s="109">
        <f>B49/C49</f>
        <v>1.1036256736893679</v>
      </c>
      <c r="E49" s="108">
        <v>4129</v>
      </c>
      <c r="F49" s="159">
        <f>E49/B49</f>
        <v>0.91653718091009984</v>
      </c>
      <c r="G49" s="108">
        <v>3837</v>
      </c>
      <c r="H49" s="108">
        <v>3624</v>
      </c>
      <c r="I49" s="108">
        <v>3468</v>
      </c>
      <c r="J49" s="160">
        <f>H49/I49</f>
        <v>1.0449826989619377</v>
      </c>
      <c r="K49" s="108">
        <v>3141</v>
      </c>
      <c r="L49" s="108">
        <v>3108</v>
      </c>
      <c r="M49" s="160">
        <f>K49/L49</f>
        <v>1.0106177606177607</v>
      </c>
      <c r="N49" s="306">
        <f>I49/C49</f>
        <v>0.84958353748162663</v>
      </c>
      <c r="O49" s="111">
        <f>I49/G49</f>
        <v>0.90383111806098515</v>
      </c>
    </row>
    <row r="50" spans="1:15" ht="13.5" thickBot="1" x14ac:dyDescent="0.25">
      <c r="A50" s="191" t="s">
        <v>33</v>
      </c>
      <c r="B50" s="167">
        <v>14813</v>
      </c>
      <c r="C50" s="168">
        <v>11968</v>
      </c>
      <c r="D50" s="169">
        <f>B50/C50</f>
        <v>1.2377172459893049</v>
      </c>
      <c r="E50" s="168">
        <v>12987</v>
      </c>
      <c r="F50" s="170">
        <f>E50/B50</f>
        <v>0.87672989941267809</v>
      </c>
      <c r="G50" s="168">
        <v>10903</v>
      </c>
      <c r="H50" s="168">
        <v>9983</v>
      </c>
      <c r="I50" s="168">
        <v>9014</v>
      </c>
      <c r="J50" s="171">
        <f>H50/I50</f>
        <v>1.1074994453072997</v>
      </c>
      <c r="K50" s="168">
        <v>8013</v>
      </c>
      <c r="L50" s="168">
        <v>7843</v>
      </c>
      <c r="M50" s="171">
        <f>K50/L50</f>
        <v>1.021675379319138</v>
      </c>
      <c r="N50" s="308">
        <f>I50/C50</f>
        <v>0.75317513368983957</v>
      </c>
      <c r="O50" s="172">
        <f>I50/G50</f>
        <v>0.82674493258736126</v>
      </c>
    </row>
    <row r="51" spans="1:15" ht="14.25" thickTop="1" thickBot="1" x14ac:dyDescent="0.25">
      <c r="A51" s="35" t="s">
        <v>139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7"/>
    </row>
    <row r="52" spans="1:15" x14ac:dyDescent="0.2">
      <c r="A52" s="186" t="s">
        <v>32</v>
      </c>
      <c r="B52" s="107">
        <v>4031</v>
      </c>
      <c r="C52" s="108">
        <v>3626</v>
      </c>
      <c r="D52" s="109">
        <f>B52/C52</f>
        <v>1.1116933259790402</v>
      </c>
      <c r="E52" s="108">
        <v>3677</v>
      </c>
      <c r="F52" s="159">
        <f>E52/B52</f>
        <v>0.91218060034730841</v>
      </c>
      <c r="G52" s="108">
        <v>3389</v>
      </c>
      <c r="H52" s="108">
        <v>3339</v>
      </c>
      <c r="I52" s="108">
        <v>3141</v>
      </c>
      <c r="J52" s="160">
        <f>H52/I52</f>
        <v>1.0630372492836677</v>
      </c>
      <c r="K52" s="108">
        <v>2841</v>
      </c>
      <c r="L52" s="108">
        <v>2799</v>
      </c>
      <c r="M52" s="160">
        <f>K52/L52</f>
        <v>1.015005359056806</v>
      </c>
      <c r="N52" s="306">
        <f>I52/C52</f>
        <v>0.8662437948152234</v>
      </c>
      <c r="O52" s="111">
        <f>I52/G52</f>
        <v>0.92682207140749484</v>
      </c>
    </row>
    <row r="53" spans="1:15" ht="13.5" thickBot="1" x14ac:dyDescent="0.25">
      <c r="A53" s="191" t="s">
        <v>33</v>
      </c>
      <c r="B53" s="167">
        <v>13354</v>
      </c>
      <c r="C53" s="168">
        <v>10771</v>
      </c>
      <c r="D53" s="169">
        <f>B53/C53</f>
        <v>1.2398106025438678</v>
      </c>
      <c r="E53" s="168">
        <v>11601</v>
      </c>
      <c r="F53" s="170">
        <f>E53/B53</f>
        <v>0.86872847087015126</v>
      </c>
      <c r="G53" s="168">
        <v>9760</v>
      </c>
      <c r="H53" s="168">
        <v>9398</v>
      </c>
      <c r="I53" s="168">
        <v>8439</v>
      </c>
      <c r="J53" s="171">
        <f>H53/I53</f>
        <v>1.1136390567602796</v>
      </c>
      <c r="K53" s="168">
        <v>7381</v>
      </c>
      <c r="L53" s="168">
        <v>7233</v>
      </c>
      <c r="M53" s="171">
        <f>K53/L53</f>
        <v>1.0204617724319094</v>
      </c>
      <c r="N53" s="308">
        <f>I53/C53</f>
        <v>0.78349271191161451</v>
      </c>
      <c r="O53" s="172">
        <f>I53/G53</f>
        <v>0.86465163934426226</v>
      </c>
    </row>
    <row r="54" spans="1:15" ht="14.25" thickTop="1" thickBot="1" x14ac:dyDescent="0.25">
      <c r="A54" s="35" t="s">
        <v>141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7"/>
    </row>
    <row r="55" spans="1:15" x14ac:dyDescent="0.2">
      <c r="A55" s="186" t="s">
        <v>32</v>
      </c>
      <c r="B55" s="107">
        <v>3527</v>
      </c>
      <c r="C55" s="108">
        <v>3230</v>
      </c>
      <c r="D55" s="109">
        <f>B55/C55</f>
        <v>1.0919504643962847</v>
      </c>
      <c r="E55" s="108">
        <v>3244</v>
      </c>
      <c r="F55" s="159">
        <f>E55/B55</f>
        <v>0.9197618372554579</v>
      </c>
      <c r="G55" s="108">
        <v>3029</v>
      </c>
      <c r="H55" s="108">
        <v>2993</v>
      </c>
      <c r="I55" s="108">
        <v>2857</v>
      </c>
      <c r="J55" s="160">
        <f>H55/I55</f>
        <v>1.047602380119006</v>
      </c>
      <c r="K55" s="108">
        <v>2624</v>
      </c>
      <c r="L55" s="108">
        <v>2586</v>
      </c>
      <c r="M55" s="160">
        <f>K55/L55</f>
        <v>1.0146945088940449</v>
      </c>
      <c r="N55" s="306">
        <f>I55/C55</f>
        <v>0.88452012383900924</v>
      </c>
      <c r="O55" s="111">
        <f>I55/G55</f>
        <v>0.94321558270056127</v>
      </c>
    </row>
    <row r="56" spans="1:15" ht="13.5" thickBot="1" x14ac:dyDescent="0.25">
      <c r="A56" s="191" t="s">
        <v>33</v>
      </c>
      <c r="B56" s="167">
        <v>11509</v>
      </c>
      <c r="C56" s="168">
        <v>9469</v>
      </c>
      <c r="D56" s="169">
        <f>B56/C56</f>
        <v>1.215439856373429</v>
      </c>
      <c r="E56" s="168">
        <v>10012</v>
      </c>
      <c r="F56" s="170">
        <f>E56/B56</f>
        <v>0.86992788252671827</v>
      </c>
      <c r="G56" s="168">
        <v>8521</v>
      </c>
      <c r="H56" s="168">
        <v>8324</v>
      </c>
      <c r="I56" s="168">
        <v>7505</v>
      </c>
      <c r="J56" s="171">
        <f>H56/I56</f>
        <v>1.1091272485009993</v>
      </c>
      <c r="K56" s="168">
        <v>6604</v>
      </c>
      <c r="L56" s="168">
        <v>6439</v>
      </c>
      <c r="M56" s="171">
        <f>K56/L56</f>
        <v>1.0256250970647616</v>
      </c>
      <c r="N56" s="308">
        <f>I56/C56</f>
        <v>0.79258633435420844</v>
      </c>
      <c r="O56" s="172">
        <f>I56/G56</f>
        <v>0.88076516840746388</v>
      </c>
    </row>
    <row r="57" spans="1:15" ht="14.25" thickTop="1" thickBot="1" x14ac:dyDescent="0.25">
      <c r="A57" s="35" t="s">
        <v>144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7"/>
    </row>
    <row r="58" spans="1:15" x14ac:dyDescent="0.2">
      <c r="A58" s="186" t="s">
        <v>32</v>
      </c>
      <c r="B58" s="107">
        <v>3134</v>
      </c>
      <c r="C58" s="108">
        <v>2863</v>
      </c>
      <c r="D58" s="109">
        <f>B58/C58</f>
        <v>1.0946559552916522</v>
      </c>
      <c r="E58" s="108">
        <v>2877</v>
      </c>
      <c r="F58" s="159">
        <f>E58/B58</f>
        <v>0.91799617102744102</v>
      </c>
      <c r="G58" s="108">
        <v>2669</v>
      </c>
      <c r="H58" s="108">
        <v>2636</v>
      </c>
      <c r="I58" s="108">
        <v>2493</v>
      </c>
      <c r="J58" s="160">
        <f>H58/I58</f>
        <v>1.0573606097071802</v>
      </c>
      <c r="K58" s="108">
        <v>2298</v>
      </c>
      <c r="L58" s="108">
        <v>2252</v>
      </c>
      <c r="M58" s="160">
        <f>K58/L58</f>
        <v>1.0204262877442274</v>
      </c>
      <c r="N58" s="306">
        <f>I58/C58</f>
        <v>0.87076493188962623</v>
      </c>
      <c r="O58" s="111">
        <f>I58/G58</f>
        <v>0.93405769951292617</v>
      </c>
    </row>
    <row r="59" spans="1:15" ht="13.5" thickBot="1" x14ac:dyDescent="0.25">
      <c r="A59" s="191" t="s">
        <v>33</v>
      </c>
      <c r="B59" s="167">
        <v>10609</v>
      </c>
      <c r="C59" s="168">
        <v>8869</v>
      </c>
      <c r="D59" s="169">
        <f>B59/C59</f>
        <v>1.1961889728266997</v>
      </c>
      <c r="E59" s="168">
        <v>9082</v>
      </c>
      <c r="F59" s="170">
        <f>E59/B59</f>
        <v>0.8560656046752757</v>
      </c>
      <c r="G59" s="168">
        <v>7945</v>
      </c>
      <c r="H59" s="168">
        <v>7748</v>
      </c>
      <c r="I59" s="168">
        <v>7019</v>
      </c>
      <c r="J59" s="171">
        <f>H59/I59</f>
        <v>1.103860948853113</v>
      </c>
      <c r="K59" s="168">
        <v>6202</v>
      </c>
      <c r="L59" s="168">
        <v>6052</v>
      </c>
      <c r="M59" s="171">
        <f>K59/L59</f>
        <v>1.0247851949768672</v>
      </c>
      <c r="N59" s="308">
        <f>I59/C59</f>
        <v>0.79140827601758934</v>
      </c>
      <c r="O59" s="172">
        <f>I59/G59</f>
        <v>0.8834487098804279</v>
      </c>
    </row>
    <row r="60" spans="1:15" ht="14.25" thickTop="1" thickBot="1" x14ac:dyDescent="0.25">
      <c r="A60" s="35" t="s">
        <v>147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7"/>
    </row>
    <row r="61" spans="1:15" x14ac:dyDescent="0.2">
      <c r="A61" s="186" t="s">
        <v>32</v>
      </c>
      <c r="B61" s="107">
        <v>2792</v>
      </c>
      <c r="C61" s="108">
        <v>2580</v>
      </c>
      <c r="D61" s="109">
        <f>B61/C61</f>
        <v>1.0821705426356589</v>
      </c>
      <c r="E61" s="108">
        <v>2617</v>
      </c>
      <c r="F61" s="159">
        <f>E61/B61</f>
        <v>0.93732091690544417</v>
      </c>
      <c r="G61" s="108">
        <v>2458</v>
      </c>
      <c r="H61" s="108">
        <v>2401</v>
      </c>
      <c r="I61" s="108">
        <v>2287</v>
      </c>
      <c r="J61" s="160">
        <f>H61/I61</f>
        <v>1.0498469610843901</v>
      </c>
      <c r="K61" s="108">
        <v>2088</v>
      </c>
      <c r="L61" s="108">
        <v>2065</v>
      </c>
      <c r="M61" s="160">
        <f>K61/L61</f>
        <v>1.011138014527845</v>
      </c>
      <c r="N61" s="306">
        <f>I61/C61</f>
        <v>0.88643410852713178</v>
      </c>
      <c r="O61" s="111">
        <f>I61/G61</f>
        <v>0.93043124491456464</v>
      </c>
    </row>
    <row r="62" spans="1:15" ht="13.5" thickBot="1" x14ac:dyDescent="0.25">
      <c r="A62" s="191" t="s">
        <v>33</v>
      </c>
      <c r="B62" s="167">
        <v>10058</v>
      </c>
      <c r="C62" s="168">
        <v>8426</v>
      </c>
      <c r="D62" s="169">
        <f>B62/C62</f>
        <v>1.1936862093520058</v>
      </c>
      <c r="E62" s="168">
        <v>8903</v>
      </c>
      <c r="F62" s="170">
        <f>E62/B62</f>
        <v>0.88516603698548424</v>
      </c>
      <c r="G62" s="168">
        <v>7696</v>
      </c>
      <c r="H62" s="168">
        <v>7451</v>
      </c>
      <c r="I62" s="168">
        <v>6741</v>
      </c>
      <c r="J62" s="171">
        <f>H62/I62</f>
        <v>1.1053256193443108</v>
      </c>
      <c r="K62" s="168">
        <v>5919</v>
      </c>
      <c r="L62" s="168">
        <v>5779</v>
      </c>
      <c r="M62" s="171">
        <f>K62/L62</f>
        <v>1.0242256445751861</v>
      </c>
      <c r="N62" s="308">
        <f>I62/C62</f>
        <v>0.8000237360550676</v>
      </c>
      <c r="O62" s="172">
        <f>I62/G62</f>
        <v>0.87590956340956339</v>
      </c>
    </row>
    <row r="63" spans="1:15" ht="14.25" thickTop="1" thickBot="1" x14ac:dyDescent="0.25">
      <c r="A63" s="35" t="s">
        <v>150</v>
      </c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7"/>
    </row>
    <row r="64" spans="1:15" x14ac:dyDescent="0.2">
      <c r="A64" s="186" t="s">
        <v>32</v>
      </c>
      <c r="B64" s="107">
        <v>2590</v>
      </c>
      <c r="C64" s="108">
        <v>2378</v>
      </c>
      <c r="D64" s="109">
        <f>B64/C64</f>
        <v>1.0891505466778806</v>
      </c>
      <c r="E64" s="108">
        <v>2383</v>
      </c>
      <c r="F64" s="159">
        <f>E64/B64</f>
        <v>0.92007722007722004</v>
      </c>
      <c r="G64" s="108">
        <v>2227</v>
      </c>
      <c r="H64" s="108">
        <v>2201</v>
      </c>
      <c r="I64" s="108">
        <v>2104</v>
      </c>
      <c r="J64" s="160">
        <f>H64/I64</f>
        <v>1.0461026615969582</v>
      </c>
      <c r="K64" s="108">
        <v>1951</v>
      </c>
      <c r="L64" s="108">
        <v>1930</v>
      </c>
      <c r="M64" s="160">
        <f>K64/L64</f>
        <v>1.010880829015544</v>
      </c>
      <c r="N64" s="306">
        <f>I64/C64</f>
        <v>0.8847771236333053</v>
      </c>
      <c r="O64" s="111">
        <f>I64/G64</f>
        <v>0.94476874719353388</v>
      </c>
    </row>
    <row r="65" spans="1:15" ht="13.5" thickBot="1" x14ac:dyDescent="0.25">
      <c r="A65" s="191" t="s">
        <v>33</v>
      </c>
      <c r="B65" s="167">
        <v>10422</v>
      </c>
      <c r="C65" s="168">
        <v>8538</v>
      </c>
      <c r="D65" s="169">
        <f>B65/C65</f>
        <v>1.2206605762473648</v>
      </c>
      <c r="E65" s="168">
        <v>9017</v>
      </c>
      <c r="F65" s="170">
        <f>E65/B65</f>
        <v>0.86518902322011126</v>
      </c>
      <c r="G65" s="168">
        <v>7703</v>
      </c>
      <c r="H65" s="168">
        <v>7507</v>
      </c>
      <c r="I65" s="168">
        <v>6796</v>
      </c>
      <c r="J65" s="171">
        <f>H65/I65</f>
        <v>1.1046203649205415</v>
      </c>
      <c r="K65" s="168">
        <v>6010</v>
      </c>
      <c r="L65" s="168">
        <v>5895</v>
      </c>
      <c r="M65" s="171">
        <f>K65/L65</f>
        <v>1.0195080576759965</v>
      </c>
      <c r="N65" s="308">
        <f>I65/C65</f>
        <v>0.79597095338486767</v>
      </c>
      <c r="O65" s="172">
        <f>I65/G65</f>
        <v>0.88225366740231081</v>
      </c>
    </row>
    <row r="66" spans="1:15" ht="14.25" thickTop="1" thickBot="1" x14ac:dyDescent="0.25">
      <c r="A66" s="35" t="s">
        <v>152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7"/>
    </row>
    <row r="67" spans="1:15" x14ac:dyDescent="0.2">
      <c r="A67" s="186" t="s">
        <v>32</v>
      </c>
      <c r="B67" s="107">
        <v>2810</v>
      </c>
      <c r="C67" s="108">
        <v>2475</v>
      </c>
      <c r="D67" s="109">
        <f>B67/C67</f>
        <v>1.1353535353535353</v>
      </c>
      <c r="E67" s="108">
        <v>2533</v>
      </c>
      <c r="F67" s="159">
        <f>E67/B67</f>
        <v>0.90142348754448398</v>
      </c>
      <c r="G67" s="108">
        <v>2363</v>
      </c>
      <c r="H67" s="108">
        <v>2277</v>
      </c>
      <c r="I67" s="108">
        <v>2181</v>
      </c>
      <c r="J67" s="160">
        <f>H67/I67</f>
        <v>1.0440165061898212</v>
      </c>
      <c r="K67" s="108">
        <v>2042</v>
      </c>
      <c r="L67" s="108">
        <v>2019</v>
      </c>
      <c r="M67" s="160">
        <f>K67/L67</f>
        <v>1.0113917781079742</v>
      </c>
      <c r="N67" s="306">
        <f>I67/C67</f>
        <v>0.88121212121212122</v>
      </c>
      <c r="O67" s="111">
        <f>I67/G67</f>
        <v>0.92297926364790517</v>
      </c>
    </row>
    <row r="68" spans="1:15" ht="13.5" thickBot="1" x14ac:dyDescent="0.25">
      <c r="A68" s="191" t="s">
        <v>33</v>
      </c>
      <c r="B68" s="167">
        <v>11389</v>
      </c>
      <c r="C68" s="168">
        <v>9079</v>
      </c>
      <c r="D68" s="169">
        <f>B68/C68</f>
        <v>1.2544333076329992</v>
      </c>
      <c r="E68" s="168">
        <v>9896</v>
      </c>
      <c r="F68" s="170">
        <f>E68/B68</f>
        <v>0.86890859601369741</v>
      </c>
      <c r="G68" s="168">
        <v>8284</v>
      </c>
      <c r="H68" s="168">
        <v>7805</v>
      </c>
      <c r="I68" s="168">
        <v>7031</v>
      </c>
      <c r="J68" s="171">
        <f>H68/I68</f>
        <v>1.1100839140947234</v>
      </c>
      <c r="K68" s="168">
        <v>6164</v>
      </c>
      <c r="L68" s="168">
        <v>6056</v>
      </c>
      <c r="M68" s="171">
        <f>K68/L68</f>
        <v>1.0178335535006604</v>
      </c>
      <c r="N68" s="308">
        <f>I68/C68</f>
        <v>0.77442449608987773</v>
      </c>
      <c r="O68" s="172">
        <f>I68/G68</f>
        <v>0.84874456784162244</v>
      </c>
    </row>
    <row r="69" spans="1:15" ht="14.25" thickTop="1" thickBot="1" x14ac:dyDescent="0.25">
      <c r="A69" s="35" t="s">
        <v>154</v>
      </c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7"/>
    </row>
    <row r="70" spans="1:15" x14ac:dyDescent="0.2">
      <c r="A70" s="186" t="s">
        <v>32</v>
      </c>
      <c r="B70" s="107">
        <v>3062</v>
      </c>
      <c r="C70" s="108">
        <v>2724</v>
      </c>
      <c r="D70" s="109">
        <f>B70/C70</f>
        <v>1.1240822320117474</v>
      </c>
      <c r="E70" s="108">
        <v>2868</v>
      </c>
      <c r="F70" s="159">
        <f>E70/B70</f>
        <v>0.93664271717831482</v>
      </c>
      <c r="G70" s="108">
        <v>2587</v>
      </c>
      <c r="H70" s="108">
        <v>2529</v>
      </c>
      <c r="I70" s="108">
        <v>2398</v>
      </c>
      <c r="J70" s="160">
        <f>H70/I70</f>
        <v>1.0546288573811509</v>
      </c>
      <c r="K70" s="108">
        <v>2188</v>
      </c>
      <c r="L70" s="108">
        <v>2167</v>
      </c>
      <c r="M70" s="160">
        <f>K70/L70</f>
        <v>1.0096908167974157</v>
      </c>
      <c r="N70" s="306">
        <f>I70/C70</f>
        <v>0.88032305433186486</v>
      </c>
      <c r="O70" s="111">
        <f>I70/G70</f>
        <v>0.92694240432933905</v>
      </c>
    </row>
    <row r="71" spans="1:15" ht="13.5" thickBot="1" x14ac:dyDescent="0.25">
      <c r="A71" s="191" t="s">
        <v>33</v>
      </c>
      <c r="B71" s="167">
        <v>14198</v>
      </c>
      <c r="C71" s="168">
        <v>10992</v>
      </c>
      <c r="D71" s="169">
        <f>B71/C71</f>
        <v>1.2916666666666667</v>
      </c>
      <c r="E71" s="168">
        <v>12634</v>
      </c>
      <c r="F71" s="170">
        <f>E71/B71</f>
        <v>0.88984363994928861</v>
      </c>
      <c r="G71" s="168">
        <v>9879</v>
      </c>
      <c r="H71" s="168">
        <v>9509</v>
      </c>
      <c r="I71" s="168">
        <v>8395</v>
      </c>
      <c r="J71" s="171">
        <f>H71/I71</f>
        <v>1.1326980345443716</v>
      </c>
      <c r="K71" s="168">
        <v>7360</v>
      </c>
      <c r="L71" s="168">
        <v>7202</v>
      </c>
      <c r="M71" s="171">
        <f>K71/L71</f>
        <v>1.021938350458206</v>
      </c>
      <c r="N71" s="308">
        <f>I71/C71</f>
        <v>0.76373726346433768</v>
      </c>
      <c r="O71" s="172">
        <f>I71/G71</f>
        <v>0.84978236663629925</v>
      </c>
    </row>
    <row r="72" spans="1:15" ht="14.25" thickTop="1" thickBot="1" x14ac:dyDescent="0.25">
      <c r="A72" s="35" t="s">
        <v>156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7"/>
    </row>
    <row r="73" spans="1:15" x14ac:dyDescent="0.2">
      <c r="A73" s="186" t="s">
        <v>32</v>
      </c>
      <c r="B73" s="107">
        <v>3179</v>
      </c>
      <c r="C73" s="108">
        <v>2829</v>
      </c>
      <c r="D73" s="109">
        <f>B73/C73</f>
        <v>1.1237186284906326</v>
      </c>
      <c r="E73" s="108">
        <v>2959</v>
      </c>
      <c r="F73" s="159">
        <f>E73/B73</f>
        <v>0.9307958477508651</v>
      </c>
      <c r="G73" s="108">
        <v>2676</v>
      </c>
      <c r="H73" s="108">
        <v>2505</v>
      </c>
      <c r="I73" s="108">
        <v>2361</v>
      </c>
      <c r="J73" s="160">
        <f>H73/I73</f>
        <v>1.0609911054637866</v>
      </c>
      <c r="K73" s="108">
        <v>2146</v>
      </c>
      <c r="L73" s="108">
        <v>2122</v>
      </c>
      <c r="M73" s="160">
        <f>K73/L73</f>
        <v>1.0113100848256362</v>
      </c>
      <c r="N73" s="306">
        <f>I73/C73</f>
        <v>0.83457051961823969</v>
      </c>
      <c r="O73" s="111">
        <f>I73/G73</f>
        <v>0.88228699551569512</v>
      </c>
    </row>
    <row r="74" spans="1:15" ht="13.5" thickBot="1" x14ac:dyDescent="0.25">
      <c r="A74" s="191" t="s">
        <v>33</v>
      </c>
      <c r="B74" s="167">
        <v>14551</v>
      </c>
      <c r="C74" s="168">
        <v>11287</v>
      </c>
      <c r="D74" s="169">
        <f>B74/C74</f>
        <v>1.2891822450606893</v>
      </c>
      <c r="E74" s="168">
        <v>13058</v>
      </c>
      <c r="F74" s="170">
        <f>E74/B74</f>
        <v>0.89739536801594388</v>
      </c>
      <c r="G74" s="168">
        <v>10429</v>
      </c>
      <c r="H74" s="168">
        <v>9759</v>
      </c>
      <c r="I74" s="168">
        <v>8512</v>
      </c>
      <c r="J74" s="171">
        <f>H74/I74</f>
        <v>1.1464990601503759</v>
      </c>
      <c r="K74" s="168">
        <v>7277</v>
      </c>
      <c r="L74" s="168">
        <v>7110</v>
      </c>
      <c r="M74" s="171">
        <f>K74/L74</f>
        <v>1.0234880450070323</v>
      </c>
      <c r="N74" s="308">
        <f>I74/C74</f>
        <v>0.75414193319748379</v>
      </c>
      <c r="O74" s="172">
        <f>I74/G74</f>
        <v>0.81618563620673124</v>
      </c>
    </row>
    <row r="75" spans="1:15" ht="14.25" thickTop="1" thickBot="1" x14ac:dyDescent="0.25">
      <c r="A75" s="35" t="s">
        <v>157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7"/>
    </row>
    <row r="76" spans="1:15" x14ac:dyDescent="0.2">
      <c r="A76" s="186" t="s">
        <v>32</v>
      </c>
      <c r="B76" s="107">
        <v>3321</v>
      </c>
      <c r="C76" s="108">
        <v>2719</v>
      </c>
      <c r="D76" s="109">
        <f>B76/C76</f>
        <v>1.2214049282824568</v>
      </c>
      <c r="E76" s="108">
        <v>2929</v>
      </c>
      <c r="F76" s="159">
        <f>E76/B76</f>
        <v>0.88196326407708525</v>
      </c>
      <c r="G76" s="108">
        <v>2676</v>
      </c>
      <c r="H76" s="108">
        <v>2444</v>
      </c>
      <c r="I76" s="108">
        <v>2321</v>
      </c>
      <c r="J76" s="160">
        <f>H76/I76</f>
        <v>1.0529943989659629</v>
      </c>
      <c r="K76" s="108">
        <v>2134</v>
      </c>
      <c r="L76" s="108">
        <v>2115</v>
      </c>
      <c r="M76" s="160">
        <f>K76/L76</f>
        <v>1.0089834515366429</v>
      </c>
      <c r="N76" s="306">
        <f>I76/C76</f>
        <v>0.8536226553880103</v>
      </c>
      <c r="O76" s="111">
        <f>I76/G76</f>
        <v>0.86733931240657702</v>
      </c>
    </row>
    <row r="77" spans="1:15" ht="13.5" thickBot="1" x14ac:dyDescent="0.25">
      <c r="A77" s="191" t="s">
        <v>33</v>
      </c>
      <c r="B77" s="167">
        <v>15648</v>
      </c>
      <c r="C77" s="168">
        <v>11539</v>
      </c>
      <c r="D77" s="169">
        <f>B77/C77</f>
        <v>1.3560967154866106</v>
      </c>
      <c r="E77" s="168">
        <v>13897</v>
      </c>
      <c r="F77" s="170">
        <f>E77/B77</f>
        <v>0.88810071574642124</v>
      </c>
      <c r="G77" s="168">
        <v>10429</v>
      </c>
      <c r="H77" s="168">
        <v>9436</v>
      </c>
      <c r="I77" s="168">
        <v>8324</v>
      </c>
      <c r="J77" s="171">
        <f>H77/I77</f>
        <v>1.1335896203748197</v>
      </c>
      <c r="K77" s="168">
        <v>7194</v>
      </c>
      <c r="L77" s="168">
        <v>7069</v>
      </c>
      <c r="M77" s="171">
        <f>K77/L77</f>
        <v>1.0176828405715095</v>
      </c>
      <c r="N77" s="308">
        <f>I77/C77</f>
        <v>0.72137966894878236</v>
      </c>
      <c r="O77" s="172">
        <f>I77/G77</f>
        <v>0.79815897976795469</v>
      </c>
    </row>
    <row r="78" spans="1:15" s="18" customFormat="1" ht="13.5" thickTop="1" x14ac:dyDescent="0.2">
      <c r="A78" s="1" t="s">
        <v>101</v>
      </c>
      <c r="B78" s="1"/>
      <c r="C78" s="1"/>
      <c r="E78" s="1"/>
      <c r="F78" s="1"/>
      <c r="G78" s="1"/>
      <c r="H78" s="1"/>
      <c r="I78" s="1"/>
      <c r="J78" s="248"/>
      <c r="K78" s="1"/>
      <c r="L78" s="1"/>
      <c r="M78" s="248"/>
      <c r="N78" s="248"/>
    </row>
    <row r="79" spans="1:15" x14ac:dyDescent="0.2">
      <c r="B79" s="4"/>
      <c r="D79" s="18"/>
      <c r="J79" s="248"/>
      <c r="M79" s="248"/>
      <c r="N79" s="248"/>
      <c r="O79" s="18"/>
    </row>
    <row r="80" spans="1:15" x14ac:dyDescent="0.2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2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</row>
    <row r="82" spans="1:15" x14ac:dyDescent="0.2">
      <c r="C82"/>
      <c r="D82"/>
      <c r="E82"/>
      <c r="F82"/>
      <c r="G82"/>
    </row>
    <row r="83" spans="1:15" x14ac:dyDescent="0.2">
      <c r="C83"/>
      <c r="D83"/>
      <c r="E83"/>
      <c r="F83"/>
      <c r="G83"/>
    </row>
    <row r="84" spans="1:15" x14ac:dyDescent="0.2">
      <c r="B84" s="18"/>
      <c r="C84" s="18"/>
      <c r="D84" s="18"/>
      <c r="E84" s="18"/>
      <c r="F84" s="18"/>
      <c r="G84" s="469"/>
      <c r="H84" s="469"/>
      <c r="I84" s="469"/>
      <c r="J84" s="18"/>
      <c r="K84" s="18"/>
      <c r="L84" s="18"/>
    </row>
    <row r="85" spans="1:15" x14ac:dyDescent="0.2">
      <c r="B85" s="18"/>
      <c r="C85" s="18"/>
      <c r="D85" s="18"/>
      <c r="E85" s="18"/>
      <c r="F85" s="18"/>
      <c r="G85" s="469"/>
      <c r="H85" s="469"/>
      <c r="I85" s="469"/>
      <c r="J85" s="18"/>
      <c r="K85" s="18"/>
      <c r="L85" s="18"/>
    </row>
    <row r="86" spans="1:15" x14ac:dyDescent="0.2">
      <c r="B86" s="18"/>
      <c r="C86" s="18"/>
      <c r="D86" s="18"/>
      <c r="E86" s="18"/>
      <c r="F86" s="18"/>
      <c r="G86" s="18"/>
      <c r="H86" s="18"/>
      <c r="I86" s="469"/>
      <c r="J86" s="18"/>
      <c r="K86" s="18"/>
      <c r="L86" s="18"/>
    </row>
    <row r="87" spans="1:15" x14ac:dyDescent="0.2">
      <c r="B87" s="18"/>
      <c r="I87" s="469"/>
    </row>
    <row r="88" spans="1:15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1:15" x14ac:dyDescent="0.2">
      <c r="C89" s="18"/>
      <c r="D89" s="18"/>
      <c r="E89" s="18"/>
      <c r="F89" s="18"/>
      <c r="G89" s="18"/>
      <c r="H89" s="18"/>
      <c r="I89" s="18"/>
      <c r="J89" s="18"/>
      <c r="K89" s="18"/>
      <c r="L89" s="18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AI236"/>
  <sheetViews>
    <sheetView topLeftCell="A201" zoomScaleNormal="100" workbookViewId="0">
      <selection activeCell="C222" sqref="C222"/>
    </sheetView>
  </sheetViews>
  <sheetFormatPr defaultColWidth="9.140625" defaultRowHeight="12.75" x14ac:dyDescent="0.2"/>
  <cols>
    <col min="1" max="1" width="8.5703125" style="1" customWidth="1"/>
    <col min="2" max="2" width="10.5703125" style="1" customWidth="1"/>
    <col min="3" max="4" width="8.5703125" style="1" customWidth="1"/>
    <col min="5" max="5" width="10.5703125" style="1" customWidth="1"/>
    <col min="6" max="6" width="8.42578125" style="1" customWidth="1"/>
    <col min="7" max="7" width="8.5703125" style="1" customWidth="1"/>
    <col min="8" max="8" width="1.5703125" style="1" customWidth="1"/>
    <col min="9" max="9" width="8.5703125" style="1" customWidth="1"/>
    <col min="10" max="10" width="10.5703125" style="1" customWidth="1"/>
    <col min="11" max="11" width="8.570312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42578125" style="1" customWidth="1"/>
    <col min="18" max="24" width="5.5703125" style="1" customWidth="1"/>
    <col min="25" max="25" width="13.42578125" style="1" customWidth="1"/>
    <col min="26" max="26" width="5.5703125" style="17" customWidth="1"/>
    <col min="27" max="27" width="9.140625" style="17"/>
    <col min="28" max="28" width="14.42578125" style="17" customWidth="1"/>
    <col min="29" max="30" width="13.42578125" style="17" customWidth="1"/>
    <col min="31" max="31" width="11.5703125" style="17" customWidth="1"/>
    <col min="32" max="32" width="14" style="17" customWidth="1"/>
    <col min="33" max="33" width="14.42578125" style="17" customWidth="1"/>
    <col min="34" max="34" width="9.140625" style="17"/>
    <col min="35" max="35" width="11.5703125" style="1" customWidth="1"/>
    <col min="36" max="16384" width="9.140625" style="1"/>
  </cols>
  <sheetData>
    <row r="1" spans="1:34" ht="14.1" customHeight="1" x14ac:dyDescent="0.2">
      <c r="A1" s="2" t="s">
        <v>165</v>
      </c>
      <c r="AA1" s="361"/>
      <c r="AB1" s="362"/>
      <c r="AC1" s="362"/>
      <c r="AD1" s="362"/>
      <c r="AE1" s="362"/>
      <c r="AF1" s="362"/>
      <c r="AG1" s="362"/>
    </row>
    <row r="2" spans="1:34" ht="5.0999999999999996" customHeight="1" x14ac:dyDescent="0.2">
      <c r="A2" s="2"/>
      <c r="AA2" s="355"/>
      <c r="AB2" s="356"/>
      <c r="AC2" s="356"/>
      <c r="AD2" s="356"/>
      <c r="AE2" s="356"/>
      <c r="AF2" s="356"/>
      <c r="AG2" s="356"/>
    </row>
    <row r="3" spans="1:34" ht="13.5" thickBot="1" x14ac:dyDescent="0.25">
      <c r="A3" s="19" t="s">
        <v>11</v>
      </c>
      <c r="B3" s="19"/>
      <c r="C3" s="19"/>
      <c r="D3" s="19"/>
      <c r="E3" s="19"/>
      <c r="F3" s="19"/>
      <c r="G3" s="19"/>
      <c r="H3" s="15"/>
      <c r="I3" s="19" t="s">
        <v>4</v>
      </c>
      <c r="J3" s="19"/>
      <c r="K3" s="19"/>
      <c r="L3" s="19"/>
      <c r="M3" s="19"/>
      <c r="N3" s="19"/>
      <c r="O3" s="19"/>
      <c r="P3" s="15"/>
      <c r="R3" s="17"/>
      <c r="S3" s="356"/>
      <c r="T3" s="357"/>
      <c r="U3" s="358"/>
      <c r="V3" s="358"/>
      <c r="W3" s="359"/>
      <c r="X3" s="359"/>
      <c r="Y3" s="359"/>
      <c r="AA3" s="1"/>
      <c r="AB3" s="1"/>
      <c r="AC3" s="1"/>
      <c r="AD3" s="1"/>
      <c r="AE3" s="1"/>
      <c r="AF3" s="1"/>
      <c r="AG3" s="1"/>
      <c r="AH3" s="1"/>
    </row>
    <row r="4" spans="1:34" ht="45" customHeight="1" thickTop="1" x14ac:dyDescent="0.2">
      <c r="A4" s="20" t="s">
        <v>35</v>
      </c>
      <c r="B4" s="405" t="s">
        <v>103</v>
      </c>
      <c r="C4" s="406" t="s">
        <v>104</v>
      </c>
      <c r="D4" s="407" t="s">
        <v>105</v>
      </c>
      <c r="E4" s="408" t="s">
        <v>103</v>
      </c>
      <c r="F4" s="406" t="s">
        <v>104</v>
      </c>
      <c r="G4" s="409" t="s">
        <v>105</v>
      </c>
      <c r="H4" s="71"/>
      <c r="I4" s="20" t="s">
        <v>36</v>
      </c>
      <c r="J4" s="405" t="s">
        <v>103</v>
      </c>
      <c r="K4" s="406" t="s">
        <v>104</v>
      </c>
      <c r="L4" s="407" t="s">
        <v>105</v>
      </c>
      <c r="M4" s="408" t="s">
        <v>103</v>
      </c>
      <c r="N4" s="406" t="s">
        <v>104</v>
      </c>
      <c r="O4" s="409" t="s">
        <v>105</v>
      </c>
      <c r="P4" s="71"/>
      <c r="R4" s="17"/>
      <c r="S4" s="356"/>
      <c r="T4" s="357"/>
      <c r="U4" s="358"/>
      <c r="V4" s="358"/>
      <c r="W4" s="359"/>
      <c r="X4" s="359"/>
      <c r="Y4" s="359"/>
      <c r="AA4" s="1"/>
      <c r="AB4" s="1"/>
      <c r="AC4" s="1"/>
      <c r="AD4" s="1"/>
      <c r="AE4" s="1"/>
      <c r="AF4" s="1"/>
      <c r="AG4" s="1"/>
      <c r="AH4" s="1"/>
    </row>
    <row r="5" spans="1:34" ht="13.5" thickBot="1" x14ac:dyDescent="0.25">
      <c r="A5" s="21"/>
      <c r="B5" s="46" t="s">
        <v>90</v>
      </c>
      <c r="C5" s="47"/>
      <c r="D5" s="58"/>
      <c r="E5" s="59" t="s">
        <v>97</v>
      </c>
      <c r="F5" s="47"/>
      <c r="G5" s="48"/>
      <c r="H5" s="74"/>
      <c r="I5" s="21"/>
      <c r="J5" s="46" t="s">
        <v>90</v>
      </c>
      <c r="K5" s="47"/>
      <c r="L5" s="58"/>
      <c r="M5" s="59" t="s">
        <v>97</v>
      </c>
      <c r="N5" s="47"/>
      <c r="O5" s="48"/>
      <c r="P5" s="74"/>
      <c r="Q5" s="318"/>
      <c r="R5" s="17"/>
      <c r="S5" s="356"/>
      <c r="T5" s="357"/>
      <c r="U5" s="358"/>
      <c r="V5" s="358"/>
      <c r="W5" s="359"/>
      <c r="X5" s="359"/>
      <c r="Y5" s="359"/>
      <c r="AA5" s="1"/>
      <c r="AB5" s="1"/>
      <c r="AC5" s="1"/>
      <c r="AD5" s="1"/>
      <c r="AE5" s="1"/>
      <c r="AF5" s="1"/>
      <c r="AG5" s="1"/>
      <c r="AH5" s="1"/>
    </row>
    <row r="6" spans="1:34" ht="13.5" thickTop="1" x14ac:dyDescent="0.2">
      <c r="A6" s="42">
        <v>18</v>
      </c>
      <c r="B6" s="49">
        <v>0.49295836441012592</v>
      </c>
      <c r="C6" s="50">
        <v>0.49643061107938319</v>
      </c>
      <c r="D6" s="60">
        <v>0.48888705959828777</v>
      </c>
      <c r="E6" s="61">
        <v>7.9591836734693874E-2</v>
      </c>
      <c r="F6" s="50">
        <v>6.8117977528089887E-2</v>
      </c>
      <c r="G6" s="51">
        <v>6.4345193035579104E-2</v>
      </c>
      <c r="H6" s="72"/>
      <c r="I6" s="42">
        <v>18</v>
      </c>
      <c r="J6" s="49">
        <v>0.3360127337843215</v>
      </c>
      <c r="K6" s="50">
        <v>0.33244712990936554</v>
      </c>
      <c r="L6" s="60">
        <v>0.33629117160475258</v>
      </c>
      <c r="M6" s="61">
        <v>6.2581486310299875E-2</v>
      </c>
      <c r="N6" s="50">
        <v>5.6637970095151792E-2</v>
      </c>
      <c r="O6" s="51">
        <v>5.2801724137931036E-2</v>
      </c>
      <c r="P6" s="72"/>
      <c r="R6" s="17"/>
      <c r="S6" s="356"/>
      <c r="T6" s="357"/>
      <c r="U6" s="358"/>
      <c r="V6" s="358"/>
      <c r="W6" s="359"/>
      <c r="X6" s="359"/>
      <c r="Y6" s="359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43">
        <v>19</v>
      </c>
      <c r="B7" s="52">
        <v>0.30175931206949502</v>
      </c>
      <c r="C7" s="53">
        <v>0.30118503712164479</v>
      </c>
      <c r="D7" s="62">
        <v>0.30449456700691474</v>
      </c>
      <c r="E7" s="63">
        <v>0.12653061224489795</v>
      </c>
      <c r="F7" s="53">
        <v>0.12008426966292135</v>
      </c>
      <c r="G7" s="54">
        <v>0.11809235427706283</v>
      </c>
      <c r="H7" s="72"/>
      <c r="I7" s="43">
        <v>19</v>
      </c>
      <c r="J7" s="52">
        <v>0.34277755670513332</v>
      </c>
      <c r="K7" s="53">
        <v>0.34948640483383686</v>
      </c>
      <c r="L7" s="62">
        <v>0.3669724770642202</v>
      </c>
      <c r="M7" s="63">
        <v>0.10397653194263363</v>
      </c>
      <c r="N7" s="53">
        <v>9.9229723606705941E-2</v>
      </c>
      <c r="O7" s="54">
        <v>9.4288793103448273E-2</v>
      </c>
      <c r="P7" s="72"/>
      <c r="R7" s="17"/>
      <c r="S7" s="356"/>
      <c r="T7" s="357"/>
      <c r="U7" s="358"/>
      <c r="V7" s="358"/>
      <c r="W7" s="359"/>
      <c r="X7" s="359"/>
      <c r="Y7" s="359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43">
        <v>20</v>
      </c>
      <c r="B8" s="52">
        <v>0.11933488351686922</v>
      </c>
      <c r="C8" s="53">
        <v>0.11964591661907481</v>
      </c>
      <c r="D8" s="62">
        <v>0.12199539018768521</v>
      </c>
      <c r="E8" s="63">
        <v>0.12295918367346939</v>
      </c>
      <c r="F8" s="53">
        <v>0.12078651685393259</v>
      </c>
      <c r="G8" s="54">
        <v>0.12112036336109008</v>
      </c>
      <c r="H8" s="72"/>
      <c r="I8" s="43">
        <v>20</v>
      </c>
      <c r="J8" s="52">
        <v>0.16752884998010345</v>
      </c>
      <c r="K8" s="53">
        <v>0.16471299093655589</v>
      </c>
      <c r="L8" s="62">
        <v>0.17777109339750338</v>
      </c>
      <c r="M8" s="63">
        <v>0.121251629726206</v>
      </c>
      <c r="N8" s="53">
        <v>0.11010421386497508</v>
      </c>
      <c r="O8" s="54">
        <v>0.10991379310344827</v>
      </c>
      <c r="P8" s="72"/>
      <c r="R8" s="17"/>
      <c r="S8" s="356"/>
      <c r="T8" s="357"/>
      <c r="U8" s="358"/>
      <c r="V8" s="358"/>
      <c r="W8" s="359"/>
      <c r="X8" s="359"/>
      <c r="Y8" s="359"/>
      <c r="AA8" s="1"/>
      <c r="AB8" s="1"/>
      <c r="AC8" s="1"/>
      <c r="AD8" s="1"/>
      <c r="AE8" s="1"/>
      <c r="AF8" s="1"/>
      <c r="AG8" s="1"/>
      <c r="AH8" s="1"/>
    </row>
    <row r="9" spans="1:34" x14ac:dyDescent="0.2">
      <c r="A9" s="43">
        <v>21</v>
      </c>
      <c r="B9" s="52">
        <v>4.6505506076426971E-2</v>
      </c>
      <c r="C9" s="53">
        <v>4.3332381496287833E-2</v>
      </c>
      <c r="D9" s="62">
        <v>4.4781033915047744E-2</v>
      </c>
      <c r="E9" s="63">
        <v>0.11734693877551021</v>
      </c>
      <c r="F9" s="53">
        <v>0.11657303370786516</v>
      </c>
      <c r="G9" s="54">
        <v>0.11809235427706283</v>
      </c>
      <c r="H9" s="72"/>
      <c r="I9" s="43">
        <v>21</v>
      </c>
      <c r="J9" s="52">
        <v>7.6004775169120575E-2</v>
      </c>
      <c r="K9" s="53">
        <v>7.4803625377643498E-2</v>
      </c>
      <c r="L9" s="62">
        <v>7.9711234772146186E-2</v>
      </c>
      <c r="M9" s="63">
        <v>9.6153846153846159E-2</v>
      </c>
      <c r="N9" s="53">
        <v>9.1073855913004084E-2</v>
      </c>
      <c r="O9" s="54">
        <v>8.9978448275862072E-2</v>
      </c>
      <c r="P9" s="72"/>
      <c r="R9" s="17"/>
      <c r="S9" s="356"/>
      <c r="T9" s="357"/>
      <c r="U9" s="358"/>
      <c r="V9" s="358"/>
      <c r="W9" s="359"/>
      <c r="X9" s="359"/>
      <c r="Y9" s="359"/>
      <c r="AA9" s="1"/>
      <c r="AB9" s="1"/>
      <c r="AC9" s="1"/>
      <c r="AD9" s="1"/>
      <c r="AE9" s="1"/>
      <c r="AF9" s="1"/>
      <c r="AG9" s="1"/>
      <c r="AH9" s="1"/>
    </row>
    <row r="10" spans="1:34" x14ac:dyDescent="0.2">
      <c r="A10" s="43">
        <v>22</v>
      </c>
      <c r="B10" s="52">
        <v>1.94796648093713E-2</v>
      </c>
      <c r="C10" s="53">
        <v>1.9703026841804683E-2</v>
      </c>
      <c r="D10" s="62">
        <v>2.0003292723081989E-2</v>
      </c>
      <c r="E10" s="63">
        <v>7.9591836734693874E-2</v>
      </c>
      <c r="F10" s="53">
        <v>7.9353932584269662E-2</v>
      </c>
      <c r="G10" s="54">
        <v>7.9485238455715368E-2</v>
      </c>
      <c r="H10" s="72"/>
      <c r="I10" s="43">
        <v>22</v>
      </c>
      <c r="J10" s="52">
        <v>3.6768802228412258E-2</v>
      </c>
      <c r="K10" s="53">
        <v>3.794561933534743E-2</v>
      </c>
      <c r="L10" s="62">
        <v>4.2412392841028726E-2</v>
      </c>
      <c r="M10" s="63">
        <v>7.6597131681877442E-2</v>
      </c>
      <c r="N10" s="53">
        <v>7.8840054372451285E-2</v>
      </c>
      <c r="O10" s="54">
        <v>7.5969827586206892E-2</v>
      </c>
      <c r="P10" s="72"/>
      <c r="R10" s="17"/>
      <c r="S10" s="356"/>
      <c r="T10" s="357"/>
      <c r="U10" s="358"/>
      <c r="V10" s="358"/>
      <c r="W10" s="359"/>
      <c r="X10" s="359"/>
      <c r="Y10" s="359"/>
      <c r="AA10" s="1"/>
      <c r="AB10" s="1"/>
      <c r="AC10" s="1"/>
      <c r="AD10" s="1"/>
      <c r="AE10" s="1"/>
      <c r="AF10" s="1"/>
      <c r="AG10" s="1"/>
      <c r="AH10" s="1"/>
    </row>
    <row r="11" spans="1:34" x14ac:dyDescent="0.2">
      <c r="A11" s="43">
        <v>23</v>
      </c>
      <c r="B11" s="52">
        <v>8.6430044311850123E-3</v>
      </c>
      <c r="C11" s="53">
        <v>8.0668189605939463E-3</v>
      </c>
      <c r="D11" s="62">
        <v>8.3964438590714528E-3</v>
      </c>
      <c r="E11" s="63">
        <v>6.7346938775510207E-2</v>
      </c>
      <c r="F11" s="53">
        <v>6.6011235955056174E-2</v>
      </c>
      <c r="G11" s="54">
        <v>6.2831188493565476E-2</v>
      </c>
      <c r="H11" s="72"/>
      <c r="I11" s="43">
        <v>23</v>
      </c>
      <c r="J11" s="52">
        <v>1.7827298050139277E-2</v>
      </c>
      <c r="K11" s="53">
        <v>1.8368580060422961E-2</v>
      </c>
      <c r="L11" s="62">
        <v>1.9551812302601897E-2</v>
      </c>
      <c r="M11" s="63">
        <v>6.747066492829204E-2</v>
      </c>
      <c r="N11" s="53">
        <v>6.5246941549614856E-2</v>
      </c>
      <c r="O11" s="54">
        <v>6.4116379310344834E-2</v>
      </c>
      <c r="P11" s="72"/>
      <c r="R11" s="17"/>
      <c r="S11" s="356"/>
      <c r="T11" s="357"/>
      <c r="U11" s="358"/>
      <c r="V11" s="358"/>
      <c r="W11" s="359"/>
      <c r="X11" s="359"/>
      <c r="Y11" s="359"/>
      <c r="AA11" s="1"/>
      <c r="AB11" s="1"/>
      <c r="AC11" s="1"/>
      <c r="AD11" s="1"/>
      <c r="AE11" s="1"/>
      <c r="AF11" s="1"/>
      <c r="AG11" s="1"/>
      <c r="AH11" s="1"/>
    </row>
    <row r="12" spans="1:34" x14ac:dyDescent="0.2">
      <c r="A12" s="43">
        <v>24</v>
      </c>
      <c r="B12" s="52">
        <v>4.7821699644627737E-3</v>
      </c>
      <c r="C12" s="53">
        <v>4.5688178183894918E-3</v>
      </c>
      <c r="D12" s="62">
        <v>4.4945670069147188E-2</v>
      </c>
      <c r="E12" s="63">
        <v>5.7653061224489793E-2</v>
      </c>
      <c r="F12" s="53">
        <v>5.9691011235955056E-2</v>
      </c>
      <c r="G12" s="54">
        <v>5.82891748675246E-2</v>
      </c>
      <c r="H12" s="72"/>
      <c r="I12" s="43">
        <v>24</v>
      </c>
      <c r="J12" s="52">
        <v>1.0027855153203343E-2</v>
      </c>
      <c r="K12" s="53">
        <v>9.6676737160120846E-3</v>
      </c>
      <c r="L12" s="62">
        <v>9.6255075951270867E-3</v>
      </c>
      <c r="M12" s="63">
        <v>6.1929595827900911E-2</v>
      </c>
      <c r="N12" s="53">
        <v>6.3887630267331214E-2</v>
      </c>
      <c r="O12" s="54">
        <v>6.4655172413793108E-2</v>
      </c>
      <c r="P12" s="72"/>
      <c r="R12" s="17"/>
      <c r="S12" s="356"/>
      <c r="T12" s="357"/>
      <c r="U12" s="358"/>
      <c r="V12" s="358"/>
      <c r="W12" s="359"/>
      <c r="X12" s="359"/>
      <c r="Y12" s="359"/>
      <c r="AA12" s="1"/>
      <c r="AB12" s="1"/>
      <c r="AC12" s="1"/>
      <c r="AD12" s="1"/>
      <c r="AE12" s="1"/>
      <c r="AF12" s="1"/>
      <c r="AG12" s="1"/>
      <c r="AH12" s="1"/>
    </row>
    <row r="13" spans="1:34" x14ac:dyDescent="0.2">
      <c r="A13" s="43">
        <v>25</v>
      </c>
      <c r="B13" s="52">
        <v>2.281402184881323E-3</v>
      </c>
      <c r="C13" s="53">
        <v>2.3557966876070818E-3</v>
      </c>
      <c r="D13" s="62">
        <v>2.057951926243003E-3</v>
      </c>
      <c r="E13" s="63">
        <v>5.0510204081632655E-2</v>
      </c>
      <c r="F13" s="53">
        <v>5.3370786516853931E-2</v>
      </c>
      <c r="G13" s="54">
        <v>5.4504163512490537E-2</v>
      </c>
      <c r="H13" s="72"/>
      <c r="I13" s="43">
        <v>25</v>
      </c>
      <c r="J13" s="52">
        <v>3.1834460803820135E-3</v>
      </c>
      <c r="K13" s="53">
        <v>3.2628398791540785E-3</v>
      </c>
      <c r="L13" s="62">
        <v>3.4591667919987969E-3</v>
      </c>
      <c r="M13" s="63">
        <v>4.8565840938722293E-2</v>
      </c>
      <c r="N13" s="53">
        <v>5.0747621205256006E-2</v>
      </c>
      <c r="O13" s="54">
        <v>5.0646551724137928E-2</v>
      </c>
      <c r="P13" s="72"/>
      <c r="R13" s="17"/>
      <c r="S13" s="356"/>
      <c r="T13" s="357"/>
      <c r="U13" s="358"/>
      <c r="V13" s="358"/>
      <c r="W13" s="359"/>
      <c r="X13" s="359"/>
      <c r="Y13" s="359"/>
      <c r="AA13" s="1"/>
      <c r="AB13" s="1"/>
      <c r="AC13" s="1"/>
      <c r="AD13" s="1"/>
      <c r="AE13" s="1"/>
      <c r="AF13" s="1"/>
      <c r="AG13" s="1"/>
      <c r="AH13" s="1"/>
    </row>
    <row r="14" spans="1:34" x14ac:dyDescent="0.2">
      <c r="A14" s="43">
        <v>26</v>
      </c>
      <c r="B14" s="52">
        <v>9.6520861668055987E-4</v>
      </c>
      <c r="C14" s="53">
        <v>1.2849800114220445E-3</v>
      </c>
      <c r="D14" s="62">
        <v>1.2347711557458018E-3</v>
      </c>
      <c r="E14" s="63">
        <v>3.6224489795918365E-2</v>
      </c>
      <c r="F14" s="53">
        <v>4.0730337078651688E-2</v>
      </c>
      <c r="G14" s="54">
        <v>4.2392127176381529E-2</v>
      </c>
      <c r="H14" s="72"/>
      <c r="I14" s="43">
        <v>26</v>
      </c>
      <c r="J14" s="52">
        <v>2.3875845602865102E-3</v>
      </c>
      <c r="K14" s="53">
        <v>1.8126888217522659E-3</v>
      </c>
      <c r="L14" s="62">
        <v>1.654384117912468E-3</v>
      </c>
      <c r="M14" s="63">
        <v>4.3350717079530636E-2</v>
      </c>
      <c r="N14" s="53">
        <v>4.4857272315360221E-2</v>
      </c>
      <c r="O14" s="54">
        <v>4.6875E-2</v>
      </c>
      <c r="P14" s="72"/>
      <c r="R14" s="17"/>
      <c r="S14" s="356"/>
      <c r="T14" s="357"/>
      <c r="U14" s="358"/>
      <c r="V14" s="358"/>
      <c r="W14" s="359"/>
      <c r="X14" s="359"/>
      <c r="Y14" s="359"/>
      <c r="AA14" s="1"/>
      <c r="AB14" s="1"/>
      <c r="AC14" s="1"/>
      <c r="AD14" s="1"/>
      <c r="AE14" s="1"/>
      <c r="AF14" s="1"/>
      <c r="AG14" s="1"/>
      <c r="AH14" s="1"/>
    </row>
    <row r="15" spans="1:34" x14ac:dyDescent="0.2">
      <c r="A15" s="43">
        <v>27</v>
      </c>
      <c r="B15" s="52">
        <v>1.0090817356205853E-3</v>
      </c>
      <c r="C15" s="53">
        <v>7.1387778412335806E-4</v>
      </c>
      <c r="D15" s="62">
        <v>8.2318077049720116E-4</v>
      </c>
      <c r="E15" s="63">
        <v>2.7551020408163266E-2</v>
      </c>
      <c r="F15" s="53">
        <v>3.3005617977528087E-2</v>
      </c>
      <c r="G15" s="54">
        <v>3.3308099924299776E-2</v>
      </c>
      <c r="H15" s="72"/>
      <c r="I15" s="43">
        <v>27</v>
      </c>
      <c r="J15" s="52">
        <v>1.1142061281337048E-3</v>
      </c>
      <c r="K15" s="53">
        <v>7.2507552870090634E-4</v>
      </c>
      <c r="L15" s="62">
        <v>7.5199278086930362E-4</v>
      </c>
      <c r="M15" s="63">
        <v>3.911342894393742E-2</v>
      </c>
      <c r="N15" s="53">
        <v>4.2138649750792935E-2</v>
      </c>
      <c r="O15" s="54">
        <v>4.2025862068965518E-2</v>
      </c>
      <c r="P15" s="72"/>
      <c r="R15" s="17"/>
      <c r="S15" s="356"/>
      <c r="T15" s="360"/>
      <c r="U15" s="360"/>
      <c r="V15" s="360"/>
      <c r="W15" s="360"/>
      <c r="X15" s="360"/>
      <c r="Y15" s="360"/>
      <c r="AA15" s="1"/>
      <c r="AB15" s="1"/>
      <c r="AC15" s="1"/>
      <c r="AD15" s="1"/>
      <c r="AE15" s="1"/>
      <c r="AF15" s="1"/>
      <c r="AG15" s="1"/>
      <c r="AH15" s="1"/>
    </row>
    <row r="16" spans="1:34" x14ac:dyDescent="0.2">
      <c r="A16" s="43">
        <v>28</v>
      </c>
      <c r="B16" s="52">
        <v>5.2647742728030534E-4</v>
      </c>
      <c r="C16" s="53">
        <v>7.1387778412335806E-4</v>
      </c>
      <c r="D16" s="62">
        <v>7.4086269344748109E-4</v>
      </c>
      <c r="E16" s="63">
        <v>2.4489795918367346E-2</v>
      </c>
      <c r="F16" s="53">
        <v>2.3876404494382022E-2</v>
      </c>
      <c r="G16" s="54">
        <v>2.5738077214231644E-2</v>
      </c>
      <c r="H16" s="72"/>
      <c r="I16" s="43">
        <v>28</v>
      </c>
      <c r="J16" s="52">
        <v>1.1142061281337048E-3</v>
      </c>
      <c r="K16" s="53">
        <v>9.6676737160120846E-4</v>
      </c>
      <c r="L16" s="62">
        <v>1.052789893217025E-3</v>
      </c>
      <c r="M16" s="63">
        <v>3.1290743155149937E-2</v>
      </c>
      <c r="N16" s="53">
        <v>3.4435885817852285E-2</v>
      </c>
      <c r="O16" s="54">
        <v>3.7176724137931036E-2</v>
      </c>
      <c r="P16" s="72"/>
      <c r="R16" s="17"/>
      <c r="S16" s="356"/>
      <c r="T16" s="360"/>
      <c r="U16" s="360"/>
      <c r="V16" s="360"/>
      <c r="W16" s="360"/>
      <c r="X16" s="360"/>
      <c r="Y16" s="360"/>
      <c r="AA16" s="1"/>
      <c r="AB16" s="1"/>
      <c r="AC16" s="1"/>
      <c r="AD16" s="1"/>
      <c r="AE16" s="1"/>
      <c r="AF16" s="1"/>
      <c r="AG16" s="1"/>
      <c r="AH16" s="1"/>
    </row>
    <row r="17" spans="1:34" x14ac:dyDescent="0.2">
      <c r="A17" s="43">
        <v>29</v>
      </c>
      <c r="B17" s="52">
        <v>2.1936559470012724E-4</v>
      </c>
      <c r="C17" s="53">
        <v>2.1416333523700741E-4</v>
      </c>
      <c r="D17" s="62">
        <v>2.4695423114916038E-4</v>
      </c>
      <c r="E17" s="63">
        <v>2.3979591836734693E-2</v>
      </c>
      <c r="F17" s="53">
        <v>1.9662921348314606E-2</v>
      </c>
      <c r="G17" s="54">
        <v>1.8925056775170326E-2</v>
      </c>
      <c r="H17" s="72"/>
      <c r="I17" s="43">
        <v>29</v>
      </c>
      <c r="J17" s="52">
        <v>9.5503382411460402E-4</v>
      </c>
      <c r="K17" s="53">
        <v>1.0876132930513595E-3</v>
      </c>
      <c r="L17" s="62">
        <v>1.3535870055647466E-3</v>
      </c>
      <c r="M17" s="63">
        <v>2.7053455019556714E-2</v>
      </c>
      <c r="N17" s="53">
        <v>3.035795197100136E-2</v>
      </c>
      <c r="O17" s="54">
        <v>3.2327586206896554E-2</v>
      </c>
      <c r="P17" s="72"/>
      <c r="R17" s="17"/>
      <c r="S17" s="17"/>
      <c r="T17" s="17"/>
      <c r="U17" s="17"/>
      <c r="V17" s="17"/>
      <c r="W17" s="17"/>
      <c r="X17" s="17"/>
      <c r="Y17" s="17"/>
      <c r="AA17" s="1"/>
      <c r="AB17" s="1"/>
      <c r="AC17" s="1"/>
      <c r="AD17" s="1"/>
      <c r="AE17" s="1"/>
      <c r="AF17" s="1"/>
      <c r="AG17" s="1"/>
      <c r="AH17" s="1"/>
    </row>
    <row r="18" spans="1:34" x14ac:dyDescent="0.2">
      <c r="A18" s="44" t="s">
        <v>25</v>
      </c>
      <c r="B18" s="55">
        <v>1.5355591629008906E-3</v>
      </c>
      <c r="C18" s="56">
        <v>1.7846944603083952E-3</v>
      </c>
      <c r="D18" s="64">
        <v>1.7286796180441225E-3</v>
      </c>
      <c r="E18" s="65">
        <v>0.18622448979591838</v>
      </c>
      <c r="F18" s="56">
        <v>0.19873595505617977</v>
      </c>
      <c r="G18" s="57">
        <v>0.2028766086298259</v>
      </c>
      <c r="H18" s="72"/>
      <c r="I18" s="44" t="s">
        <v>25</v>
      </c>
      <c r="J18" s="55">
        <v>4.1384799044966178E-3</v>
      </c>
      <c r="K18" s="56">
        <v>4.4712990936555891E-3</v>
      </c>
      <c r="L18" s="64">
        <v>4.2111595728681001E-3</v>
      </c>
      <c r="M18" s="65">
        <v>0.22066492829204692</v>
      </c>
      <c r="N18" s="56">
        <v>0.23244222927050295</v>
      </c>
      <c r="O18" s="57">
        <v>0.23922413793103448</v>
      </c>
      <c r="P18" s="72"/>
      <c r="R18" s="17"/>
      <c r="S18" s="17"/>
      <c r="T18" s="17"/>
      <c r="U18" s="17"/>
      <c r="V18" s="17"/>
      <c r="W18" s="17"/>
      <c r="X18" s="17"/>
      <c r="Y18" s="17"/>
      <c r="AA18" s="1"/>
      <c r="AB18" s="1"/>
      <c r="AC18" s="1"/>
      <c r="AD18" s="1"/>
      <c r="AE18" s="1"/>
      <c r="AF18" s="1"/>
      <c r="AG18" s="1"/>
      <c r="AH18" s="1"/>
    </row>
    <row r="19" spans="1:34" ht="15.75" customHeight="1" thickBot="1" x14ac:dyDescent="0.25">
      <c r="A19" s="22" t="s">
        <v>26</v>
      </c>
      <c r="B19" s="212">
        <v>18.89</v>
      </c>
      <c r="C19" s="213">
        <v>18.88</v>
      </c>
      <c r="D19" s="214">
        <v>18.899999999999999</v>
      </c>
      <c r="E19" s="215">
        <v>23.68</v>
      </c>
      <c r="F19" s="213">
        <v>23.89</v>
      </c>
      <c r="G19" s="216">
        <v>23.97</v>
      </c>
      <c r="H19" s="73"/>
      <c r="I19" s="22" t="s">
        <v>26</v>
      </c>
      <c r="J19" s="212">
        <v>19.27</v>
      </c>
      <c r="K19" s="213">
        <v>19.28</v>
      </c>
      <c r="L19" s="214">
        <v>19.3</v>
      </c>
      <c r="M19" s="215">
        <v>24.3</v>
      </c>
      <c r="N19" s="213">
        <v>24.57</v>
      </c>
      <c r="O19" s="216">
        <v>24.7</v>
      </c>
      <c r="P19" s="73"/>
      <c r="R19" s="17"/>
      <c r="S19" s="361"/>
      <c r="T19" s="362"/>
      <c r="U19" s="362"/>
      <c r="V19" s="362"/>
      <c r="W19" s="362"/>
      <c r="X19" s="362"/>
      <c r="Y19" s="362"/>
      <c r="AA19" s="1"/>
      <c r="AB19" s="1"/>
      <c r="AC19" s="1"/>
      <c r="AD19" s="1"/>
      <c r="AE19" s="1"/>
      <c r="AF19" s="1"/>
      <c r="AG19" s="1"/>
      <c r="AH19" s="1"/>
    </row>
    <row r="20" spans="1:34" ht="20.100000000000001" customHeight="1" thickTop="1" x14ac:dyDescent="0.2">
      <c r="B20" s="18">
        <f>SUM(B6:B18)</f>
        <v>1.0000000000000002</v>
      </c>
      <c r="AA20" s="355"/>
      <c r="AB20" s="356"/>
      <c r="AC20" s="356"/>
      <c r="AD20" s="356"/>
      <c r="AE20" s="356"/>
      <c r="AF20" s="356"/>
      <c r="AG20" s="356"/>
    </row>
    <row r="21" spans="1:34" ht="13.5" thickBot="1" x14ac:dyDescent="0.25">
      <c r="A21" s="19" t="s">
        <v>5</v>
      </c>
      <c r="B21" s="19"/>
      <c r="C21" s="19"/>
      <c r="D21" s="19"/>
      <c r="E21" s="19"/>
      <c r="F21" s="19"/>
      <c r="G21" s="19"/>
      <c r="I21" s="19" t="s">
        <v>41</v>
      </c>
      <c r="J21" s="19"/>
      <c r="K21" s="19"/>
      <c r="L21" s="19"/>
      <c r="M21" s="19"/>
      <c r="N21" s="19"/>
      <c r="O21" s="19"/>
      <c r="P21" s="15"/>
      <c r="Q21" s="15"/>
      <c r="R21" s="15"/>
      <c r="S21" s="15"/>
      <c r="T21" s="15"/>
      <c r="U21" s="15"/>
      <c r="V21" s="15"/>
      <c r="W21" s="15"/>
      <c r="X21" s="15"/>
      <c r="AA21" s="356"/>
      <c r="AB21" s="363"/>
      <c r="AC21" s="364"/>
      <c r="AD21" s="364"/>
      <c r="AE21" s="365"/>
      <c r="AF21" s="365"/>
      <c r="AG21" s="365"/>
    </row>
    <row r="22" spans="1:34" ht="45" customHeight="1" thickTop="1" x14ac:dyDescent="0.2">
      <c r="A22" s="20" t="s">
        <v>37</v>
      </c>
      <c r="B22" s="405" t="s">
        <v>103</v>
      </c>
      <c r="C22" s="406" t="s">
        <v>104</v>
      </c>
      <c r="D22" s="407" t="s">
        <v>105</v>
      </c>
      <c r="E22" s="408" t="s">
        <v>103</v>
      </c>
      <c r="F22" s="406" t="s">
        <v>104</v>
      </c>
      <c r="G22" s="409" t="s">
        <v>105</v>
      </c>
      <c r="I22" s="20" t="s">
        <v>40</v>
      </c>
      <c r="J22" s="405" t="s">
        <v>103</v>
      </c>
      <c r="K22" s="406" t="s">
        <v>104</v>
      </c>
      <c r="L22" s="407" t="s">
        <v>105</v>
      </c>
      <c r="M22" s="408" t="s">
        <v>103</v>
      </c>
      <c r="N22" s="406" t="s">
        <v>104</v>
      </c>
      <c r="O22" s="409" t="s">
        <v>105</v>
      </c>
      <c r="P22" s="71"/>
      <c r="Q22" s="71"/>
      <c r="R22" s="71"/>
      <c r="S22" s="71"/>
      <c r="T22" s="71"/>
      <c r="U22" s="71"/>
      <c r="V22" s="71"/>
      <c r="W22" s="71"/>
      <c r="X22" s="71"/>
      <c r="AA22" s="356"/>
      <c r="AB22" s="363"/>
      <c r="AC22" s="364"/>
      <c r="AD22" s="364"/>
      <c r="AE22" s="365"/>
      <c r="AF22" s="365"/>
      <c r="AG22" s="365"/>
    </row>
    <row r="23" spans="1:34" ht="13.5" thickBot="1" x14ac:dyDescent="0.25">
      <c r="A23" s="21"/>
      <c r="B23" s="46" t="s">
        <v>90</v>
      </c>
      <c r="C23" s="47"/>
      <c r="D23" s="58"/>
      <c r="E23" s="59" t="s">
        <v>97</v>
      </c>
      <c r="F23" s="47"/>
      <c r="G23" s="48"/>
      <c r="I23" s="21"/>
      <c r="J23" s="46" t="s">
        <v>90</v>
      </c>
      <c r="K23" s="47"/>
      <c r="L23" s="58"/>
      <c r="M23" s="59" t="s">
        <v>97</v>
      </c>
      <c r="N23" s="47"/>
      <c r="O23" s="48"/>
      <c r="P23" s="74"/>
      <c r="Q23" s="74"/>
      <c r="R23" s="74"/>
      <c r="S23" s="74"/>
      <c r="T23" s="74"/>
      <c r="U23" s="74"/>
      <c r="V23" s="74"/>
      <c r="W23" s="74"/>
      <c r="X23" s="74"/>
      <c r="Y23" s="318"/>
      <c r="AA23" s="356"/>
      <c r="AB23" s="363"/>
      <c r="AC23" s="364"/>
      <c r="AD23" s="364"/>
      <c r="AE23" s="365"/>
      <c r="AF23" s="365"/>
      <c r="AG23" s="365"/>
    </row>
    <row r="24" spans="1:34" ht="13.5" thickTop="1" x14ac:dyDescent="0.2">
      <c r="A24" s="42">
        <v>18</v>
      </c>
      <c r="B24" s="49">
        <v>8.1720071206052514E-2</v>
      </c>
      <c r="C24" s="50">
        <v>8.4025322699991772E-2</v>
      </c>
      <c r="D24" s="60">
        <v>7.7741966988963768E-2</v>
      </c>
      <c r="E24" s="61">
        <v>1.1909487892020643E-2</v>
      </c>
      <c r="F24" s="50">
        <v>8.7822014051522242E-3</v>
      </c>
      <c r="G24" s="51">
        <v>6.3411540900443885E-3</v>
      </c>
      <c r="I24" s="42">
        <v>18</v>
      </c>
      <c r="J24" s="49">
        <v>1.3867409011238271E-2</v>
      </c>
      <c r="K24" s="50">
        <v>1.4489348370927317E-2</v>
      </c>
      <c r="L24" s="60">
        <v>1.4251117734724292E-2</v>
      </c>
      <c r="M24" s="61">
        <v>4.5205037132709071E-3</v>
      </c>
      <c r="N24" s="50">
        <v>5.6710775047258983E-3</v>
      </c>
      <c r="O24" s="51">
        <v>4.7846889952153108E-3</v>
      </c>
      <c r="P24" s="72"/>
      <c r="Q24" s="72"/>
      <c r="R24" s="72"/>
      <c r="S24" s="72"/>
      <c r="T24" s="72"/>
      <c r="U24" s="72"/>
      <c r="V24" s="72"/>
      <c r="W24" s="72"/>
      <c r="X24" s="72"/>
      <c r="AA24" s="356"/>
      <c r="AB24" s="363"/>
      <c r="AC24" s="364"/>
      <c r="AD24" s="364"/>
      <c r="AE24" s="365"/>
      <c r="AF24" s="365"/>
      <c r="AG24" s="365"/>
    </row>
    <row r="25" spans="1:34" x14ac:dyDescent="0.2">
      <c r="A25" s="43">
        <v>19</v>
      </c>
      <c r="B25" s="52">
        <v>0.6211615487316422</v>
      </c>
      <c r="C25" s="53">
        <v>0.62057058291539913</v>
      </c>
      <c r="D25" s="62">
        <v>0.61763844125402867</v>
      </c>
      <c r="E25" s="63">
        <v>8.932115919015482E-2</v>
      </c>
      <c r="F25" s="53">
        <v>8.0210772833723659E-2</v>
      </c>
      <c r="G25" s="54">
        <v>7.6093849080532655E-2</v>
      </c>
      <c r="I25" s="43">
        <v>19</v>
      </c>
      <c r="J25" s="52">
        <v>0.56851221775440763</v>
      </c>
      <c r="K25" s="53">
        <v>0.57072368421052633</v>
      </c>
      <c r="L25" s="62">
        <v>0.55672503725782418</v>
      </c>
      <c r="M25" s="63">
        <v>0.12140781401356152</v>
      </c>
      <c r="N25" s="53">
        <v>0.11200378071833648</v>
      </c>
      <c r="O25" s="54">
        <v>9.569377990430622E-2</v>
      </c>
      <c r="P25" s="72"/>
      <c r="Q25" s="72"/>
      <c r="R25" s="72"/>
      <c r="S25" s="72"/>
      <c r="T25" s="72"/>
      <c r="U25" s="72"/>
      <c r="V25" s="72"/>
      <c r="W25" s="72"/>
      <c r="X25" s="72"/>
      <c r="AA25" s="356"/>
      <c r="AB25" s="363"/>
      <c r="AC25" s="364"/>
      <c r="AD25" s="364"/>
      <c r="AE25" s="365"/>
      <c r="AF25" s="365"/>
      <c r="AG25" s="365"/>
    </row>
    <row r="26" spans="1:34" x14ac:dyDescent="0.2">
      <c r="A26" s="43">
        <v>20</v>
      </c>
      <c r="B26" s="52">
        <v>0.1696706720071206</v>
      </c>
      <c r="C26" s="53">
        <v>0.16895502754254707</v>
      </c>
      <c r="D26" s="62">
        <v>0.17277077839632776</v>
      </c>
      <c r="E26" s="63">
        <v>8.614529575228265E-2</v>
      </c>
      <c r="F26" s="53">
        <v>7.1428571428571425E-2</v>
      </c>
      <c r="G26" s="54">
        <v>7.0386810399492711E-2</v>
      </c>
      <c r="I26" s="43">
        <v>20</v>
      </c>
      <c r="J26" s="52">
        <v>0.27394576760490774</v>
      </c>
      <c r="K26" s="53">
        <v>0.27232142857142855</v>
      </c>
      <c r="L26" s="62">
        <v>0.27859538002980627</v>
      </c>
      <c r="M26" s="63">
        <v>0.11365837907652566</v>
      </c>
      <c r="N26" s="53">
        <v>0.10444234404536862</v>
      </c>
      <c r="O26" s="54">
        <v>9.7288676236044661E-2</v>
      </c>
      <c r="P26" s="72"/>
      <c r="Q26" s="72"/>
      <c r="R26" s="72"/>
      <c r="S26" s="72"/>
      <c r="T26" s="72"/>
      <c r="U26" s="72"/>
      <c r="V26" s="72"/>
      <c r="W26" s="72"/>
      <c r="X26" s="72"/>
      <c r="AA26" s="356"/>
      <c r="AB26" s="363"/>
      <c r="AC26" s="364"/>
      <c r="AD26" s="364"/>
      <c r="AE26" s="365"/>
      <c r="AF26" s="365"/>
      <c r="AG26" s="365"/>
    </row>
    <row r="27" spans="1:34" x14ac:dyDescent="0.2">
      <c r="A27" s="43">
        <v>21</v>
      </c>
      <c r="B27" s="52">
        <v>5.9078771695594126E-2</v>
      </c>
      <c r="C27" s="53">
        <v>5.9195922058702624E-2</v>
      </c>
      <c r="D27" s="62">
        <v>6.1236448871960156E-2</v>
      </c>
      <c r="E27" s="63">
        <v>9.1306073838824928E-2</v>
      </c>
      <c r="F27" s="53">
        <v>8.8407494145199064E-2</v>
      </c>
      <c r="G27" s="54">
        <v>8.8776157260621436E-2</v>
      </c>
      <c r="I27" s="43">
        <v>21</v>
      </c>
      <c r="J27" s="52">
        <v>7.3254974739663886E-2</v>
      </c>
      <c r="K27" s="53">
        <v>7.0567042606516292E-2</v>
      </c>
      <c r="L27" s="62">
        <v>7.5167660208643822E-2</v>
      </c>
      <c r="M27" s="63">
        <v>8.847271553115918E-2</v>
      </c>
      <c r="N27" s="53">
        <v>9.4045368620037803E-2</v>
      </c>
      <c r="O27" s="54">
        <v>9.4098883572567779E-2</v>
      </c>
      <c r="P27" s="72"/>
      <c r="Q27" s="72"/>
      <c r="R27" s="72"/>
      <c r="S27" s="72"/>
      <c r="T27" s="72"/>
      <c r="U27" s="72"/>
      <c r="V27" s="72"/>
      <c r="W27" s="72"/>
      <c r="X27" s="72"/>
      <c r="AA27" s="356"/>
      <c r="AB27" s="363"/>
      <c r="AC27" s="364"/>
      <c r="AD27" s="364"/>
      <c r="AE27" s="365"/>
      <c r="AF27" s="365"/>
      <c r="AG27" s="365"/>
    </row>
    <row r="28" spans="1:34" x14ac:dyDescent="0.2">
      <c r="A28" s="43">
        <v>22</v>
      </c>
      <c r="B28" s="52">
        <v>3.031820204717401E-2</v>
      </c>
      <c r="C28" s="53">
        <v>3.0502343171914824E-2</v>
      </c>
      <c r="D28" s="62">
        <v>3.2034378357261452E-2</v>
      </c>
      <c r="E28" s="63">
        <v>9.3687971417229066E-2</v>
      </c>
      <c r="F28" s="53">
        <v>9.1920374707259958E-2</v>
      </c>
      <c r="G28" s="54">
        <v>9.0044388078630314E-2</v>
      </c>
      <c r="I28" s="43">
        <v>22</v>
      </c>
      <c r="J28" s="52">
        <v>2.9332920919682443E-2</v>
      </c>
      <c r="K28" s="53">
        <v>2.9605263157894735E-2</v>
      </c>
      <c r="L28" s="62">
        <v>3.0737704918032786E-2</v>
      </c>
      <c r="M28" s="63">
        <v>7.6525670003228935E-2</v>
      </c>
      <c r="N28" s="53">
        <v>7.4669187145557661E-2</v>
      </c>
      <c r="O28" s="54">
        <v>7.7618288144603934E-2</v>
      </c>
      <c r="P28" s="72"/>
      <c r="Q28" s="72"/>
      <c r="R28" s="72"/>
      <c r="S28" s="72"/>
      <c r="T28" s="72"/>
      <c r="U28" s="72"/>
      <c r="V28" s="72"/>
      <c r="W28" s="72"/>
      <c r="X28" s="72"/>
      <c r="AA28" s="356"/>
      <c r="AB28" s="363"/>
      <c r="AC28" s="364"/>
      <c r="AD28" s="364"/>
      <c r="AE28" s="365"/>
      <c r="AF28" s="365"/>
      <c r="AG28" s="365"/>
    </row>
    <row r="29" spans="1:34" x14ac:dyDescent="0.2">
      <c r="A29" s="43">
        <v>23</v>
      </c>
      <c r="B29" s="52">
        <v>1.5965732087227413E-2</v>
      </c>
      <c r="C29" s="53">
        <v>1.488119707309052E-2</v>
      </c>
      <c r="D29" s="62">
        <v>1.6114854966305305E-2</v>
      </c>
      <c r="E29" s="63">
        <v>8.3366415244144496E-2</v>
      </c>
      <c r="F29" s="53">
        <v>8.1967213114754092E-2</v>
      </c>
      <c r="G29" s="54">
        <v>7.6727964489537101E-2</v>
      </c>
      <c r="I29" s="43">
        <v>23</v>
      </c>
      <c r="J29" s="52">
        <v>1.7836890401072277E-2</v>
      </c>
      <c r="K29" s="53">
        <v>1.9110275689223057E-2</v>
      </c>
      <c r="L29" s="62">
        <v>2.0119225037257823E-2</v>
      </c>
      <c r="M29" s="63">
        <v>7.3942525024216985E-2</v>
      </c>
      <c r="N29" s="53">
        <v>7.4196597353497165E-2</v>
      </c>
      <c r="O29" s="54">
        <v>7.6555023923444973E-2</v>
      </c>
      <c r="P29" s="72"/>
      <c r="Q29" s="72"/>
      <c r="R29" s="72"/>
      <c r="S29" s="72"/>
      <c r="T29" s="72"/>
      <c r="U29" s="72"/>
      <c r="V29" s="72"/>
      <c r="W29" s="72"/>
      <c r="X29" s="72"/>
      <c r="AA29" s="356"/>
      <c r="AB29" s="363"/>
      <c r="AC29" s="364"/>
      <c r="AD29" s="364"/>
      <c r="AE29" s="365"/>
      <c r="AF29" s="365"/>
      <c r="AG29" s="365"/>
    </row>
    <row r="30" spans="1:34" x14ac:dyDescent="0.2">
      <c r="A30" s="43">
        <v>24</v>
      </c>
      <c r="B30" s="52">
        <v>9.0676457498887406E-3</v>
      </c>
      <c r="C30" s="53">
        <v>7.8105730494121518E-3</v>
      </c>
      <c r="D30" s="62">
        <v>7.7155972262916298E-3</v>
      </c>
      <c r="E30" s="63">
        <v>7.4235807860262015E-2</v>
      </c>
      <c r="F30" s="53">
        <v>7.3770491803278687E-2</v>
      </c>
      <c r="G30" s="54">
        <v>7.5459733671528223E-2</v>
      </c>
      <c r="I30" s="43">
        <v>24</v>
      </c>
      <c r="J30" s="52">
        <v>8.4544798432828125E-3</v>
      </c>
      <c r="K30" s="53">
        <v>8.615288220551378E-3</v>
      </c>
      <c r="L30" s="62">
        <v>9.2213114754098359E-3</v>
      </c>
      <c r="M30" s="63">
        <v>6.1672586373910238E-2</v>
      </c>
      <c r="N30" s="53">
        <v>6.5217391304347824E-2</v>
      </c>
      <c r="O30" s="54">
        <v>6.6985645933014357E-2</v>
      </c>
      <c r="P30" s="72"/>
      <c r="Q30" s="72"/>
      <c r="R30" s="72"/>
      <c r="S30" s="72"/>
      <c r="T30" s="72"/>
      <c r="U30" s="72"/>
      <c r="V30" s="72"/>
      <c r="W30" s="72"/>
      <c r="X30" s="72"/>
      <c r="AA30" s="356"/>
      <c r="AB30" s="363"/>
      <c r="AC30" s="364"/>
      <c r="AD30" s="364"/>
      <c r="AE30" s="365"/>
      <c r="AF30" s="365"/>
      <c r="AG30" s="365"/>
    </row>
    <row r="31" spans="1:34" x14ac:dyDescent="0.2">
      <c r="A31" s="43">
        <v>25</v>
      </c>
      <c r="B31" s="52">
        <v>4.7841566533155322E-3</v>
      </c>
      <c r="C31" s="53">
        <v>4.5219107128175616E-3</v>
      </c>
      <c r="D31" s="62">
        <v>4.8832893837288801E-3</v>
      </c>
      <c r="E31" s="63">
        <v>6.0738388249305282E-2</v>
      </c>
      <c r="F31" s="53">
        <v>6.2646370023419204E-2</v>
      </c>
      <c r="G31" s="54">
        <v>6.4045656309448321E-2</v>
      </c>
      <c r="I31" s="43">
        <v>25</v>
      </c>
      <c r="J31" s="52">
        <v>4.8974121043406536E-3</v>
      </c>
      <c r="K31" s="53">
        <v>4.2293233082706765E-3</v>
      </c>
      <c r="L31" s="62">
        <v>4.1915052160953802E-3</v>
      </c>
      <c r="M31" s="63">
        <v>6.3287051985792708E-2</v>
      </c>
      <c r="N31" s="53">
        <v>6.3327032136105854E-2</v>
      </c>
      <c r="O31" s="54">
        <v>6.2732589048378529E-2</v>
      </c>
      <c r="P31" s="72"/>
      <c r="Q31" s="72"/>
      <c r="R31" s="72"/>
      <c r="S31" s="72"/>
      <c r="T31" s="72"/>
      <c r="U31" s="72"/>
      <c r="V31" s="72"/>
      <c r="W31" s="72"/>
      <c r="X31" s="72"/>
      <c r="AA31" s="356"/>
      <c r="AB31" s="363"/>
      <c r="AC31" s="364"/>
      <c r="AD31" s="364"/>
      <c r="AE31" s="365"/>
      <c r="AF31" s="365"/>
      <c r="AG31" s="365"/>
    </row>
    <row r="32" spans="1:34" x14ac:dyDescent="0.2">
      <c r="A32" s="43">
        <v>26</v>
      </c>
      <c r="B32" s="52">
        <v>2.2251891410769915E-3</v>
      </c>
      <c r="C32" s="53">
        <v>2.5487133108608073E-3</v>
      </c>
      <c r="D32" s="62">
        <v>2.7346420548881728E-3</v>
      </c>
      <c r="E32" s="63">
        <v>4.4859071059944425E-2</v>
      </c>
      <c r="F32" s="53">
        <v>4.6838407494145202E-2</v>
      </c>
      <c r="G32" s="54">
        <v>4.5656309448319596E-2</v>
      </c>
      <c r="I32" s="43">
        <v>26</v>
      </c>
      <c r="J32" s="52">
        <v>2.5260336117125478E-3</v>
      </c>
      <c r="K32" s="53">
        <v>2.0363408521303257E-3</v>
      </c>
      <c r="L32" s="62">
        <v>2.1423248882265276E-3</v>
      </c>
      <c r="M32" s="63">
        <v>4.6173716499838556E-2</v>
      </c>
      <c r="N32" s="53">
        <v>4.3478260869565216E-2</v>
      </c>
      <c r="O32" s="54">
        <v>4.6251993620414676E-2</v>
      </c>
      <c r="P32" s="72"/>
      <c r="Q32" s="72"/>
      <c r="R32" s="72"/>
      <c r="S32" s="72"/>
      <c r="T32" s="72"/>
      <c r="U32" s="72"/>
      <c r="V32" s="72"/>
      <c r="W32" s="72"/>
      <c r="X32" s="72"/>
      <c r="AA32" s="356"/>
      <c r="AB32" s="363"/>
      <c r="AC32" s="364"/>
      <c r="AD32" s="364"/>
      <c r="AE32" s="365"/>
      <c r="AF32" s="365"/>
      <c r="AG32" s="365"/>
    </row>
    <row r="33" spans="1:33" x14ac:dyDescent="0.2">
      <c r="A33" s="43">
        <v>27</v>
      </c>
      <c r="B33" s="52">
        <v>1.3351134846461949E-3</v>
      </c>
      <c r="C33" s="53">
        <v>1.4798980514675656E-3</v>
      </c>
      <c r="D33" s="62">
        <v>1.5626526027932416E-3</v>
      </c>
      <c r="E33" s="63">
        <v>4.6050019849146487E-2</v>
      </c>
      <c r="F33" s="53">
        <v>4.6252927400468387E-2</v>
      </c>
      <c r="G33" s="54">
        <v>4.6290424857324035E-2</v>
      </c>
      <c r="I33" s="43">
        <v>27</v>
      </c>
      <c r="J33" s="52">
        <v>1.2887926590370142E-3</v>
      </c>
      <c r="K33" s="53">
        <v>1.2531328320802004E-3</v>
      </c>
      <c r="L33" s="62">
        <v>1.3971684053651267E-3</v>
      </c>
      <c r="M33" s="63">
        <v>4.1976105908944142E-2</v>
      </c>
      <c r="N33" s="53">
        <v>4.4423440453686201E-2</v>
      </c>
      <c r="O33" s="54">
        <v>4.5720361509835196E-2</v>
      </c>
      <c r="P33" s="72"/>
      <c r="Q33" s="72"/>
      <c r="R33" s="72"/>
      <c r="S33" s="72"/>
      <c r="T33" s="72"/>
      <c r="U33" s="72"/>
      <c r="V33" s="72"/>
      <c r="W33" s="72"/>
      <c r="X33" s="72"/>
      <c r="AA33" s="356"/>
      <c r="AB33" s="365"/>
      <c r="AC33" s="365"/>
      <c r="AD33" s="365"/>
      <c r="AE33" s="365"/>
      <c r="AF33" s="365"/>
      <c r="AG33" s="365"/>
    </row>
    <row r="34" spans="1:33" x14ac:dyDescent="0.2">
      <c r="A34" s="43">
        <v>28</v>
      </c>
      <c r="B34" s="52">
        <v>8.3444592790387186E-4</v>
      </c>
      <c r="C34" s="53">
        <v>1.0688152593932418E-3</v>
      </c>
      <c r="D34" s="62">
        <v>9.0549884754692134E-4</v>
      </c>
      <c r="E34" s="63">
        <v>3.2949583167923777E-2</v>
      </c>
      <c r="F34" s="53">
        <v>3.5714285714285712E-2</v>
      </c>
      <c r="G34" s="54">
        <v>3.8046924540266328E-2</v>
      </c>
      <c r="I34" s="43">
        <v>28</v>
      </c>
      <c r="J34" s="52">
        <v>1.1341375399525724E-3</v>
      </c>
      <c r="K34" s="53">
        <v>1.331453634085213E-3</v>
      </c>
      <c r="L34" s="62">
        <v>1.3971684053651267E-3</v>
      </c>
      <c r="M34" s="63">
        <v>3.6486922828543752E-2</v>
      </c>
      <c r="N34" s="53">
        <v>3.7334593572778831E-2</v>
      </c>
      <c r="O34" s="54">
        <v>4.0935672514619881E-2</v>
      </c>
      <c r="P34" s="72"/>
      <c r="Q34" s="72"/>
      <c r="R34" s="72"/>
      <c r="S34" s="72"/>
      <c r="T34" s="72"/>
      <c r="U34" s="72"/>
      <c r="V34" s="72"/>
      <c r="W34" s="72"/>
      <c r="X34" s="72"/>
      <c r="AA34" s="356"/>
      <c r="AB34" s="365"/>
      <c r="AC34" s="365"/>
      <c r="AD34" s="365"/>
      <c r="AE34" s="365"/>
      <c r="AF34" s="365"/>
      <c r="AG34" s="365"/>
    </row>
    <row r="35" spans="1:33" x14ac:dyDescent="0.2">
      <c r="A35" s="43">
        <v>29</v>
      </c>
      <c r="B35" s="52">
        <v>5.0066755674232314E-4</v>
      </c>
      <c r="C35" s="53">
        <v>6.57732467318918E-4</v>
      </c>
      <c r="D35" s="62">
        <v>5.8599472604746558E-4</v>
      </c>
      <c r="E35" s="63">
        <v>3.652242953552997E-2</v>
      </c>
      <c r="F35" s="53">
        <v>4.2154566744730677E-2</v>
      </c>
      <c r="G35" s="54">
        <v>4.311984781230184E-2</v>
      </c>
      <c r="I35" s="43">
        <v>29</v>
      </c>
      <c r="J35" s="52">
        <v>8.2482730178368906E-4</v>
      </c>
      <c r="K35" s="53">
        <v>9.3984962406015032E-4</v>
      </c>
      <c r="L35" s="62">
        <v>8.3830104321907606E-4</v>
      </c>
      <c r="M35" s="63">
        <v>3.1643525992896354E-2</v>
      </c>
      <c r="N35" s="53">
        <v>3.2608695652173912E-2</v>
      </c>
      <c r="O35" s="54">
        <v>3.4556087187666132E-2</v>
      </c>
      <c r="P35" s="72"/>
      <c r="Q35" s="72"/>
      <c r="R35" s="72"/>
      <c r="S35" s="72"/>
      <c r="T35" s="72"/>
      <c r="U35" s="72"/>
      <c r="V35" s="72"/>
      <c r="W35" s="72"/>
      <c r="X35" s="72"/>
      <c r="AB35" s="366"/>
      <c r="AC35" s="366"/>
      <c r="AD35" s="366"/>
      <c r="AE35" s="366"/>
      <c r="AF35" s="366"/>
      <c r="AG35" s="366"/>
    </row>
    <row r="36" spans="1:33" x14ac:dyDescent="0.2">
      <c r="A36" s="44" t="s">
        <v>25</v>
      </c>
      <c r="B36" s="55">
        <v>3.3377837116154874E-3</v>
      </c>
      <c r="C36" s="56">
        <v>3.7819616870837787E-3</v>
      </c>
      <c r="D36" s="64">
        <v>3.9066315069831038E-3</v>
      </c>
      <c r="E36" s="65">
        <v>0.24890829694323144</v>
      </c>
      <c r="F36" s="56">
        <v>0.26990632318501173</v>
      </c>
      <c r="G36" s="57">
        <v>0.30437539632213062</v>
      </c>
      <c r="I36" s="44" t="s">
        <v>25</v>
      </c>
      <c r="J36" s="55">
        <v>4.1241365089184452E-3</v>
      </c>
      <c r="K36" s="56">
        <v>4.7775689223057641E-3</v>
      </c>
      <c r="L36" s="64">
        <v>5.2160953800298067E-3</v>
      </c>
      <c r="M36" s="65">
        <v>0.24023248304811107</v>
      </c>
      <c r="N36" s="56">
        <v>0.24858223062381851</v>
      </c>
      <c r="O36" s="57">
        <v>0.25677830940988838</v>
      </c>
      <c r="P36" s="72"/>
      <c r="Q36" s="72"/>
      <c r="R36" s="72"/>
      <c r="S36" s="72"/>
      <c r="T36" s="72"/>
      <c r="U36" s="72"/>
      <c r="V36" s="72"/>
      <c r="W36" s="72"/>
      <c r="X36" s="72"/>
    </row>
    <row r="37" spans="1:33" ht="17.25" customHeight="1" thickBot="1" x14ac:dyDescent="0.25">
      <c r="A37" s="22" t="s">
        <v>26</v>
      </c>
      <c r="B37" s="212">
        <v>20.097999999999999</v>
      </c>
      <c r="C37" s="213">
        <v>19.8</v>
      </c>
      <c r="D37" s="214">
        <v>19.559999999999999</v>
      </c>
      <c r="E37" s="215">
        <v>25.93</v>
      </c>
      <c r="F37" s="213">
        <v>26.35</v>
      </c>
      <c r="G37" s="216">
        <v>27.4</v>
      </c>
      <c r="I37" s="22" t="s">
        <v>26</v>
      </c>
      <c r="J37" s="212">
        <v>19.540004124136502</v>
      </c>
      <c r="K37" s="213">
        <v>19.73</v>
      </c>
      <c r="L37" s="214">
        <v>19.763133383010434</v>
      </c>
      <c r="M37" s="215">
        <v>24.445915402001937</v>
      </c>
      <c r="N37" s="213">
        <v>24.569943289224952</v>
      </c>
      <c r="O37" s="216">
        <v>24.759170653907496</v>
      </c>
      <c r="P37" s="73"/>
      <c r="Q37" s="73"/>
      <c r="R37" s="73"/>
      <c r="S37" s="73"/>
      <c r="T37" s="73"/>
      <c r="U37" s="73"/>
      <c r="V37" s="73"/>
      <c r="W37" s="73"/>
      <c r="X37" s="73"/>
      <c r="AA37" s="361"/>
      <c r="AB37" s="362"/>
      <c r="AC37" s="362"/>
      <c r="AD37" s="362"/>
      <c r="AE37" s="362"/>
      <c r="AF37" s="362"/>
      <c r="AG37" s="362"/>
    </row>
    <row r="38" spans="1:33" ht="20.100000000000001" customHeight="1" thickTop="1" x14ac:dyDescent="0.2">
      <c r="AA38" s="355"/>
      <c r="AB38" s="356"/>
      <c r="AC38" s="356"/>
      <c r="AD38" s="356"/>
      <c r="AE38" s="356"/>
      <c r="AF38" s="356"/>
      <c r="AG38" s="356"/>
    </row>
    <row r="39" spans="1:33" ht="13.5" thickBot="1" x14ac:dyDescent="0.25">
      <c r="A39" s="19" t="s">
        <v>53</v>
      </c>
      <c r="B39" s="19"/>
      <c r="C39" s="19"/>
      <c r="D39" s="19"/>
      <c r="E39" s="19"/>
      <c r="F39" s="19"/>
      <c r="G39" s="19"/>
      <c r="I39" s="19" t="s">
        <v>54</v>
      </c>
      <c r="J39" s="19"/>
      <c r="K39" s="19"/>
      <c r="L39" s="19"/>
      <c r="M39" s="19"/>
      <c r="N39" s="19"/>
      <c r="O39" s="19"/>
      <c r="AA39" s="356"/>
      <c r="AB39" s="363"/>
      <c r="AC39" s="364"/>
      <c r="AD39" s="364"/>
      <c r="AE39" s="365"/>
      <c r="AF39" s="365"/>
      <c r="AG39" s="365"/>
    </row>
    <row r="40" spans="1:33" ht="45" customHeight="1" thickTop="1" x14ac:dyDescent="0.2">
      <c r="A40" s="20" t="s">
        <v>56</v>
      </c>
      <c r="B40" s="405" t="s">
        <v>103</v>
      </c>
      <c r="C40" s="406" t="s">
        <v>104</v>
      </c>
      <c r="D40" s="407" t="s">
        <v>105</v>
      </c>
      <c r="E40" s="408" t="s">
        <v>103</v>
      </c>
      <c r="F40" s="406" t="s">
        <v>104</v>
      </c>
      <c r="G40" s="409" t="s">
        <v>105</v>
      </c>
      <c r="I40" s="20" t="s">
        <v>55</v>
      </c>
      <c r="J40" s="66" t="s">
        <v>38</v>
      </c>
      <c r="K40" s="67" t="s">
        <v>104</v>
      </c>
      <c r="L40" s="68" t="s">
        <v>39</v>
      </c>
      <c r="M40" s="69" t="s">
        <v>38</v>
      </c>
      <c r="N40" s="67" t="s">
        <v>34</v>
      </c>
      <c r="O40" s="70" t="s">
        <v>39</v>
      </c>
      <c r="AA40" s="356"/>
      <c r="AB40" s="363"/>
      <c r="AC40" s="364"/>
      <c r="AD40" s="364"/>
      <c r="AE40" s="365"/>
      <c r="AF40" s="365"/>
      <c r="AG40" s="365"/>
    </row>
    <row r="41" spans="1:33" ht="13.5" thickBot="1" x14ac:dyDescent="0.25">
      <c r="A41" s="21"/>
      <c r="B41" s="46" t="s">
        <v>90</v>
      </c>
      <c r="C41" s="47"/>
      <c r="D41" s="58"/>
      <c r="E41" s="59" t="s">
        <v>97</v>
      </c>
      <c r="F41" s="47"/>
      <c r="G41" s="48"/>
      <c r="I41" s="21"/>
      <c r="J41" s="46" t="s">
        <v>90</v>
      </c>
      <c r="K41" s="47"/>
      <c r="L41" s="58"/>
      <c r="M41" s="59" t="s">
        <v>97</v>
      </c>
      <c r="N41" s="47"/>
      <c r="O41" s="48"/>
      <c r="AA41" s="356"/>
      <c r="AB41" s="363"/>
      <c r="AC41" s="364"/>
      <c r="AD41" s="364"/>
      <c r="AE41" s="365"/>
      <c r="AF41" s="365"/>
      <c r="AG41" s="365"/>
    </row>
    <row r="42" spans="1:33" ht="13.5" thickTop="1" x14ac:dyDescent="0.2">
      <c r="A42" s="42">
        <v>18</v>
      </c>
      <c r="B42" s="49">
        <v>1.78387005914938E-3</v>
      </c>
      <c r="C42" s="50">
        <f>20.2778820878708%/100</f>
        <v>2.0277882087870801E-3</v>
      </c>
      <c r="D42" s="60">
        <f>17.5685172171469%/100</f>
        <v>1.75685172171469E-3</v>
      </c>
      <c r="E42" s="61">
        <v>0</v>
      </c>
      <c r="F42" s="50">
        <v>0</v>
      </c>
      <c r="G42" s="51">
        <v>0</v>
      </c>
      <c r="I42" s="42">
        <v>18</v>
      </c>
      <c r="J42" s="49">
        <v>2.9276915428382037E-3</v>
      </c>
      <c r="K42" s="50">
        <v>3.0685305148312309E-3</v>
      </c>
      <c r="L42" s="60">
        <v>2.6156941649899397E-3</v>
      </c>
      <c r="M42" s="61">
        <v>7.6132470498667686E-4</v>
      </c>
      <c r="N42" s="50">
        <v>1.2091898428053204E-3</v>
      </c>
      <c r="O42" s="51">
        <v>1.4619883040935672E-3</v>
      </c>
      <c r="AA42" s="356"/>
      <c r="AB42" s="363"/>
      <c r="AC42" s="364"/>
      <c r="AD42" s="364"/>
      <c r="AE42" s="365"/>
      <c r="AF42" s="365"/>
      <c r="AG42" s="365"/>
    </row>
    <row r="43" spans="1:33" x14ac:dyDescent="0.2">
      <c r="A43" s="43">
        <v>19</v>
      </c>
      <c r="B43" s="52">
        <v>0.4984977936344</v>
      </c>
      <c r="C43" s="53">
        <f>4961.32181749906%/100</f>
        <v>0.49613218174990598</v>
      </c>
      <c r="D43" s="62">
        <f>48.0323260716795/100</f>
        <v>0.48032326071679499</v>
      </c>
      <c r="E43" s="320">
        <f>852.045524454014%/100</f>
        <v>8.5204552445401399E-2</v>
      </c>
      <c r="F43" s="53">
        <f>850.58505850585%/100</f>
        <v>8.5058505850584998E-2</v>
      </c>
      <c r="G43" s="54">
        <f>703.883495145631%/100</f>
        <v>7.0388349514563103E-2</v>
      </c>
      <c r="I43" s="43">
        <v>19</v>
      </c>
      <c r="J43" s="52">
        <v>0.53554659448710162</v>
      </c>
      <c r="K43" s="53">
        <v>0.52753153767473582</v>
      </c>
      <c r="L43" s="62">
        <v>0.51156941649899401</v>
      </c>
      <c r="M43" s="320">
        <v>8.6791016368481161E-2</v>
      </c>
      <c r="N43" s="53">
        <v>8.8875453446191049E-2</v>
      </c>
      <c r="O43" s="54">
        <v>8.6988304093567254E-2</v>
      </c>
      <c r="AA43" s="356"/>
      <c r="AB43" s="363"/>
      <c r="AC43" s="364"/>
      <c r="AD43" s="364"/>
      <c r="AE43" s="365"/>
      <c r="AF43" s="365"/>
      <c r="AG43" s="365"/>
    </row>
    <row r="44" spans="1:33" x14ac:dyDescent="0.2">
      <c r="A44" s="43">
        <v>20</v>
      </c>
      <c r="B44" s="52">
        <v>0.28889306168434897</v>
      </c>
      <c r="C44" s="53">
        <f>2844.16072099136%/100</f>
        <v>0.284416072099136</v>
      </c>
      <c r="D44" s="62">
        <f>28.9704848910752/100</f>
        <v>0.28970484891075199</v>
      </c>
      <c r="E44" s="320">
        <f>888.957243924946%/100</f>
        <v>8.8895724392494616E-2</v>
      </c>
      <c r="F44" s="53">
        <f>976.597659765977%/100</f>
        <v>9.7659765976597701E-2</v>
      </c>
      <c r="G44" s="54">
        <f>854.368932038835%/100</f>
        <v>8.5436893203883507E-2</v>
      </c>
      <c r="I44" s="43">
        <v>20</v>
      </c>
      <c r="J44" s="52">
        <v>0.2728277081146771</v>
      </c>
      <c r="K44" s="53">
        <v>0.27523013978861233</v>
      </c>
      <c r="L44" s="62">
        <v>0.28239436619718311</v>
      </c>
      <c r="M44" s="320">
        <v>0.10125618576322802</v>
      </c>
      <c r="N44" s="53">
        <v>9.4316807738814998E-2</v>
      </c>
      <c r="O44" s="54">
        <v>8.2602339181286552E-2</v>
      </c>
      <c r="AA44" s="356"/>
      <c r="AB44" s="363"/>
      <c r="AC44" s="364"/>
      <c r="AD44" s="364"/>
      <c r="AE44" s="365"/>
      <c r="AF44" s="365"/>
      <c r="AG44" s="365"/>
    </row>
    <row r="45" spans="1:33" x14ac:dyDescent="0.2">
      <c r="A45" s="43">
        <v>21</v>
      </c>
      <c r="B45" s="52">
        <v>0.11989484555440801</v>
      </c>
      <c r="C45" s="53">
        <f>1236.1997746902%/100</f>
        <v>0.12361997746902001</v>
      </c>
      <c r="D45" s="62">
        <f>1291.2860154603%/100</f>
        <v>0.12912860154602998</v>
      </c>
      <c r="E45" s="320">
        <f>932.020916641033%/100</f>
        <v>9.3202091664103287E-2</v>
      </c>
      <c r="F45" s="53">
        <f>792.079207920792%/100</f>
        <v>7.9207920792079195E-2</v>
      </c>
      <c r="G45" s="54">
        <f>917.47572815534%/100</f>
        <v>9.1747572815534001E-2</v>
      </c>
      <c r="I45" s="43">
        <v>21</v>
      </c>
      <c r="J45" s="52">
        <v>9.5895707893719276E-2</v>
      </c>
      <c r="K45" s="53">
        <v>9.7596317763382207E-2</v>
      </c>
      <c r="L45" s="62">
        <v>0.10181086519114688</v>
      </c>
      <c r="M45" s="320">
        <v>8.7933003425961179E-2</v>
      </c>
      <c r="N45" s="53">
        <v>8.222490931076179E-2</v>
      </c>
      <c r="O45" s="54">
        <v>8.3333333333333329E-2</v>
      </c>
      <c r="AA45" s="356"/>
      <c r="AB45" s="363"/>
      <c r="AC45" s="364"/>
      <c r="AD45" s="364"/>
      <c r="AE45" s="365"/>
      <c r="AF45" s="365"/>
      <c r="AG45" s="365"/>
    </row>
    <row r="46" spans="1:33" x14ac:dyDescent="0.2">
      <c r="A46" s="43">
        <v>22</v>
      </c>
      <c r="B46" s="52">
        <v>4.1545394798610503E-2</v>
      </c>
      <c r="C46" s="53">
        <f>437.101013894104%/100</f>
        <v>4.3710101389410401E-2</v>
      </c>
      <c r="D46" s="62">
        <f>463.808854532677%/100</f>
        <v>4.6380885453267705E-2</v>
      </c>
      <c r="E46" s="320">
        <f>833.589664718548%/100</f>
        <v>8.3358966471854798E-2</v>
      </c>
      <c r="F46" s="53">
        <f>702.070207020702%/100</f>
        <v>7.0207020702070203E-2</v>
      </c>
      <c r="G46" s="54">
        <f>800.970873786408%/100</f>
        <v>8.0097087378640811E-2</v>
      </c>
      <c r="I46" s="43">
        <v>22</v>
      </c>
      <c r="J46" s="52">
        <v>4.4412528310224825E-2</v>
      </c>
      <c r="K46" s="53">
        <v>4.7903170814865323E-2</v>
      </c>
      <c r="L46" s="62">
        <v>0.05</v>
      </c>
      <c r="M46" s="320">
        <v>7.879710696612105E-2</v>
      </c>
      <c r="N46" s="53">
        <v>7.2551390568319232E-2</v>
      </c>
      <c r="O46" s="54">
        <v>6.725146198830409E-2</v>
      </c>
      <c r="AA46" s="356"/>
      <c r="AB46" s="363"/>
      <c r="AC46" s="364"/>
      <c r="AD46" s="364"/>
      <c r="AE46" s="365"/>
      <c r="AF46" s="365"/>
      <c r="AG46" s="365"/>
    </row>
    <row r="47" spans="1:33" x14ac:dyDescent="0.2">
      <c r="A47" s="43">
        <v>23</v>
      </c>
      <c r="B47" s="52">
        <v>2.0937001220542699E-2</v>
      </c>
      <c r="C47" s="53">
        <f>215.546376267368%/100</f>
        <v>2.1554637626736799E-2</v>
      </c>
      <c r="D47" s="62">
        <f>231.026001405481%/100</f>
        <v>2.3102600140548102E-2</v>
      </c>
      <c r="E47" s="320">
        <f>732.082436173485%/100</f>
        <v>7.3208243617348498E-2</v>
      </c>
      <c r="F47" s="53">
        <f>603.060306030603%/100</f>
        <v>6.03060306030603E-2</v>
      </c>
      <c r="G47" s="54">
        <f>718.446601941748%/100</f>
        <v>7.1844660194174792E-2</v>
      </c>
      <c r="I47" s="43">
        <v>23</v>
      </c>
      <c r="J47" s="52">
        <v>1.9830967242998397E-2</v>
      </c>
      <c r="K47" s="53">
        <v>1.986021138765769E-2</v>
      </c>
      <c r="L47" s="62">
        <v>2.1730382293762576E-2</v>
      </c>
      <c r="M47" s="320">
        <v>7.0803197563760939E-2</v>
      </c>
      <c r="N47" s="53">
        <v>6.7110036275695284E-2</v>
      </c>
      <c r="O47" s="54">
        <v>6.8713450292397657E-2</v>
      </c>
      <c r="AA47" s="356"/>
      <c r="AB47" s="363"/>
      <c r="AC47" s="364"/>
      <c r="AD47" s="364"/>
      <c r="AE47" s="365"/>
      <c r="AF47" s="365"/>
      <c r="AG47" s="365"/>
    </row>
    <row r="48" spans="1:33" x14ac:dyDescent="0.2">
      <c r="A48" s="43">
        <v>24</v>
      </c>
      <c r="B48" s="52">
        <v>1.2440146465120601E-2</v>
      </c>
      <c r="C48" s="53">
        <f>126.173488546752%/100</f>
        <v>1.2617348854675199E-2</v>
      </c>
      <c r="D48" s="62">
        <f>131.763879128602%/100</f>
        <v>1.3176387912860202E-2</v>
      </c>
      <c r="E48" s="320">
        <f>658.258997231621%/100</f>
        <v>6.5825899723162107E-2</v>
      </c>
      <c r="F48" s="53">
        <f>594.059405940594%/100</f>
        <v>5.9405940594059403E-2</v>
      </c>
      <c r="G48" s="54">
        <f>601.941747572816%/100</f>
        <v>6.0194174757281595E-2</v>
      </c>
      <c r="I48" s="43">
        <v>24</v>
      </c>
      <c r="J48" s="52">
        <v>9.9983428161078275E-3</v>
      </c>
      <c r="K48" s="53">
        <v>9.631776338220252E-3</v>
      </c>
      <c r="L48" s="62">
        <v>1.0060362173038229E-2</v>
      </c>
      <c r="M48" s="320">
        <v>6.0525314046440806E-2</v>
      </c>
      <c r="N48" s="53">
        <v>6.3482466747279323E-2</v>
      </c>
      <c r="O48" s="54">
        <v>6.4327485380116955E-2</v>
      </c>
      <c r="AA48" s="356"/>
      <c r="AB48" s="363"/>
      <c r="AC48" s="364"/>
      <c r="AD48" s="364"/>
      <c r="AE48" s="365"/>
      <c r="AF48" s="365"/>
      <c r="AG48" s="365"/>
    </row>
    <row r="49" spans="1:35" x14ac:dyDescent="0.2">
      <c r="A49" s="43">
        <v>25</v>
      </c>
      <c r="B49" s="52">
        <v>5.1638343817481903E-3</v>
      </c>
      <c r="C49" s="53">
        <f>52.5722868944799%/100</f>
        <v>5.2572286894479901E-3</v>
      </c>
      <c r="D49" s="62">
        <f>57.0976809557273%/100</f>
        <v>5.7097680955727308E-3</v>
      </c>
      <c r="E49" s="320">
        <f>618.271301138111%/100</f>
        <v>6.18271301138111E-2</v>
      </c>
      <c r="F49" s="53">
        <f>594.059405940594%/100</f>
        <v>5.9405940594059403E-2</v>
      </c>
      <c r="G49" s="54">
        <f>601.941747572816%/100</f>
        <v>6.0194174757281595E-2</v>
      </c>
      <c r="I49" s="43">
        <v>25</v>
      </c>
      <c r="J49" s="52">
        <v>5.8553830856764074E-3</v>
      </c>
      <c r="K49" s="53">
        <v>5.710876235935902E-3</v>
      </c>
      <c r="L49" s="62">
        <v>5.9356136820925554E-3</v>
      </c>
      <c r="M49" s="320">
        <v>6.1286638751427487E-2</v>
      </c>
      <c r="N49" s="53">
        <v>5.5622732769044739E-2</v>
      </c>
      <c r="O49" s="54">
        <v>5.921052631578947E-2</v>
      </c>
      <c r="AA49" s="356"/>
      <c r="AB49" s="363"/>
      <c r="AC49" s="364"/>
      <c r="AD49" s="364"/>
      <c r="AE49" s="365"/>
      <c r="AF49" s="365"/>
      <c r="AG49" s="365"/>
    </row>
    <row r="50" spans="1:35" x14ac:dyDescent="0.2">
      <c r="A50" s="43">
        <v>26</v>
      </c>
      <c r="B50" s="52">
        <v>2.7696929865740297E-3</v>
      </c>
      <c r="C50" s="53">
        <f>23.2820127675554%/100</f>
        <v>2.3282012767555402E-3</v>
      </c>
      <c r="D50" s="62">
        <f>21.0822206605762%/100</f>
        <v>2.1082220660576202E-3</v>
      </c>
      <c r="E50" s="320">
        <f>596.739464780068%/100</f>
        <v>5.9673946478006806E-2</v>
      </c>
      <c r="F50" s="53">
        <f>436.543654365437%/100</f>
        <v>4.3654365436543704E-2</v>
      </c>
      <c r="G50" s="54">
        <f>597.087378640777%/100</f>
        <v>5.9708737864077703E-2</v>
      </c>
      <c r="I50" s="43">
        <v>26</v>
      </c>
      <c r="J50" s="52">
        <v>1.9333812075346627E-3</v>
      </c>
      <c r="K50" s="53">
        <v>1.6195022161609274E-3</v>
      </c>
      <c r="L50" s="62">
        <v>1.710261569416499E-3</v>
      </c>
      <c r="M50" s="320">
        <v>5.5957365816520749E-2</v>
      </c>
      <c r="N50" s="53">
        <v>5.8645707376058044E-2</v>
      </c>
      <c r="O50" s="54">
        <v>6.2134502923976605E-2</v>
      </c>
      <c r="AA50" s="356"/>
      <c r="AB50" s="363"/>
      <c r="AC50" s="364"/>
      <c r="AD50" s="364"/>
      <c r="AE50" s="365"/>
      <c r="AF50" s="365"/>
      <c r="AG50" s="365"/>
    </row>
    <row r="51" spans="1:35" x14ac:dyDescent="0.2">
      <c r="A51" s="43">
        <v>27</v>
      </c>
      <c r="B51" s="52">
        <v>1.78387005914938E-3</v>
      </c>
      <c r="C51" s="53">
        <f>15.771686068344%/100</f>
        <v>1.5771686068343999E-3</v>
      </c>
      <c r="D51" s="62">
        <f>14.0548137737175%/100</f>
        <v>1.40548137737175E-3</v>
      </c>
      <c r="E51" s="320">
        <f>439.864657028607%/100</f>
        <v>4.3986465702860703E-2</v>
      </c>
      <c r="F51" s="53">
        <f>409.54095409541%/100</f>
        <v>4.0954095409540994E-2</v>
      </c>
      <c r="G51" s="54">
        <f>441.747572815534%/100</f>
        <v>4.4174757281553401E-2</v>
      </c>
      <c r="I51" s="43">
        <v>27</v>
      </c>
      <c r="J51" s="52">
        <v>2.4857758382588521E-3</v>
      </c>
      <c r="K51" s="53">
        <v>2.557108762359359E-3</v>
      </c>
      <c r="L51" s="62">
        <v>2.6156941649899397E-3</v>
      </c>
      <c r="M51" s="320">
        <v>4.6440807004187283E-2</v>
      </c>
      <c r="N51" s="53">
        <v>4.4740024183796856E-2</v>
      </c>
      <c r="O51" s="54">
        <v>4.3128654970760232E-2</v>
      </c>
      <c r="AA51" s="356"/>
      <c r="AB51" s="365"/>
      <c r="AC51" s="365"/>
      <c r="AD51" s="365"/>
      <c r="AE51" s="365"/>
      <c r="AF51" s="365"/>
      <c r="AG51" s="365"/>
    </row>
    <row r="52" spans="1:35" x14ac:dyDescent="0.2">
      <c r="A52" s="43">
        <v>28</v>
      </c>
      <c r="B52" s="52">
        <v>1.2205426720495699E-3</v>
      </c>
      <c r="C52" s="53">
        <f>9.0123920390537%/100</f>
        <v>9.0123920390536988E-4</v>
      </c>
      <c r="D52" s="62">
        <f>7.90583274771609%/100</f>
        <v>7.9058327477160909E-4</v>
      </c>
      <c r="E52" s="320">
        <f>387.573054444786%/100</f>
        <v>3.8757305444478599E-2</v>
      </c>
      <c r="F52" s="53">
        <f>409.54095409541%/100</f>
        <v>4.0954095409540994E-2</v>
      </c>
      <c r="G52" s="54">
        <f>427.184466019417%/100</f>
        <v>4.2718446601941705E-2</v>
      </c>
      <c r="I52" s="43">
        <v>28</v>
      </c>
      <c r="J52" s="52">
        <v>1.4362260398828924E-3</v>
      </c>
      <c r="K52" s="53">
        <v>1.4490282986703035E-3</v>
      </c>
      <c r="L52" s="62">
        <v>1.4084507042253522E-3</v>
      </c>
      <c r="M52" s="320">
        <v>3.4259611724400459E-2</v>
      </c>
      <c r="N52" s="53">
        <v>3.4461910519951636E-2</v>
      </c>
      <c r="O52" s="54">
        <v>3.7280701754385963E-2</v>
      </c>
      <c r="AA52" s="356"/>
      <c r="AB52" s="365"/>
      <c r="AC52" s="365"/>
      <c r="AD52" s="365"/>
      <c r="AE52" s="365"/>
      <c r="AF52" s="365"/>
      <c r="AG52" s="367"/>
      <c r="AI52" s="368"/>
    </row>
    <row r="53" spans="1:35" x14ac:dyDescent="0.2">
      <c r="A53" s="43">
        <v>29</v>
      </c>
      <c r="B53" s="52">
        <v>1.0327668763496398E-3</v>
      </c>
      <c r="C53" s="53">
        <f>10.514457378896%/100</f>
        <v>1.0514457378895999E-3</v>
      </c>
      <c r="D53" s="62">
        <f>12.2979620520028%/100</f>
        <v>1.22979620520028E-3</v>
      </c>
      <c r="E53" s="320">
        <f>378.345124577053%/100</f>
        <v>3.7834512457705298E-2</v>
      </c>
      <c r="F53" s="53">
        <f>409.54095409541%/100</f>
        <v>4.0954095409540994E-2</v>
      </c>
      <c r="G53" s="54">
        <f>417.47572815534%/100</f>
        <v>4.1747572815533998E-2</v>
      </c>
      <c r="I53" s="43">
        <v>29</v>
      </c>
      <c r="J53" s="52">
        <v>9.9431033530354078E-4</v>
      </c>
      <c r="K53" s="53">
        <v>9.3760654619843165E-4</v>
      </c>
      <c r="L53" s="62">
        <v>9.0543259557344068E-4</v>
      </c>
      <c r="M53" s="320">
        <v>3.0452988199467072E-2</v>
      </c>
      <c r="N53" s="53">
        <v>3.143893591293833E-2</v>
      </c>
      <c r="O53" s="54">
        <v>3.2163742690058478E-2</v>
      </c>
      <c r="AB53" s="366"/>
      <c r="AC53" s="366"/>
      <c r="AD53" s="366"/>
      <c r="AE53" s="366"/>
      <c r="AF53" s="366"/>
      <c r="AG53" s="369"/>
    </row>
    <row r="54" spans="1:35" x14ac:dyDescent="0.2">
      <c r="A54" s="44" t="s">
        <v>25</v>
      </c>
      <c r="B54" s="55">
        <v>4.0000000000000001E-3</v>
      </c>
      <c r="C54" s="56">
        <v>4.581E-3</v>
      </c>
      <c r="D54" s="64">
        <v>4.9189999999999998E-3</v>
      </c>
      <c r="E54" s="250">
        <v>0.26819999999999999</v>
      </c>
      <c r="F54" s="56">
        <v>0.28710000000000002</v>
      </c>
      <c r="G54" s="57">
        <v>0.29174</v>
      </c>
      <c r="I54" s="44" t="s">
        <v>25</v>
      </c>
      <c r="J54" s="55">
        <v>6.0000000000000001E-3</v>
      </c>
      <c r="K54" s="56">
        <v>7.0000000000000001E-3</v>
      </c>
      <c r="L54" s="64">
        <v>7.0000000000000001E-3</v>
      </c>
      <c r="M54" s="250">
        <v>0.28499999999999998</v>
      </c>
      <c r="N54" s="56">
        <v>0.30499999999999999</v>
      </c>
      <c r="O54" s="57">
        <v>0.311</v>
      </c>
    </row>
    <row r="55" spans="1:35" ht="13.5" thickBot="1" x14ac:dyDescent="0.25">
      <c r="A55" s="22" t="s">
        <v>26</v>
      </c>
      <c r="B55" s="212">
        <v>19.920000000000002</v>
      </c>
      <c r="C55" s="213">
        <v>19.95</v>
      </c>
      <c r="D55" s="214">
        <v>19.97</v>
      </c>
      <c r="E55" s="215">
        <v>24.72</v>
      </c>
      <c r="F55" s="213">
        <v>25.74</v>
      </c>
      <c r="G55" s="216">
        <v>26.73</v>
      </c>
      <c r="I55" s="22" t="s">
        <v>26</v>
      </c>
      <c r="J55" s="212">
        <v>19.8</v>
      </c>
      <c r="K55" s="213">
        <v>19.96</v>
      </c>
      <c r="L55" s="214">
        <v>19.97</v>
      </c>
      <c r="M55" s="215">
        <v>26.77</v>
      </c>
      <c r="N55" s="213">
        <v>26.98</v>
      </c>
      <c r="O55" s="216">
        <v>27.2</v>
      </c>
    </row>
    <row r="56" spans="1:35" ht="20.100000000000001" customHeight="1" thickTop="1" x14ac:dyDescent="0.2">
      <c r="AA56" s="361"/>
      <c r="AB56" s="362"/>
      <c r="AC56" s="362"/>
      <c r="AD56" s="362"/>
      <c r="AE56" s="362"/>
      <c r="AF56" s="362"/>
      <c r="AG56" s="362"/>
    </row>
    <row r="57" spans="1:35" ht="13.5" thickBot="1" x14ac:dyDescent="0.25">
      <c r="A57" s="19" t="s">
        <v>76</v>
      </c>
      <c r="B57" s="19"/>
      <c r="C57" s="19"/>
      <c r="D57" s="19"/>
      <c r="E57" s="19"/>
      <c r="F57" s="19"/>
      <c r="G57" s="19"/>
      <c r="H57" s="252"/>
      <c r="I57" s="19" t="s">
        <v>84</v>
      </c>
      <c r="J57" s="252"/>
      <c r="K57" s="252"/>
      <c r="L57" s="252"/>
      <c r="M57" s="252"/>
      <c r="N57" s="252"/>
      <c r="O57" s="252"/>
      <c r="AA57" s="355"/>
      <c r="AB57" s="356"/>
      <c r="AC57" s="356"/>
      <c r="AD57" s="356"/>
      <c r="AE57" s="356"/>
      <c r="AF57" s="356"/>
      <c r="AG57" s="356"/>
    </row>
    <row r="58" spans="1:35" ht="51.75" thickTop="1" x14ac:dyDescent="0.2">
      <c r="A58" s="20" t="s">
        <v>78</v>
      </c>
      <c r="B58" s="66" t="s">
        <v>38</v>
      </c>
      <c r="C58" s="406" t="s">
        <v>104</v>
      </c>
      <c r="D58" s="68" t="s">
        <v>39</v>
      </c>
      <c r="E58" s="69" t="s">
        <v>38</v>
      </c>
      <c r="F58" s="67" t="s">
        <v>34</v>
      </c>
      <c r="G58" s="70" t="s">
        <v>39</v>
      </c>
      <c r="H58" s="252"/>
      <c r="I58" s="20" t="s">
        <v>85</v>
      </c>
      <c r="J58" s="405" t="s">
        <v>103</v>
      </c>
      <c r="K58" s="406" t="s">
        <v>104</v>
      </c>
      <c r="L58" s="407" t="s">
        <v>105</v>
      </c>
      <c r="M58" s="408" t="s">
        <v>103</v>
      </c>
      <c r="N58" s="406" t="s">
        <v>104</v>
      </c>
      <c r="O58" s="409" t="s">
        <v>105</v>
      </c>
      <c r="AA58" s="356"/>
      <c r="AB58" s="363"/>
      <c r="AC58" s="364"/>
      <c r="AD58" s="364"/>
      <c r="AE58" s="365"/>
      <c r="AF58" s="365"/>
      <c r="AG58" s="365"/>
    </row>
    <row r="59" spans="1:35" ht="13.5" thickBot="1" x14ac:dyDescent="0.25">
      <c r="A59" s="21"/>
      <c r="B59" s="46" t="s">
        <v>90</v>
      </c>
      <c r="C59" s="47"/>
      <c r="D59" s="58"/>
      <c r="E59" s="59" t="s">
        <v>97</v>
      </c>
      <c r="F59" s="47"/>
      <c r="G59" s="48"/>
      <c r="H59" s="252"/>
      <c r="I59" s="21"/>
      <c r="J59" s="46" t="s">
        <v>90</v>
      </c>
      <c r="K59" s="47"/>
      <c r="L59" s="58"/>
      <c r="M59" s="59" t="s">
        <v>97</v>
      </c>
      <c r="N59" s="47"/>
      <c r="O59" s="48"/>
      <c r="P59" s="254"/>
      <c r="AA59" s="356"/>
      <c r="AB59" s="363"/>
      <c r="AC59" s="364"/>
      <c r="AD59" s="364"/>
      <c r="AE59" s="365"/>
      <c r="AF59" s="365"/>
      <c r="AG59" s="365"/>
    </row>
    <row r="60" spans="1:35" ht="13.5" thickTop="1" x14ac:dyDescent="0.2">
      <c r="A60" s="42">
        <v>18</v>
      </c>
      <c r="B60" s="49">
        <v>3.0127462340672072E-3</v>
      </c>
      <c r="C60" s="50">
        <v>3.3321641529287971E-3</v>
      </c>
      <c r="D60" s="60">
        <v>3.5770647027880066E-3</v>
      </c>
      <c r="E60" s="61">
        <v>0</v>
      </c>
      <c r="F60" s="50">
        <v>0</v>
      </c>
      <c r="G60" s="51">
        <v>0</v>
      </c>
      <c r="H60" s="252"/>
      <c r="I60" s="42">
        <v>18</v>
      </c>
      <c r="J60" s="49">
        <v>4.2711104887270691E-3</v>
      </c>
      <c r="K60" s="50">
        <v>3.1707544530448569E-3</v>
      </c>
      <c r="L60" s="60">
        <v>3.4137209558418673E-3</v>
      </c>
      <c r="M60" s="61">
        <v>6.5573770491803279E-4</v>
      </c>
      <c r="N60" s="50">
        <v>5.1072522982635344E-4</v>
      </c>
      <c r="O60" s="51">
        <v>5.5991041433370661E-4</v>
      </c>
      <c r="P60" s="254"/>
      <c r="AA60" s="356"/>
      <c r="AB60" s="363"/>
      <c r="AC60" s="364"/>
      <c r="AD60" s="364"/>
      <c r="AE60" s="365"/>
      <c r="AF60" s="365"/>
      <c r="AG60" s="365"/>
    </row>
    <row r="61" spans="1:35" x14ac:dyDescent="0.2">
      <c r="A61" s="43">
        <v>19</v>
      </c>
      <c r="B61" s="52">
        <v>0.53395133256083438</v>
      </c>
      <c r="C61" s="53">
        <v>0.52990178884601891</v>
      </c>
      <c r="D61" s="62">
        <v>0.51709626512361917</v>
      </c>
      <c r="E61" s="321">
        <v>7.0442992011619465E-2</v>
      </c>
      <c r="F61" s="53">
        <v>6.2875888463641338E-2</v>
      </c>
      <c r="G61" s="54">
        <v>5.2536231884057968E-2</v>
      </c>
      <c r="H61" s="252"/>
      <c r="I61" s="43">
        <v>19</v>
      </c>
      <c r="J61" s="52">
        <v>0.50644167483545721</v>
      </c>
      <c r="K61" s="53">
        <v>0.51711274829805087</v>
      </c>
      <c r="L61" s="62">
        <v>0.50501046140292916</v>
      </c>
      <c r="M61" s="321">
        <v>6.6557377049180327E-2</v>
      </c>
      <c r="N61" s="53">
        <v>6.4351378958120528E-2</v>
      </c>
      <c r="O61" s="54">
        <v>5.823068309070549E-2</v>
      </c>
      <c r="P61" s="254"/>
      <c r="AA61" s="356"/>
      <c r="AB61" s="363"/>
      <c r="AC61" s="364"/>
      <c r="AD61" s="364"/>
      <c r="AE61" s="365"/>
      <c r="AF61" s="365"/>
      <c r="AG61" s="365"/>
    </row>
    <row r="62" spans="1:35" x14ac:dyDescent="0.2">
      <c r="A62" s="43">
        <v>20</v>
      </c>
      <c r="B62" s="52">
        <v>0.27224797219003477</v>
      </c>
      <c r="C62" s="53">
        <v>0.27279901788846017</v>
      </c>
      <c r="D62" s="62">
        <v>0.27596002104155709</v>
      </c>
      <c r="E62" s="320">
        <v>9.4771241830065356E-2</v>
      </c>
      <c r="F62" s="53">
        <v>9.0759978130125762E-2</v>
      </c>
      <c r="G62" s="54">
        <v>9.1183574879227042E-2</v>
      </c>
      <c r="H62" s="252"/>
      <c r="I62" s="43">
        <v>20</v>
      </c>
      <c r="J62" s="52">
        <v>0.27293096205013301</v>
      </c>
      <c r="K62" s="53">
        <v>0.27287139792968385</v>
      </c>
      <c r="L62" s="62">
        <v>0.27441911683735271</v>
      </c>
      <c r="M62" s="320">
        <v>8.5901639344262287E-2</v>
      </c>
      <c r="N62" s="53">
        <v>8.8866189989785502E-2</v>
      </c>
      <c r="O62" s="54">
        <v>8.9585666293393054E-2</v>
      </c>
      <c r="P62" s="254"/>
      <c r="AA62" s="356"/>
      <c r="AB62" s="363"/>
      <c r="AC62" s="364"/>
      <c r="AD62" s="364"/>
      <c r="AE62" s="365"/>
      <c r="AF62" s="365"/>
      <c r="AG62" s="365"/>
    </row>
    <row r="63" spans="1:35" x14ac:dyDescent="0.2">
      <c r="A63" s="43">
        <v>21</v>
      </c>
      <c r="B63" s="52">
        <v>9.7276940903823869E-2</v>
      </c>
      <c r="C63" s="53">
        <v>9.8123465450719038E-2</v>
      </c>
      <c r="D63" s="62">
        <v>0.10268279852709102</v>
      </c>
      <c r="E63" s="320">
        <v>9.2592592592592601E-2</v>
      </c>
      <c r="F63" s="53">
        <v>8.4199015855658838E-2</v>
      </c>
      <c r="G63" s="54">
        <v>8.3333333333333343E-2</v>
      </c>
      <c r="H63" s="252"/>
      <c r="I63" s="43">
        <v>21</v>
      </c>
      <c r="J63" s="52">
        <v>0.10880829015544041</v>
      </c>
      <c r="K63" s="53">
        <v>0.10743262146787279</v>
      </c>
      <c r="L63" s="62">
        <v>0.11276291157361523</v>
      </c>
      <c r="M63" s="320">
        <v>7.5409836065573776E-2</v>
      </c>
      <c r="N63" s="53">
        <v>6.8437180796731362E-2</v>
      </c>
      <c r="O63" s="54">
        <v>6.942889137737962E-2</v>
      </c>
      <c r="P63" s="254"/>
      <c r="AA63" s="356"/>
      <c r="AB63" s="363"/>
      <c r="AC63" s="364"/>
      <c r="AD63" s="364"/>
      <c r="AE63" s="365"/>
      <c r="AF63" s="365"/>
      <c r="AG63" s="365"/>
    </row>
    <row r="64" spans="1:35" x14ac:dyDescent="0.2">
      <c r="A64" s="43">
        <v>22</v>
      </c>
      <c r="B64" s="52">
        <v>4.5133256083429892E-2</v>
      </c>
      <c r="C64" s="53">
        <v>4.5071904594878989E-2</v>
      </c>
      <c r="D64" s="62">
        <v>4.765912677538138E-2</v>
      </c>
      <c r="E64" s="320">
        <v>6.6811909949164847E-2</v>
      </c>
      <c r="F64" s="53">
        <v>6.4516129032258063E-2</v>
      </c>
      <c r="G64" s="54">
        <v>6.4009661835748799E-2</v>
      </c>
      <c r="H64" s="252"/>
      <c r="I64" s="43">
        <v>22</v>
      </c>
      <c r="J64" s="52">
        <v>4.6282033328665449E-2</v>
      </c>
      <c r="K64" s="53">
        <v>4.1965867760887808E-2</v>
      </c>
      <c r="L64" s="62">
        <v>4.514921264177954E-2</v>
      </c>
      <c r="M64" s="320">
        <v>7.2459016393442613E-2</v>
      </c>
      <c r="N64" s="53">
        <v>6.8947906026557704E-2</v>
      </c>
      <c r="O64" s="54">
        <v>6.4949608062709968E-2</v>
      </c>
      <c r="P64" s="254"/>
      <c r="AA64" s="356"/>
      <c r="AB64" s="363"/>
      <c r="AC64" s="364"/>
      <c r="AD64" s="364"/>
      <c r="AE64" s="365"/>
      <c r="AF64" s="365"/>
      <c r="AG64" s="365"/>
    </row>
    <row r="65" spans="1:35" x14ac:dyDescent="0.2">
      <c r="A65" s="43">
        <v>23</v>
      </c>
      <c r="B65" s="52">
        <v>1.9524913093858634E-2</v>
      </c>
      <c r="C65" s="53">
        <v>2.0694493160294633E-2</v>
      </c>
      <c r="D65" s="62">
        <v>2.1357180431351919E-2</v>
      </c>
      <c r="E65" s="320">
        <v>6.0639070442992014E-2</v>
      </c>
      <c r="F65" s="53">
        <v>5.4127938764352103E-2</v>
      </c>
      <c r="G65" s="54">
        <v>5.5555555555555552E-2</v>
      </c>
      <c r="H65" s="252"/>
      <c r="I65" s="43">
        <v>23</v>
      </c>
      <c r="J65" s="52">
        <v>2.3316062176165803E-2</v>
      </c>
      <c r="K65" s="53">
        <v>2.1728993751748579E-2</v>
      </c>
      <c r="L65" s="62">
        <v>2.2464486290056162E-2</v>
      </c>
      <c r="M65" s="320">
        <v>6.5245901639344253E-2</v>
      </c>
      <c r="N65" s="53">
        <v>6.0265577119509708E-2</v>
      </c>
      <c r="O65" s="54">
        <v>6.1030235162374019E-2</v>
      </c>
      <c r="P65" s="254"/>
      <c r="AA65" s="356"/>
      <c r="AB65" s="363"/>
      <c r="AC65" s="364"/>
      <c r="AD65" s="364"/>
      <c r="AE65" s="365"/>
      <c r="AF65" s="365"/>
      <c r="AG65" s="365"/>
    </row>
    <row r="66" spans="1:35" x14ac:dyDescent="0.2">
      <c r="A66" s="43">
        <v>24</v>
      </c>
      <c r="B66" s="52">
        <v>8.5747392815758976E-3</v>
      </c>
      <c r="C66" s="53">
        <v>9.0319186250438447E-3</v>
      </c>
      <c r="D66" s="62">
        <v>9.3634928984744868E-3</v>
      </c>
      <c r="E66" s="320">
        <v>5.0835148874364557E-2</v>
      </c>
      <c r="F66" s="53">
        <v>4.8660470202296337E-2</v>
      </c>
      <c r="G66" s="54">
        <v>4.5893719806763288E-2</v>
      </c>
      <c r="H66" s="252"/>
      <c r="I66" s="43">
        <v>24</v>
      </c>
      <c r="J66" s="52">
        <v>1.2393222237781823E-2</v>
      </c>
      <c r="K66" s="53">
        <v>1.1843700456961672E-2</v>
      </c>
      <c r="L66" s="62">
        <v>1.1892963330029734E-2</v>
      </c>
      <c r="M66" s="320">
        <v>5.442622950819672E-2</v>
      </c>
      <c r="N66" s="53">
        <v>4.8518896833503578E-2</v>
      </c>
      <c r="O66" s="54">
        <v>5.0951847704367302E-2</v>
      </c>
      <c r="P66" s="254"/>
      <c r="AA66" s="356"/>
      <c r="AB66" s="363"/>
      <c r="AC66" s="364"/>
      <c r="AD66" s="364"/>
      <c r="AE66" s="365"/>
      <c r="AF66" s="365"/>
      <c r="AG66" s="365"/>
    </row>
    <row r="67" spans="1:35" x14ac:dyDescent="0.2">
      <c r="A67" s="43">
        <v>25</v>
      </c>
      <c r="B67" s="52">
        <v>5.0405561993047514E-3</v>
      </c>
      <c r="C67" s="53">
        <v>5.3490003507541215E-3</v>
      </c>
      <c r="D67" s="62">
        <v>5.3655970541820093E-3</v>
      </c>
      <c r="E67" s="320">
        <v>5.5555555555555552E-2</v>
      </c>
      <c r="F67" s="53">
        <v>5.4674685620557682E-2</v>
      </c>
      <c r="G67" s="54">
        <v>5.6159420289855072E-2</v>
      </c>
      <c r="H67" s="252"/>
      <c r="I67" s="43">
        <v>25</v>
      </c>
      <c r="J67" s="52">
        <v>5.6014563786584513E-3</v>
      </c>
      <c r="K67" s="53">
        <v>4.4763592278280334E-3</v>
      </c>
      <c r="L67" s="62">
        <v>4.8452813566787802E-3</v>
      </c>
      <c r="M67" s="320">
        <v>4.4590163934426226E-2</v>
      </c>
      <c r="N67" s="53">
        <v>4.698672114402451E-2</v>
      </c>
      <c r="O67" s="54">
        <v>4.9832026875699889E-2</v>
      </c>
      <c r="P67" s="254"/>
      <c r="AA67" s="356"/>
      <c r="AB67" s="363"/>
      <c r="AC67" s="364"/>
      <c r="AD67" s="364"/>
      <c r="AE67" s="365"/>
      <c r="AF67" s="365"/>
      <c r="AG67" s="365"/>
    </row>
    <row r="68" spans="1:35" x14ac:dyDescent="0.2">
      <c r="A68" s="43">
        <v>26</v>
      </c>
      <c r="B68" s="52">
        <v>2.9548088064889921E-3</v>
      </c>
      <c r="C68" s="53">
        <v>2.8060329708874078E-3</v>
      </c>
      <c r="D68" s="62">
        <v>3.1562335612835353E-3</v>
      </c>
      <c r="E68" s="320">
        <v>4.6840958605664486E-2</v>
      </c>
      <c r="F68" s="53">
        <v>5.084745762711864E-2</v>
      </c>
      <c r="G68" s="54">
        <v>4.9516908212560384E-2</v>
      </c>
      <c r="H68" s="252"/>
      <c r="I68" s="43">
        <v>26</v>
      </c>
      <c r="J68" s="52">
        <v>3.1508192129953787E-3</v>
      </c>
      <c r="K68" s="53">
        <v>3.1707544530448569E-3</v>
      </c>
      <c r="L68" s="62">
        <v>3.3036009250082586E-3</v>
      </c>
      <c r="M68" s="320">
        <v>5.1803278688524593E-2</v>
      </c>
      <c r="N68" s="53">
        <v>4.9029622063329927E-2</v>
      </c>
      <c r="O68" s="54">
        <v>5.0391937290033592E-2</v>
      </c>
      <c r="P68" s="254"/>
      <c r="AA68" s="356"/>
      <c r="AB68" s="363"/>
      <c r="AC68" s="364"/>
      <c r="AD68" s="364"/>
      <c r="AE68" s="365"/>
      <c r="AF68" s="365"/>
      <c r="AG68" s="365"/>
    </row>
    <row r="69" spans="1:35" x14ac:dyDescent="0.2">
      <c r="A69" s="43">
        <v>27</v>
      </c>
      <c r="B69" s="52">
        <v>1.9698725376593278E-3</v>
      </c>
      <c r="C69" s="53">
        <v>2.0168361978253244E-3</v>
      </c>
      <c r="D69" s="62">
        <v>2.3145712782745922E-3</v>
      </c>
      <c r="E69" s="320">
        <v>4.3209876543209874E-2</v>
      </c>
      <c r="F69" s="53">
        <v>4.5926735921268447E-2</v>
      </c>
      <c r="G69" s="54">
        <v>4.4685990338164255E-2</v>
      </c>
      <c r="H69" s="252"/>
      <c r="I69" s="43">
        <v>27</v>
      </c>
      <c r="J69" s="52">
        <v>3.0107828035289175E-3</v>
      </c>
      <c r="K69" s="53">
        <v>2.9842394852186887E-3</v>
      </c>
      <c r="L69" s="62">
        <v>3.0833608633410422E-3</v>
      </c>
      <c r="M69" s="320">
        <v>4.2950819672131144E-2</v>
      </c>
      <c r="N69" s="53">
        <v>4.0347293156281917E-2</v>
      </c>
      <c r="O69" s="54">
        <v>3.8073908174692049E-2</v>
      </c>
      <c r="P69" s="254"/>
      <c r="AA69" s="356"/>
      <c r="AB69" s="363"/>
      <c r="AC69" s="364"/>
      <c r="AD69" s="364"/>
      <c r="AE69" s="365"/>
      <c r="AF69" s="365"/>
      <c r="AG69" s="365"/>
    </row>
    <row r="70" spans="1:35" x14ac:dyDescent="0.2">
      <c r="A70" s="43">
        <v>28</v>
      </c>
      <c r="B70" s="52">
        <v>1.1587485515643105E-3</v>
      </c>
      <c r="C70" s="53">
        <v>8.7688530340231498E-4</v>
      </c>
      <c r="D70" s="62">
        <v>9.4687006838506046E-4</v>
      </c>
      <c r="E70" s="320">
        <v>5.1924473493100941E-2</v>
      </c>
      <c r="F70" s="53">
        <v>5.084745762711864E-2</v>
      </c>
      <c r="G70" s="54">
        <v>5.2536231884057968E-2</v>
      </c>
      <c r="H70" s="252"/>
      <c r="I70" s="43">
        <v>28</v>
      </c>
      <c r="J70" s="52">
        <v>2.7307099845959946E-3</v>
      </c>
      <c r="K70" s="53">
        <v>2.6112095495663527E-3</v>
      </c>
      <c r="L70" s="62">
        <v>2.5327607091729988E-3</v>
      </c>
      <c r="M70" s="320">
        <v>3.5409836065573769E-2</v>
      </c>
      <c r="N70" s="53">
        <v>3.2175689479060264E-2</v>
      </c>
      <c r="O70" s="54">
        <v>3.1914893617021274E-2</v>
      </c>
      <c r="P70" s="254"/>
      <c r="AA70" s="356"/>
      <c r="AB70" s="365"/>
      <c r="AC70" s="365"/>
      <c r="AD70" s="365"/>
      <c r="AE70" s="365"/>
      <c r="AF70" s="365"/>
      <c r="AG70" s="365"/>
    </row>
    <row r="71" spans="1:35" x14ac:dyDescent="0.2">
      <c r="A71" s="43">
        <v>29</v>
      </c>
      <c r="B71" s="52">
        <v>1.6801853997682502E-3</v>
      </c>
      <c r="C71" s="53">
        <v>1.8414591371448616E-3</v>
      </c>
      <c r="D71" s="62">
        <v>1.5781167806417677E-3</v>
      </c>
      <c r="E71" s="320">
        <v>3.6673928830791576E-2</v>
      </c>
      <c r="F71" s="53">
        <v>3.7725533078184798E-2</v>
      </c>
      <c r="G71" s="54">
        <v>3.8043478260869568E-2</v>
      </c>
      <c r="H71" s="252"/>
      <c r="I71" s="43">
        <v>29</v>
      </c>
      <c r="J71" s="52">
        <v>1.2603276851981516E-3</v>
      </c>
      <c r="K71" s="53">
        <v>1.3056047747831763E-3</v>
      </c>
      <c r="L71" s="62">
        <v>1.211320339169695E-3</v>
      </c>
      <c r="M71" s="320">
        <v>3.7377049180327873E-2</v>
      </c>
      <c r="N71" s="53">
        <v>3.5240040858018386E-2</v>
      </c>
      <c r="O71" s="54">
        <v>3.5274356103023513E-2</v>
      </c>
      <c r="P71" s="254"/>
      <c r="AA71" s="356"/>
      <c r="AB71" s="365"/>
      <c r="AC71" s="365"/>
      <c r="AD71" s="365"/>
      <c r="AE71" s="365"/>
      <c r="AF71" s="365"/>
      <c r="AG71" s="365"/>
      <c r="AI71" s="368"/>
    </row>
    <row r="72" spans="1:35" x14ac:dyDescent="0.2">
      <c r="A72" s="44" t="s">
        <v>25</v>
      </c>
      <c r="B72" s="55">
        <v>6.9999999999999993E-3</v>
      </c>
      <c r="C72" s="56">
        <v>8.0000000000000002E-3</v>
      </c>
      <c r="D72" s="64">
        <v>8.9999999999999993E-3</v>
      </c>
      <c r="E72" s="250">
        <v>0.33</v>
      </c>
      <c r="F72" s="56">
        <v>0.35399999999999998</v>
      </c>
      <c r="G72" s="57">
        <v>0.36699999999999999</v>
      </c>
      <c r="H72" s="252"/>
      <c r="I72" s="44" t="s">
        <v>25</v>
      </c>
      <c r="J72" s="55">
        <v>0.01</v>
      </c>
      <c r="K72" s="56">
        <v>8.9999999999999993E-3</v>
      </c>
      <c r="L72" s="64">
        <v>0.01</v>
      </c>
      <c r="M72" s="250">
        <v>0.36699999999999999</v>
      </c>
      <c r="N72" s="56">
        <v>0.39600000000000002</v>
      </c>
      <c r="O72" s="57">
        <v>0.4</v>
      </c>
      <c r="P72" s="254"/>
      <c r="AB72" s="366"/>
      <c r="AC72" s="366"/>
      <c r="AD72" s="366"/>
      <c r="AE72" s="366"/>
      <c r="AF72" s="366"/>
      <c r="AG72" s="366"/>
    </row>
    <row r="73" spans="1:35" ht="13.5" thickBot="1" x14ac:dyDescent="0.25">
      <c r="A73" s="22" t="s">
        <v>26</v>
      </c>
      <c r="B73" s="212">
        <v>19.91</v>
      </c>
      <c r="C73" s="213">
        <v>19.95</v>
      </c>
      <c r="D73" s="214">
        <v>19.989999999999998</v>
      </c>
      <c r="E73" s="215">
        <v>27.49</v>
      </c>
      <c r="F73" s="213">
        <v>27.96</v>
      </c>
      <c r="G73" s="216">
        <v>28.16</v>
      </c>
      <c r="H73" s="252"/>
      <c r="I73" s="22" t="s">
        <v>26</v>
      </c>
      <c r="J73" s="212">
        <v>20.05</v>
      </c>
      <c r="K73" s="213">
        <v>20.010000000000002</v>
      </c>
      <c r="L73" s="214">
        <v>19</v>
      </c>
      <c r="M73" s="215">
        <v>28.14</v>
      </c>
      <c r="N73" s="213">
        <v>28.45</v>
      </c>
      <c r="O73" s="216">
        <v>28.57</v>
      </c>
      <c r="P73" s="254"/>
      <c r="AI73" s="368"/>
    </row>
    <row r="74" spans="1:35" ht="13.5" thickTop="1" x14ac:dyDescent="0.2">
      <c r="A74" s="252"/>
      <c r="B74" s="252"/>
      <c r="C74" s="252"/>
      <c r="D74" s="252"/>
      <c r="E74" s="252"/>
      <c r="F74" s="253"/>
      <c r="G74" s="252"/>
      <c r="H74" s="252"/>
      <c r="I74" s="252"/>
      <c r="J74" s="254"/>
      <c r="K74" s="254"/>
      <c r="L74" s="297"/>
      <c r="M74" s="254"/>
      <c r="N74" s="297"/>
      <c r="O74" s="297"/>
      <c r="P74" s="252"/>
    </row>
    <row r="75" spans="1:35" ht="13.5" thickBot="1" x14ac:dyDescent="0.25">
      <c r="A75" s="19" t="s">
        <v>87</v>
      </c>
      <c r="B75" s="252"/>
      <c r="C75" s="252"/>
      <c r="D75" s="252"/>
      <c r="E75" s="252"/>
      <c r="F75" s="252"/>
      <c r="G75" s="252"/>
      <c r="H75" s="252"/>
      <c r="I75" s="19" t="s">
        <v>89</v>
      </c>
      <c r="J75" s="252"/>
      <c r="K75" s="252"/>
      <c r="L75" s="252"/>
      <c r="M75" s="252"/>
      <c r="N75" s="252"/>
      <c r="O75" s="252"/>
      <c r="P75" s="252"/>
      <c r="Q75" s="254"/>
      <c r="AA75" s="361"/>
      <c r="AB75" s="362"/>
      <c r="AC75" s="362"/>
      <c r="AD75" s="362"/>
      <c r="AE75" s="362"/>
      <c r="AF75" s="362"/>
      <c r="AG75" s="362"/>
    </row>
    <row r="76" spans="1:35" ht="51.75" thickTop="1" x14ac:dyDescent="0.2">
      <c r="A76" s="20" t="s">
        <v>88</v>
      </c>
      <c r="B76" s="405" t="s">
        <v>103</v>
      </c>
      <c r="C76" s="406" t="s">
        <v>104</v>
      </c>
      <c r="D76" s="407" t="s">
        <v>105</v>
      </c>
      <c r="E76" s="408" t="s">
        <v>103</v>
      </c>
      <c r="F76" s="406" t="s">
        <v>104</v>
      </c>
      <c r="G76" s="409" t="s">
        <v>105</v>
      </c>
      <c r="H76" s="252"/>
      <c r="I76" s="20" t="s">
        <v>91</v>
      </c>
      <c r="J76" s="405" t="s">
        <v>103</v>
      </c>
      <c r="K76" s="406" t="s">
        <v>104</v>
      </c>
      <c r="L76" s="407" t="s">
        <v>105</v>
      </c>
      <c r="M76" s="408" t="s">
        <v>103</v>
      </c>
      <c r="N76" s="406" t="s">
        <v>104</v>
      </c>
      <c r="O76" s="409" t="s">
        <v>105</v>
      </c>
      <c r="P76" s="254"/>
      <c r="Q76" s="254"/>
      <c r="T76" s="286"/>
      <c r="U76" s="286"/>
      <c r="V76" s="286"/>
      <c r="W76" s="286"/>
      <c r="Y76" s="286"/>
      <c r="AA76" s="355"/>
      <c r="AB76" s="356"/>
      <c r="AC76" s="356"/>
      <c r="AD76" s="356"/>
      <c r="AE76" s="356"/>
      <c r="AF76" s="356"/>
      <c r="AG76" s="356"/>
    </row>
    <row r="77" spans="1:35" ht="13.5" thickBot="1" x14ac:dyDescent="0.25">
      <c r="A77" s="21"/>
      <c r="B77" s="46" t="s">
        <v>90</v>
      </c>
      <c r="C77" s="47"/>
      <c r="D77" s="58"/>
      <c r="E77" s="59" t="s">
        <v>97</v>
      </c>
      <c r="F77" s="47"/>
      <c r="G77" s="48"/>
      <c r="H77" s="252"/>
      <c r="I77" s="21"/>
      <c r="J77" s="46" t="s">
        <v>90</v>
      </c>
      <c r="K77" s="47"/>
      <c r="L77" s="58"/>
      <c r="M77" s="59" t="s">
        <v>97</v>
      </c>
      <c r="N77" s="47"/>
      <c r="O77" s="48"/>
      <c r="P77" s="254"/>
      <c r="Q77" s="254"/>
      <c r="R77" s="379"/>
      <c r="S77" s="379"/>
      <c r="T77" s="286"/>
      <c r="U77" s="286"/>
      <c r="V77" s="286"/>
      <c r="W77" s="286"/>
      <c r="Y77" s="286"/>
      <c r="AA77" s="356"/>
      <c r="AB77" s="370"/>
      <c r="AC77" s="364"/>
      <c r="AD77" s="364"/>
      <c r="AE77" s="365"/>
      <c r="AF77" s="365"/>
      <c r="AG77" s="365"/>
    </row>
    <row r="78" spans="1:35" ht="13.5" thickTop="1" x14ac:dyDescent="0.2">
      <c r="A78" s="42">
        <v>18</v>
      </c>
      <c r="B78" s="331">
        <v>6.5402223675604977E-3</v>
      </c>
      <c r="C78" s="50">
        <v>6.2600777767238928E-3</v>
      </c>
      <c r="D78" s="60">
        <v>5.3136190366177664E-3</v>
      </c>
      <c r="E78" s="61">
        <v>4.7522063815342831E-2</v>
      </c>
      <c r="F78" s="50">
        <v>6.3111391606184908E-4</v>
      </c>
      <c r="G78" s="51">
        <v>3.6140224069389231E-4</v>
      </c>
      <c r="H78" s="252"/>
      <c r="I78" s="42">
        <v>18</v>
      </c>
      <c r="J78" s="331">
        <v>4.923455650434649E-3</v>
      </c>
      <c r="K78" s="50">
        <v>4.2415673601292666E-3</v>
      </c>
      <c r="L78" s="60">
        <v>4.2620555284948857E-3</v>
      </c>
      <c r="M78" s="61">
        <v>2.6226068712300026E-4</v>
      </c>
      <c r="N78" s="50">
        <v>3.667033370003667E-4</v>
      </c>
      <c r="O78" s="51">
        <v>0</v>
      </c>
      <c r="P78" s="254"/>
      <c r="Q78" s="254"/>
      <c r="R78" s="379"/>
      <c r="S78" s="379"/>
      <c r="T78" s="286"/>
      <c r="U78" s="286"/>
      <c r="V78" s="327"/>
      <c r="W78" s="327"/>
      <c r="Y78" s="286"/>
      <c r="AA78" s="356"/>
      <c r="AB78" s="370"/>
      <c r="AC78" s="364"/>
      <c r="AD78" s="364"/>
      <c r="AE78" s="365"/>
      <c r="AF78" s="365"/>
      <c r="AG78" s="365"/>
    </row>
    <row r="79" spans="1:35" x14ac:dyDescent="0.2">
      <c r="A79" s="43">
        <v>19</v>
      </c>
      <c r="B79" s="261">
        <v>0.53177953504964615</v>
      </c>
      <c r="C79" s="53">
        <v>0.51294697903822439</v>
      </c>
      <c r="D79" s="62">
        <v>0.49312694928959222</v>
      </c>
      <c r="E79" s="321">
        <v>5.1142792486988012E-2</v>
      </c>
      <c r="F79" s="53">
        <v>4.6071315872514985E-2</v>
      </c>
      <c r="G79" s="54">
        <v>4.300686664257318E-2</v>
      </c>
      <c r="H79" s="252"/>
      <c r="I79" s="43">
        <v>19</v>
      </c>
      <c r="J79" s="261">
        <v>0.52596353565658893</v>
      </c>
      <c r="K79" s="53">
        <v>0.51757220763482126</v>
      </c>
      <c r="L79" s="62">
        <v>0.4957379444715051</v>
      </c>
      <c r="M79" s="321">
        <v>6.2680304222397065E-2</v>
      </c>
      <c r="N79" s="53">
        <v>5.3171983865053174E-2</v>
      </c>
      <c r="O79" s="54">
        <v>5.0509164969450099E-2</v>
      </c>
      <c r="P79" s="254"/>
      <c r="Q79" s="254"/>
      <c r="R79" s="379"/>
      <c r="S79" s="379"/>
      <c r="T79" s="286"/>
      <c r="U79" s="286"/>
      <c r="V79" s="327"/>
      <c r="W79" s="327"/>
      <c r="X79" s="286"/>
      <c r="Y79" s="286"/>
      <c r="AA79" s="356"/>
      <c r="AB79" s="370"/>
      <c r="AC79" s="364"/>
      <c r="AD79" s="364"/>
      <c r="AE79" s="365"/>
      <c r="AF79" s="365"/>
      <c r="AG79" s="365"/>
    </row>
    <row r="80" spans="1:35" x14ac:dyDescent="0.2">
      <c r="A80" s="43">
        <v>20</v>
      </c>
      <c r="B80" s="261">
        <v>0.26351150484571023</v>
      </c>
      <c r="C80" s="53">
        <v>0.2705112396850991</v>
      </c>
      <c r="D80" s="62">
        <v>0.27723229756266604</v>
      </c>
      <c r="E80" s="320">
        <v>5.5668703326544472E-2</v>
      </c>
      <c r="F80" s="53">
        <v>4.8911328494793314E-2</v>
      </c>
      <c r="G80" s="54">
        <v>4.6620889049512108E-2</v>
      </c>
      <c r="H80" s="252"/>
      <c r="I80" s="43">
        <v>20</v>
      </c>
      <c r="J80" s="261">
        <v>0.26225094238018309</v>
      </c>
      <c r="K80" s="53">
        <v>0.26671379519289035</v>
      </c>
      <c r="L80" s="62">
        <v>0.27325864588407212</v>
      </c>
      <c r="M80" s="320">
        <v>7.5268817204301078E-2</v>
      </c>
      <c r="N80" s="53">
        <v>6.5639897323065646E-2</v>
      </c>
      <c r="O80" s="54">
        <v>6.313645621181263E-2</v>
      </c>
      <c r="P80" s="254"/>
      <c r="Q80" s="254"/>
      <c r="R80" s="377"/>
      <c r="S80" s="377"/>
      <c r="T80" s="286"/>
      <c r="U80" s="286"/>
      <c r="V80" s="327"/>
      <c r="W80" s="327"/>
      <c r="X80" s="286"/>
      <c r="Y80" s="286"/>
      <c r="AA80" s="356"/>
      <c r="AB80" s="370"/>
      <c r="AC80" s="364"/>
      <c r="AD80" s="364"/>
      <c r="AE80" s="365"/>
      <c r="AF80" s="365"/>
      <c r="AG80" s="365"/>
    </row>
    <row r="81" spans="1:35" x14ac:dyDescent="0.2">
      <c r="A81" s="43">
        <v>21</v>
      </c>
      <c r="B81" s="261">
        <v>9.8638444616207868E-2</v>
      </c>
      <c r="C81" s="53">
        <v>0.10129944038698663</v>
      </c>
      <c r="D81" s="62">
        <v>0.10858264987871086</v>
      </c>
      <c r="E81" s="320">
        <v>5.1821679112921473E-2</v>
      </c>
      <c r="F81" s="53">
        <v>5.2066898075102556E-2</v>
      </c>
      <c r="G81" s="54">
        <v>5.3126129382002167E-2</v>
      </c>
      <c r="H81" s="252"/>
      <c r="I81" s="43">
        <v>21</v>
      </c>
      <c r="J81" s="261">
        <v>9.3468728363720291E-2</v>
      </c>
      <c r="K81" s="53">
        <v>9.6849121389618265E-2</v>
      </c>
      <c r="L81" s="62">
        <v>0.10301997077447637</v>
      </c>
      <c r="M81" s="320">
        <v>6.3204825596643061E-2</v>
      </c>
      <c r="N81" s="53">
        <v>6.0506050605060507E-2</v>
      </c>
      <c r="O81" s="54">
        <v>5.9470468431771895E-2</v>
      </c>
      <c r="P81" s="254"/>
      <c r="Q81" s="254"/>
      <c r="R81" s="377"/>
      <c r="S81" s="377"/>
      <c r="T81" s="286"/>
      <c r="U81" s="286"/>
      <c r="V81" s="327"/>
      <c r="W81" s="327"/>
      <c r="X81" s="286"/>
      <c r="Y81" s="286"/>
      <c r="AA81" s="356"/>
      <c r="AB81" s="370"/>
      <c r="AC81" s="364"/>
      <c r="AD81" s="364"/>
      <c r="AE81" s="365"/>
      <c r="AF81" s="365"/>
      <c r="AG81" s="365"/>
    </row>
    <row r="82" spans="1:35" x14ac:dyDescent="0.2">
      <c r="A82" s="43">
        <v>22</v>
      </c>
      <c r="B82" s="261">
        <v>4.227361912123194E-2</v>
      </c>
      <c r="C82" s="53">
        <v>4.5053590059755289E-2</v>
      </c>
      <c r="D82" s="62">
        <v>4.7360517500288787E-2</v>
      </c>
      <c r="E82" s="320">
        <v>5.0690201403032355E-2</v>
      </c>
      <c r="F82" s="53">
        <v>5.1435784159040709E-2</v>
      </c>
      <c r="G82" s="54">
        <v>5.023491145645103E-2</v>
      </c>
      <c r="H82" s="252"/>
      <c r="I82" s="43">
        <v>22</v>
      </c>
      <c r="J82" s="261">
        <v>4.2157089006846678E-2</v>
      </c>
      <c r="K82" s="53">
        <v>4.5142395475661484E-2</v>
      </c>
      <c r="L82" s="62">
        <v>4.8222113979542132E-2</v>
      </c>
      <c r="M82" s="320">
        <v>6.7138735903488067E-2</v>
      </c>
      <c r="N82" s="53">
        <v>6.9306930693069313E-2</v>
      </c>
      <c r="O82" s="54">
        <v>6.8024439918533602E-2</v>
      </c>
      <c r="P82" s="254"/>
      <c r="Q82" s="254"/>
      <c r="R82" s="377"/>
      <c r="S82" s="377"/>
      <c r="T82" s="286"/>
      <c r="U82" s="286"/>
      <c r="V82" s="327"/>
      <c r="W82" s="327"/>
      <c r="X82" s="286"/>
      <c r="Y82" s="286"/>
      <c r="AA82" s="356"/>
      <c r="AB82" s="370"/>
      <c r="AC82" s="364"/>
      <c r="AD82" s="364"/>
      <c r="AE82" s="365"/>
      <c r="AF82" s="365"/>
      <c r="AG82" s="365"/>
    </row>
    <row r="83" spans="1:35" x14ac:dyDescent="0.2">
      <c r="A83" s="43">
        <v>23</v>
      </c>
      <c r="B83" s="261">
        <v>2.289077828646174E-2</v>
      </c>
      <c r="C83" s="53">
        <v>2.4945461443611875E-2</v>
      </c>
      <c r="D83" s="62">
        <v>2.6799122097724382E-2</v>
      </c>
      <c r="E83" s="320">
        <v>4.0733197556008148E-2</v>
      </c>
      <c r="F83" s="53">
        <v>5.0489113284947935E-2</v>
      </c>
      <c r="G83" s="54">
        <v>4.8789302493675454E-2</v>
      </c>
      <c r="H83" s="252"/>
      <c r="I83" s="43">
        <v>23</v>
      </c>
      <c r="J83" s="261">
        <v>2.1770905454265712E-2</v>
      </c>
      <c r="K83" s="53">
        <v>2.262169258735609E-2</v>
      </c>
      <c r="L83" s="62">
        <v>2.4111056989771066E-2</v>
      </c>
      <c r="M83" s="320">
        <v>5.8746393915552059E-2</v>
      </c>
      <c r="N83" s="53">
        <v>5.7205720572057209E-2</v>
      </c>
      <c r="O83" s="54">
        <v>5.5397148676171078E-2</v>
      </c>
      <c r="P83" s="254"/>
      <c r="Q83" s="254"/>
      <c r="R83" s="377"/>
      <c r="S83" s="377"/>
      <c r="T83" s="286"/>
      <c r="U83" s="286"/>
      <c r="V83" s="327"/>
      <c r="W83" s="327"/>
      <c r="X83" s="286"/>
      <c r="Y83" s="286"/>
      <c r="AA83" s="356"/>
      <c r="AB83" s="370"/>
      <c r="AC83" s="364"/>
      <c r="AD83" s="364"/>
      <c r="AE83" s="365"/>
      <c r="AF83" s="365"/>
      <c r="AG83" s="365"/>
    </row>
    <row r="84" spans="1:35" x14ac:dyDescent="0.2">
      <c r="A84" s="43">
        <v>24</v>
      </c>
      <c r="B84" s="261">
        <v>1.0880551756941555E-2</v>
      </c>
      <c r="C84" s="53">
        <v>1.2045907237029309E-2</v>
      </c>
      <c r="D84" s="62">
        <v>1.2706480304955527E-2</v>
      </c>
      <c r="E84" s="320">
        <v>3.8470242136229918E-2</v>
      </c>
      <c r="F84" s="53">
        <v>4.1022404544020195E-2</v>
      </c>
      <c r="G84" s="54">
        <v>4.1199855439103726E-2</v>
      </c>
      <c r="H84" s="252"/>
      <c r="I84" s="43">
        <v>24</v>
      </c>
      <c r="J84" s="261">
        <v>1.3231787060543119E-2</v>
      </c>
      <c r="K84" s="53">
        <v>1.3431629973742679E-2</v>
      </c>
      <c r="L84" s="62">
        <v>1.4612761811982464E-2</v>
      </c>
      <c r="M84" s="320">
        <v>5.035405192761605E-2</v>
      </c>
      <c r="N84" s="53">
        <v>5.1338467180051341E-2</v>
      </c>
      <c r="O84" s="54">
        <v>5.0509164969450099E-2</v>
      </c>
      <c r="P84" s="254"/>
      <c r="Q84" s="254"/>
      <c r="R84" s="377"/>
      <c r="S84" s="377"/>
      <c r="T84" s="286"/>
      <c r="U84" s="286"/>
      <c r="V84" s="327"/>
      <c r="W84" s="327"/>
      <c r="X84" s="286"/>
      <c r="Y84" s="286"/>
      <c r="AA84" s="356"/>
      <c r="AB84" s="370"/>
      <c r="AC84" s="364"/>
      <c r="AD84" s="364"/>
      <c r="AE84" s="365"/>
      <c r="AF84" s="365"/>
      <c r="AG84" s="365"/>
    </row>
    <row r="85" spans="1:35" x14ac:dyDescent="0.2">
      <c r="A85" s="43">
        <v>25</v>
      </c>
      <c r="B85" s="261">
        <v>5.2916344610262197E-3</v>
      </c>
      <c r="C85" s="53">
        <v>5.3115811438869389E-3</v>
      </c>
      <c r="D85" s="62">
        <v>5.6601594085710985E-3</v>
      </c>
      <c r="E85" s="320">
        <v>3.960171984611903E-2</v>
      </c>
      <c r="F85" s="53">
        <v>3.5026822341432631E-2</v>
      </c>
      <c r="G85" s="54">
        <v>3.6140224069389229E-2</v>
      </c>
      <c r="H85" s="252"/>
      <c r="I85" s="43">
        <v>25</v>
      </c>
      <c r="J85" s="261">
        <v>6.9236095084237248E-3</v>
      </c>
      <c r="K85" s="53">
        <v>6.6653201373459911E-3</v>
      </c>
      <c r="L85" s="62">
        <v>7.7934729663906481E-3</v>
      </c>
      <c r="M85" s="320">
        <v>4.8518227117755046E-2</v>
      </c>
      <c r="N85" s="53">
        <v>4.5471213788045473E-2</v>
      </c>
      <c r="O85" s="54">
        <v>4.8065173116089613E-2</v>
      </c>
      <c r="P85" s="254"/>
      <c r="Q85" s="254"/>
      <c r="R85" s="377"/>
      <c r="S85" s="377"/>
      <c r="T85" s="286"/>
      <c r="U85" s="286"/>
      <c r="V85" s="327"/>
      <c r="W85" s="327"/>
      <c r="X85" s="286"/>
      <c r="Y85" s="286"/>
      <c r="AA85" s="356"/>
      <c r="AB85" s="370"/>
      <c r="AC85" s="364"/>
      <c r="AD85" s="364"/>
      <c r="AE85" s="365"/>
      <c r="AF85" s="365"/>
      <c r="AG85" s="365"/>
    </row>
    <row r="86" spans="1:35" x14ac:dyDescent="0.2">
      <c r="A86" s="43">
        <v>26</v>
      </c>
      <c r="B86" s="261">
        <v>2.6755455140020216E-3</v>
      </c>
      <c r="C86" s="53">
        <v>3.6042872047804229E-3</v>
      </c>
      <c r="D86" s="62">
        <v>3.5809171768511035E-3</v>
      </c>
      <c r="E86" s="320">
        <v>3.8017651052274268E-2</v>
      </c>
      <c r="F86" s="53">
        <v>4.1969075418112969E-2</v>
      </c>
      <c r="G86" s="54">
        <v>4.3729671123960971E-2</v>
      </c>
      <c r="H86" s="252"/>
      <c r="I86" s="43">
        <v>26</v>
      </c>
      <c r="J86" s="261">
        <v>2.6155858142934071E-3</v>
      </c>
      <c r="K86" s="53">
        <v>1.9188042819632397E-3</v>
      </c>
      <c r="L86" s="62">
        <v>1.826595226497808E-3</v>
      </c>
      <c r="M86" s="320">
        <v>3.7241017571466035E-2</v>
      </c>
      <c r="N86" s="53">
        <v>3.4103410341034104E-2</v>
      </c>
      <c r="O86" s="54">
        <v>3.3808553971486764E-2</v>
      </c>
      <c r="P86" s="254"/>
      <c r="Q86" s="254"/>
      <c r="R86" s="377"/>
      <c r="S86" s="377"/>
      <c r="T86" s="286"/>
      <c r="U86" s="286"/>
      <c r="V86" s="327"/>
      <c r="W86" s="327"/>
      <c r="X86" s="286"/>
      <c r="Y86" s="286"/>
      <c r="AA86" s="356"/>
      <c r="AB86" s="370"/>
      <c r="AC86" s="364"/>
      <c r="AD86" s="364"/>
      <c r="AE86" s="365"/>
      <c r="AF86" s="365"/>
      <c r="AG86" s="365"/>
    </row>
    <row r="87" spans="1:35" x14ac:dyDescent="0.2">
      <c r="A87" s="43">
        <v>27</v>
      </c>
      <c r="B87" s="261">
        <v>1.8431535763125037E-3</v>
      </c>
      <c r="C87" s="53">
        <v>2.0866925922412975E-3</v>
      </c>
      <c r="D87" s="62">
        <v>2.4257826036733279E-3</v>
      </c>
      <c r="E87" s="320">
        <v>3.7565059968318625E-2</v>
      </c>
      <c r="F87" s="53">
        <v>3.8182391921741873E-2</v>
      </c>
      <c r="G87" s="54">
        <v>3.8308637513552582E-2</v>
      </c>
      <c r="H87" s="252"/>
      <c r="I87" s="43">
        <v>27</v>
      </c>
      <c r="J87" s="261">
        <v>2.6925148088314485E-3</v>
      </c>
      <c r="K87" s="53">
        <v>2.3227630781660269E-3</v>
      </c>
      <c r="L87" s="62">
        <v>2.5572333170969315E-3</v>
      </c>
      <c r="M87" s="320">
        <v>3.5929714135851033E-2</v>
      </c>
      <c r="N87" s="53">
        <v>3.0803080308030802E-2</v>
      </c>
      <c r="O87" s="54">
        <v>2.9327902240325866E-2</v>
      </c>
      <c r="P87" s="254"/>
      <c r="Q87" s="254"/>
      <c r="R87" s="377"/>
      <c r="S87" s="377"/>
      <c r="T87" s="286"/>
      <c r="U87" s="286"/>
      <c r="V87" s="327"/>
      <c r="W87" s="327"/>
      <c r="X87" s="286"/>
      <c r="Y87" s="286"/>
      <c r="AA87" s="356"/>
      <c r="AB87" s="370"/>
      <c r="AC87" s="364"/>
      <c r="AD87" s="364"/>
      <c r="AE87" s="365"/>
      <c r="AF87" s="365"/>
      <c r="AG87" s="365"/>
    </row>
    <row r="88" spans="1:35" x14ac:dyDescent="0.2">
      <c r="A88" s="43">
        <v>28</v>
      </c>
      <c r="B88" s="261">
        <v>1.4864141744455675E-3</v>
      </c>
      <c r="C88" s="53">
        <v>1.6124442758228207E-3</v>
      </c>
      <c r="D88" s="62">
        <v>1.8482153170844404E-3</v>
      </c>
      <c r="E88" s="320">
        <v>3.960171984611903E-2</v>
      </c>
      <c r="F88" s="53">
        <v>3.881350583780372E-2</v>
      </c>
      <c r="G88" s="54">
        <v>3.9754246476328151E-2</v>
      </c>
      <c r="H88" s="252"/>
      <c r="I88" s="43">
        <v>28</v>
      </c>
      <c r="J88" s="261">
        <v>2.5386568197553658E-3</v>
      </c>
      <c r="K88" s="53">
        <v>2.5247424762674209E-3</v>
      </c>
      <c r="L88" s="62">
        <v>2.8007793472966391E-3</v>
      </c>
      <c r="M88" s="320">
        <v>3.8027799632835035E-2</v>
      </c>
      <c r="N88" s="53">
        <v>3.9603960396039604E-2</v>
      </c>
      <c r="O88" s="54">
        <v>4.0325865580448067E-2</v>
      </c>
      <c r="P88" s="252"/>
      <c r="Q88" s="254"/>
      <c r="R88" s="377"/>
      <c r="S88" s="377"/>
      <c r="T88" s="286"/>
      <c r="U88" s="286"/>
      <c r="V88" s="327"/>
      <c r="W88" s="327"/>
      <c r="X88" s="286"/>
      <c r="Y88" s="286"/>
      <c r="AA88" s="356"/>
      <c r="AB88" s="370"/>
      <c r="AC88" s="364"/>
      <c r="AD88" s="364"/>
      <c r="AE88" s="365"/>
      <c r="AF88" s="365"/>
      <c r="AG88" s="365"/>
    </row>
    <row r="89" spans="1:35" x14ac:dyDescent="0.2">
      <c r="A89" s="43">
        <v>29</v>
      </c>
      <c r="B89" s="261">
        <v>1.4864141744455675E-3</v>
      </c>
      <c r="C89" s="53">
        <v>1.42274494925543E-3</v>
      </c>
      <c r="D89" s="62">
        <v>1.5016749451311079E-3</v>
      </c>
      <c r="E89" s="320">
        <v>3.960171984611903E-2</v>
      </c>
      <c r="F89" s="53">
        <v>3.9444619753865574E-2</v>
      </c>
      <c r="G89" s="54">
        <v>4.0477050957715942E-2</v>
      </c>
      <c r="H89" s="252"/>
      <c r="I89" s="43">
        <v>29</v>
      </c>
      <c r="J89" s="261">
        <v>1.9232248634510347E-3</v>
      </c>
      <c r="K89" s="53">
        <v>1.110886689557665E-3</v>
      </c>
      <c r="L89" s="62">
        <v>1.2177301509985387E-3</v>
      </c>
      <c r="M89" s="320">
        <v>3.3307107264621036E-2</v>
      </c>
      <c r="N89" s="53">
        <v>3.3003300330033E-2</v>
      </c>
      <c r="O89" s="54">
        <v>3.2993890020366602E-2</v>
      </c>
      <c r="P89" s="252"/>
      <c r="Q89" s="254"/>
      <c r="R89" s="377"/>
      <c r="S89" s="377"/>
      <c r="T89" s="286"/>
      <c r="U89" s="286"/>
      <c r="V89" s="327"/>
      <c r="W89" s="327"/>
      <c r="X89" s="286"/>
      <c r="Y89" s="286"/>
      <c r="AA89" s="356"/>
      <c r="AB89" s="370"/>
      <c r="AC89" s="365"/>
      <c r="AD89" s="365"/>
      <c r="AE89" s="365"/>
      <c r="AF89" s="365"/>
      <c r="AG89" s="365"/>
    </row>
    <row r="90" spans="1:35" x14ac:dyDescent="0.2">
      <c r="A90" s="44" t="s">
        <v>25</v>
      </c>
      <c r="B90" s="264">
        <v>1.0999999999999999E-2</v>
      </c>
      <c r="C90" s="56">
        <v>1.2999999999999999E-2</v>
      </c>
      <c r="D90" s="64">
        <v>1.4E-2</v>
      </c>
      <c r="E90" s="250">
        <v>0.56999999999999995</v>
      </c>
      <c r="F90" s="56">
        <v>0.51600000000000001</v>
      </c>
      <c r="G90" s="57">
        <v>0.51800000000000002</v>
      </c>
      <c r="H90" s="252"/>
      <c r="I90" s="44" t="s">
        <v>25</v>
      </c>
      <c r="J90" s="264">
        <v>1.9539964612662511E-2</v>
      </c>
      <c r="K90" s="56">
        <v>1.8784084023429608E-2</v>
      </c>
      <c r="L90" s="64">
        <v>2.0579639551875306E-2</v>
      </c>
      <c r="M90" s="250">
        <v>0.42932074482035143</v>
      </c>
      <c r="N90" s="56">
        <v>0.45947928126145948</v>
      </c>
      <c r="O90" s="57">
        <v>0.46843177189409368</v>
      </c>
      <c r="P90" s="254"/>
      <c r="Q90" s="254"/>
      <c r="R90" s="286"/>
      <c r="S90" s="286"/>
      <c r="T90" s="286"/>
      <c r="U90" s="286"/>
      <c r="V90" s="327"/>
      <c r="W90" s="327"/>
      <c r="X90" s="286"/>
      <c r="Y90" s="286"/>
      <c r="AA90" s="356"/>
      <c r="AB90" s="371"/>
      <c r="AC90" s="366"/>
      <c r="AD90" s="365"/>
      <c r="AE90" s="365"/>
      <c r="AF90" s="366"/>
      <c r="AG90" s="365"/>
    </row>
    <row r="91" spans="1:35" ht="13.5" thickBot="1" x14ac:dyDescent="0.25">
      <c r="A91" s="22" t="s">
        <v>26</v>
      </c>
      <c r="B91" s="212">
        <v>20</v>
      </c>
      <c r="C91" s="213">
        <v>20.079999999999998</v>
      </c>
      <c r="D91" s="214">
        <v>20.149999999999999</v>
      </c>
      <c r="E91" s="215">
        <v>30.87</v>
      </c>
      <c r="F91" s="213">
        <v>31</v>
      </c>
      <c r="G91" s="216">
        <v>31.07</v>
      </c>
      <c r="H91" s="252"/>
      <c r="I91" s="22" t="s">
        <v>26</v>
      </c>
      <c r="J91" s="212">
        <v>20.185014231863988</v>
      </c>
      <c r="K91" s="213">
        <v>20.182589375883659</v>
      </c>
      <c r="L91" s="214">
        <v>20.268753044325379</v>
      </c>
      <c r="M91" s="215">
        <v>29.200104904274848</v>
      </c>
      <c r="N91" s="213">
        <v>29.850751741840849</v>
      </c>
      <c r="O91" s="216">
        <v>29.982892057026476</v>
      </c>
      <c r="P91" s="254"/>
      <c r="Q91" s="254"/>
      <c r="R91" s="286"/>
      <c r="S91" s="286"/>
      <c r="T91" s="286"/>
      <c r="U91" s="286"/>
      <c r="V91" s="327"/>
      <c r="W91" s="327"/>
      <c r="X91" s="286"/>
      <c r="Y91" s="286"/>
      <c r="AB91" s="366"/>
      <c r="AC91" s="366"/>
      <c r="AD91" s="366"/>
      <c r="AE91" s="366"/>
      <c r="AF91" s="366"/>
      <c r="AG91" s="366"/>
      <c r="AI91" s="368"/>
    </row>
    <row r="92" spans="1:35" ht="13.5" thickTop="1" x14ac:dyDescent="0.2">
      <c r="A92" s="252"/>
      <c r="B92" s="286"/>
      <c r="C92" s="286"/>
      <c r="D92" s="286"/>
      <c r="E92" s="286"/>
      <c r="F92" s="286"/>
      <c r="G92" s="286"/>
      <c r="H92" s="252"/>
      <c r="I92" s="286"/>
      <c r="J92" s="327"/>
      <c r="K92" s="327"/>
      <c r="L92" s="286"/>
      <c r="M92" s="286"/>
      <c r="N92" s="286"/>
      <c r="O92" s="254"/>
      <c r="P92" s="254"/>
      <c r="Q92" s="254"/>
      <c r="R92" s="286"/>
      <c r="S92" s="286"/>
      <c r="T92" s="286"/>
      <c r="U92" s="286"/>
      <c r="V92" s="327"/>
      <c r="W92" s="327"/>
      <c r="X92" s="286"/>
      <c r="Y92" s="286"/>
    </row>
    <row r="93" spans="1:35" ht="13.5" thickBot="1" x14ac:dyDescent="0.25">
      <c r="A93" s="19" t="s">
        <v>108</v>
      </c>
      <c r="B93" s="252"/>
      <c r="C93" s="252"/>
      <c r="D93" s="252"/>
      <c r="E93" s="252"/>
      <c r="F93" s="252"/>
      <c r="G93" s="252"/>
      <c r="H93" s="252"/>
      <c r="I93" s="19" t="s">
        <v>118</v>
      </c>
      <c r="J93" s="252"/>
      <c r="K93" s="252"/>
      <c r="L93" s="252"/>
      <c r="M93" s="252"/>
      <c r="N93" s="252"/>
      <c r="O93" s="252"/>
      <c r="P93" s="286"/>
      <c r="Q93" s="286"/>
      <c r="R93" s="286"/>
      <c r="S93" s="286"/>
      <c r="T93" s="286"/>
      <c r="U93" s="286"/>
      <c r="V93" s="327"/>
      <c r="W93" s="327"/>
      <c r="X93" s="286"/>
      <c r="Y93" s="286"/>
      <c r="Z93" s="366"/>
      <c r="AA93" s="366"/>
      <c r="AB93" s="366"/>
    </row>
    <row r="94" spans="1:35" ht="51.75" thickTop="1" x14ac:dyDescent="0.2">
      <c r="A94" s="20" t="s">
        <v>109</v>
      </c>
      <c r="B94" s="405" t="s">
        <v>103</v>
      </c>
      <c r="C94" s="406" t="s">
        <v>104</v>
      </c>
      <c r="D94" s="407" t="s">
        <v>105</v>
      </c>
      <c r="E94" s="408" t="s">
        <v>103</v>
      </c>
      <c r="F94" s="406" t="s">
        <v>104</v>
      </c>
      <c r="G94" s="409" t="s">
        <v>105</v>
      </c>
      <c r="H94" s="252"/>
      <c r="I94" s="20" t="s">
        <v>119</v>
      </c>
      <c r="J94" s="405" t="s">
        <v>103</v>
      </c>
      <c r="K94" s="406" t="s">
        <v>104</v>
      </c>
      <c r="L94" s="407" t="s">
        <v>105</v>
      </c>
      <c r="M94" s="408" t="s">
        <v>103</v>
      </c>
      <c r="N94" s="406" t="s">
        <v>104</v>
      </c>
      <c r="O94" s="409" t="s">
        <v>105</v>
      </c>
      <c r="P94" s="286"/>
      <c r="Q94" s="286"/>
      <c r="R94" s="286"/>
      <c r="S94" s="286"/>
      <c r="T94" s="286"/>
      <c r="U94" s="286"/>
      <c r="V94" s="327"/>
      <c r="W94" s="327"/>
      <c r="X94" s="286"/>
      <c r="Y94" s="286"/>
    </row>
    <row r="95" spans="1:35" ht="13.5" thickBot="1" x14ac:dyDescent="0.25">
      <c r="A95" s="21"/>
      <c r="B95" s="46" t="s">
        <v>90</v>
      </c>
      <c r="C95" s="47"/>
      <c r="D95" s="58"/>
      <c r="E95" s="59" t="s">
        <v>97</v>
      </c>
      <c r="F95" s="47"/>
      <c r="G95" s="48"/>
      <c r="H95" s="252"/>
      <c r="I95" s="21"/>
      <c r="J95" s="46" t="s">
        <v>90</v>
      </c>
      <c r="K95" s="47"/>
      <c r="L95" s="58"/>
      <c r="M95" s="59" t="s">
        <v>97</v>
      </c>
      <c r="N95" s="47"/>
      <c r="O95" s="48"/>
      <c r="P95" s="286"/>
      <c r="Q95" s="286"/>
      <c r="R95" s="286"/>
      <c r="S95" s="286"/>
      <c r="T95" s="286"/>
      <c r="U95" s="286"/>
      <c r="V95" s="327"/>
      <c r="W95" s="327"/>
      <c r="X95" s="286"/>
      <c r="Y95" s="286"/>
    </row>
    <row r="96" spans="1:35" ht="13.5" thickTop="1" x14ac:dyDescent="0.2">
      <c r="A96" s="42">
        <v>18</v>
      </c>
      <c r="B96" s="331">
        <v>3.8861071668784097E-3</v>
      </c>
      <c r="C96" s="50">
        <v>3.4702682423560305E-3</v>
      </c>
      <c r="D96" s="60">
        <v>3.1868882312770319E-3</v>
      </c>
      <c r="E96" s="61">
        <v>4.4964028776978414E-4</v>
      </c>
      <c r="F96" s="50">
        <v>6.4020486555697821E-4</v>
      </c>
      <c r="G96" s="51">
        <v>7.1633237822349568E-4</v>
      </c>
      <c r="H96" s="252"/>
      <c r="I96" s="42">
        <v>18</v>
      </c>
      <c r="J96" s="331">
        <v>5.7705840957072482E-3</v>
      </c>
      <c r="K96" s="50">
        <v>6.1616527727437476E-3</v>
      </c>
      <c r="L96" s="60">
        <v>6.0406952098346761E-3</v>
      </c>
      <c r="M96" s="61">
        <v>5.9999999999999995E-4</v>
      </c>
      <c r="N96" s="50">
        <v>2.8826751225136929E-4</v>
      </c>
      <c r="O96" s="51">
        <v>3.2247662044501772E-4</v>
      </c>
      <c r="P96" s="327"/>
      <c r="Q96" s="327"/>
      <c r="R96" s="327"/>
      <c r="S96" s="327"/>
      <c r="T96" s="327"/>
      <c r="U96" s="327"/>
      <c r="V96" s="327"/>
      <c r="W96" s="327"/>
      <c r="X96" s="286"/>
      <c r="Y96" s="286"/>
    </row>
    <row r="97" spans="1:25" x14ac:dyDescent="0.2">
      <c r="A97" s="43">
        <v>19</v>
      </c>
      <c r="B97" s="261">
        <v>0.50429713773260598</v>
      </c>
      <c r="C97" s="53">
        <v>0.49746764209341587</v>
      </c>
      <c r="D97" s="62">
        <v>0.4792852264966993</v>
      </c>
      <c r="E97" s="321">
        <v>5.8228417266187049E-2</v>
      </c>
      <c r="F97" s="53">
        <v>5.1536491677336746E-2</v>
      </c>
      <c r="G97" s="54">
        <v>4.6919770773638972E-2</v>
      </c>
      <c r="H97" s="252"/>
      <c r="I97" s="43">
        <v>19</v>
      </c>
      <c r="J97" s="261">
        <v>0.49007741027445462</v>
      </c>
      <c r="K97" s="53">
        <v>0.48142442914099309</v>
      </c>
      <c r="L97" s="62">
        <v>0.468524798643493</v>
      </c>
      <c r="M97" s="321">
        <v>5.1999999999999998E-2</v>
      </c>
      <c r="N97" s="53">
        <v>4.9582012107235514E-2</v>
      </c>
      <c r="O97" s="54">
        <v>4.385682038052241E-2</v>
      </c>
      <c r="P97" s="327"/>
      <c r="Q97" s="327"/>
      <c r="R97" s="327"/>
      <c r="S97" s="327"/>
      <c r="T97" s="327"/>
      <c r="U97" s="327"/>
      <c r="V97" s="327"/>
      <c r="W97" s="327"/>
      <c r="X97" s="286"/>
      <c r="Y97" s="286"/>
    </row>
    <row r="98" spans="1:25" x14ac:dyDescent="0.2">
      <c r="A98" s="43">
        <v>20</v>
      </c>
      <c r="B98" s="261">
        <v>0.27725879979074808</v>
      </c>
      <c r="C98" s="53">
        <v>0.27912211592571751</v>
      </c>
      <c r="D98" s="62">
        <v>0.28750284543592075</v>
      </c>
      <c r="E98" s="320">
        <v>7.9361510791366913E-2</v>
      </c>
      <c r="F98" s="53">
        <v>7.2343149807938531E-2</v>
      </c>
      <c r="G98" s="54">
        <v>7.1633237822349566E-2</v>
      </c>
      <c r="H98" s="252"/>
      <c r="I98" s="43">
        <v>20</v>
      </c>
      <c r="J98" s="261">
        <v>0.27424349049964813</v>
      </c>
      <c r="K98" s="53">
        <v>0.27799927509967381</v>
      </c>
      <c r="L98" s="62">
        <v>0.27956761339550656</v>
      </c>
      <c r="M98" s="320">
        <v>8.1199999999999994E-2</v>
      </c>
      <c r="N98" s="53">
        <v>7.7255693283366969E-2</v>
      </c>
      <c r="O98" s="54">
        <v>7.6104482425024184E-2</v>
      </c>
      <c r="P98" s="327"/>
      <c r="Q98" s="327"/>
      <c r="R98" s="327"/>
      <c r="S98" s="327"/>
      <c r="T98" s="327"/>
      <c r="U98" s="327"/>
      <c r="V98" s="327"/>
      <c r="W98" s="327"/>
      <c r="X98" s="286"/>
      <c r="Y98" s="286"/>
    </row>
    <row r="99" spans="1:25" x14ac:dyDescent="0.2">
      <c r="A99" s="43">
        <v>21</v>
      </c>
      <c r="B99" s="261">
        <v>9.9693595396457668E-2</v>
      </c>
      <c r="C99" s="53">
        <v>0.10213843556555993</v>
      </c>
      <c r="D99" s="62">
        <v>0.10664693831094924</v>
      </c>
      <c r="E99" s="320">
        <v>7.2841726618705027E-2</v>
      </c>
      <c r="F99" s="53">
        <v>6.7221510883482716E-2</v>
      </c>
      <c r="G99" s="54">
        <v>6.6618911174785106E-2</v>
      </c>
      <c r="H99" s="252"/>
      <c r="I99" s="43">
        <v>21</v>
      </c>
      <c r="J99" s="261">
        <v>0.10696692470091484</v>
      </c>
      <c r="K99" s="53">
        <v>0.10837259876766944</v>
      </c>
      <c r="L99" s="62">
        <v>0.11286562102585841</v>
      </c>
      <c r="M99" s="320">
        <v>7.2599999999999998E-2</v>
      </c>
      <c r="N99" s="53">
        <v>6.6013260305563565E-2</v>
      </c>
      <c r="O99" s="54">
        <v>6.3850370848113513E-2</v>
      </c>
      <c r="P99" s="327"/>
      <c r="Q99" s="327"/>
      <c r="R99" s="327"/>
      <c r="S99" s="327"/>
      <c r="T99" s="327"/>
      <c r="U99" s="327"/>
      <c r="V99" s="327"/>
      <c r="W99" s="327"/>
      <c r="X99" s="286"/>
      <c r="Y99" s="286"/>
    </row>
    <row r="100" spans="1:25" x14ac:dyDescent="0.2">
      <c r="A100" s="43">
        <v>22</v>
      </c>
      <c r="B100" s="261">
        <v>4.3120842986323897E-2</v>
      </c>
      <c r="C100" s="53">
        <v>4.3425248546238977E-2</v>
      </c>
      <c r="D100" s="62">
        <v>4.6437514227179601E-2</v>
      </c>
      <c r="E100" s="320">
        <v>6.1825539568345321E-2</v>
      </c>
      <c r="F100" s="53">
        <v>5.7618437900128043E-2</v>
      </c>
      <c r="G100" s="54">
        <v>5.730659025787966E-2</v>
      </c>
      <c r="H100" s="252"/>
      <c r="I100" s="43">
        <v>22</v>
      </c>
      <c r="J100" s="261">
        <v>4.6586910626319492E-2</v>
      </c>
      <c r="K100" s="53">
        <v>4.8296484233417904E-2</v>
      </c>
      <c r="L100" s="62">
        <v>5.1292920729122511E-2</v>
      </c>
      <c r="M100" s="320">
        <v>6.0400000000000002E-2</v>
      </c>
      <c r="N100" s="53">
        <v>5.5347362352262897E-2</v>
      </c>
      <c r="O100" s="54">
        <v>5.3531118993872945E-2</v>
      </c>
      <c r="P100" s="327"/>
      <c r="Q100" s="327"/>
      <c r="R100" s="327"/>
      <c r="S100" s="327"/>
      <c r="T100" s="327"/>
      <c r="U100" s="327"/>
      <c r="V100" s="327"/>
      <c r="W100" s="327"/>
      <c r="X100" s="286"/>
      <c r="Y100" s="286"/>
    </row>
    <row r="101" spans="1:25" x14ac:dyDescent="0.2">
      <c r="A101" s="43">
        <v>23</v>
      </c>
      <c r="B101" s="261">
        <v>2.4960765264180552E-2</v>
      </c>
      <c r="C101" s="53">
        <v>2.5042205965109737E-2</v>
      </c>
      <c r="D101" s="62">
        <v>2.5608923287047575E-2</v>
      </c>
      <c r="E101" s="320">
        <v>5.3956834532374105E-2</v>
      </c>
      <c r="F101" s="53">
        <v>5.3137003841229193E-2</v>
      </c>
      <c r="G101" s="54">
        <v>5.300859598853868E-2</v>
      </c>
      <c r="H101" s="252"/>
      <c r="I101" s="43">
        <v>23</v>
      </c>
      <c r="J101" s="261">
        <v>2.6741731175228711E-2</v>
      </c>
      <c r="K101" s="53">
        <v>2.6549474447263501E-2</v>
      </c>
      <c r="L101" s="62">
        <v>2.8401865197117421E-2</v>
      </c>
      <c r="M101" s="320">
        <v>5.0999999999999997E-2</v>
      </c>
      <c r="N101" s="53">
        <v>4.9293744594984146E-2</v>
      </c>
      <c r="O101" s="54">
        <v>4.8049016446307644E-2</v>
      </c>
      <c r="P101" s="327"/>
      <c r="Q101" s="327"/>
      <c r="R101" s="327"/>
      <c r="S101" s="327"/>
      <c r="T101" s="327"/>
      <c r="U101" s="327"/>
      <c r="V101" s="327"/>
      <c r="W101" s="327"/>
      <c r="X101" s="286"/>
      <c r="Y101" s="286"/>
    </row>
    <row r="102" spans="1:25" x14ac:dyDescent="0.2">
      <c r="A102" s="43">
        <v>24</v>
      </c>
      <c r="B102" s="261">
        <v>1.3227710933413048E-2</v>
      </c>
      <c r="C102" s="53">
        <v>1.4631401238041644E-2</v>
      </c>
      <c r="D102" s="62">
        <v>1.6048258593216479E-2</v>
      </c>
      <c r="E102" s="320">
        <v>5.3507194244604317E-2</v>
      </c>
      <c r="F102" s="53">
        <v>5.3137003841229193E-2</v>
      </c>
      <c r="G102" s="54">
        <v>5.2650429799426933E-2</v>
      </c>
      <c r="H102" s="252"/>
      <c r="I102" s="43">
        <v>24</v>
      </c>
      <c r="J102" s="261">
        <v>1.4004222378606615E-2</v>
      </c>
      <c r="K102" s="53">
        <v>1.3138818412468285E-2</v>
      </c>
      <c r="L102" s="62">
        <v>1.3459092835947435E-2</v>
      </c>
      <c r="M102" s="320">
        <v>5.0999999999999997E-2</v>
      </c>
      <c r="N102" s="53">
        <v>5.1599884692995097E-2</v>
      </c>
      <c r="O102" s="54">
        <v>5.3208642373427928E-2</v>
      </c>
      <c r="P102" s="327"/>
      <c r="Q102" s="327"/>
      <c r="R102" s="327"/>
      <c r="S102" s="327"/>
      <c r="T102" s="327"/>
      <c r="U102" s="327"/>
      <c r="V102" s="327"/>
      <c r="W102" s="327"/>
      <c r="X102" s="286"/>
      <c r="Y102" s="286"/>
    </row>
    <row r="103" spans="1:25" x14ac:dyDescent="0.2">
      <c r="A103" s="43">
        <v>25</v>
      </c>
      <c r="B103" s="261">
        <v>5.9786264105821689E-3</v>
      </c>
      <c r="C103" s="53">
        <v>5.5336709810542119E-3</v>
      </c>
      <c r="D103" s="62">
        <v>6.2599590257227415E-3</v>
      </c>
      <c r="E103" s="320">
        <v>4.5863309352517992E-2</v>
      </c>
      <c r="F103" s="53">
        <v>4.5774647887323938E-2</v>
      </c>
      <c r="G103" s="54">
        <v>4.6203438395415478E-2</v>
      </c>
      <c r="H103" s="252"/>
      <c r="I103" s="43">
        <v>25</v>
      </c>
      <c r="J103" s="261">
        <v>7.5299085151301903E-3</v>
      </c>
      <c r="K103" s="53">
        <v>7.8832910474809711E-3</v>
      </c>
      <c r="L103" s="62">
        <v>7.7363289529461636E-3</v>
      </c>
      <c r="M103" s="320">
        <v>4.2200000000000001E-2</v>
      </c>
      <c r="N103" s="53">
        <v>4.2663591813202652E-2</v>
      </c>
      <c r="O103" s="54">
        <v>4.385682038052241E-2</v>
      </c>
      <c r="P103" s="327"/>
      <c r="Q103" s="327"/>
      <c r="R103" s="327"/>
      <c r="S103" s="327"/>
      <c r="T103" s="327"/>
      <c r="U103" s="327"/>
      <c r="V103" s="327"/>
      <c r="W103" s="327"/>
      <c r="X103" s="286"/>
      <c r="Y103" s="286"/>
    </row>
    <row r="104" spans="1:25" x14ac:dyDescent="0.2">
      <c r="A104" s="43">
        <v>26</v>
      </c>
      <c r="B104" s="261">
        <v>2.9893132052910844E-3</v>
      </c>
      <c r="C104" s="53">
        <v>2.9075220408928907E-3</v>
      </c>
      <c r="D104" s="62">
        <v>3.0730707944457091E-3</v>
      </c>
      <c r="E104" s="320">
        <v>3.8444244604316544E-2</v>
      </c>
      <c r="F104" s="53">
        <v>3.9372599231754159E-2</v>
      </c>
      <c r="G104" s="54">
        <v>3.6891117478510031E-2</v>
      </c>
      <c r="H104" s="252"/>
      <c r="I104" s="43">
        <v>26</v>
      </c>
      <c r="J104" s="261">
        <v>3.8705137227304713E-3</v>
      </c>
      <c r="K104" s="53">
        <v>3.4432765494744472E-3</v>
      </c>
      <c r="L104" s="62">
        <v>3.2852903772785077E-3</v>
      </c>
      <c r="M104" s="320">
        <v>3.6600000000000001E-2</v>
      </c>
      <c r="N104" s="53">
        <v>3.2862496396656095E-2</v>
      </c>
      <c r="O104" s="54">
        <v>3.3537568526281841E-2</v>
      </c>
      <c r="P104" s="327"/>
      <c r="Q104" s="327"/>
      <c r="R104" s="327"/>
      <c r="S104" s="327"/>
      <c r="T104" s="327"/>
      <c r="U104" s="327"/>
      <c r="V104" s="327"/>
      <c r="W104" s="327"/>
      <c r="X104" s="286"/>
      <c r="Y104" s="286"/>
    </row>
    <row r="105" spans="1:25" x14ac:dyDescent="0.2">
      <c r="A105" s="43">
        <v>27</v>
      </c>
      <c r="B105" s="261">
        <v>2.615649054629699E-3</v>
      </c>
      <c r="C105" s="53">
        <v>2.2509848058525606E-3</v>
      </c>
      <c r="D105" s="62">
        <v>2.2763487366264513E-3</v>
      </c>
      <c r="E105" s="320">
        <v>3.8893884892086332E-2</v>
      </c>
      <c r="F105" s="53">
        <v>3.8412291933418691E-2</v>
      </c>
      <c r="G105" s="54">
        <v>3.7965616045845273E-2</v>
      </c>
      <c r="H105" s="252"/>
      <c r="I105" s="43">
        <v>27</v>
      </c>
      <c r="J105" s="261">
        <v>2.3926812104152007E-3</v>
      </c>
      <c r="K105" s="53">
        <v>2.627763682493657E-3</v>
      </c>
      <c r="L105" s="62">
        <v>2.5434506146672321E-3</v>
      </c>
      <c r="M105" s="320">
        <v>3.8399999999999997E-2</v>
      </c>
      <c r="N105" s="53">
        <v>3.4880368982415678E-2</v>
      </c>
      <c r="O105" s="54">
        <v>3.4504998387616899E-2</v>
      </c>
      <c r="P105" s="327"/>
      <c r="Q105" s="327"/>
      <c r="R105" s="327"/>
      <c r="S105" s="327"/>
      <c r="T105" s="327"/>
      <c r="U105" s="327"/>
      <c r="V105" s="327"/>
      <c r="W105" s="327"/>
      <c r="X105" s="286"/>
      <c r="Y105" s="286"/>
    </row>
    <row r="106" spans="1:25" x14ac:dyDescent="0.2">
      <c r="A106" s="43">
        <v>28</v>
      </c>
      <c r="B106" s="261">
        <v>2.7651147148942527E-3</v>
      </c>
      <c r="C106" s="53">
        <v>2.9075220408928907E-3</v>
      </c>
      <c r="D106" s="62">
        <v>2.1625312997951285E-3</v>
      </c>
      <c r="E106" s="320">
        <v>3.5746402877697842E-2</v>
      </c>
      <c r="F106" s="53">
        <v>3.5851472471190783E-2</v>
      </c>
      <c r="G106" s="54">
        <v>3.7249283667621778E-2</v>
      </c>
      <c r="H106" s="252"/>
      <c r="I106" s="43">
        <v>28</v>
      </c>
      <c r="J106" s="261">
        <v>2.1815622800844476E-3</v>
      </c>
      <c r="K106" s="53">
        <v>1.9028633562885103E-3</v>
      </c>
      <c r="L106" s="62">
        <v>2.1195421788893598E-3</v>
      </c>
      <c r="M106" s="320">
        <v>3.3799999999999997E-2</v>
      </c>
      <c r="N106" s="53">
        <v>3.6321706543672526E-2</v>
      </c>
      <c r="O106" s="54">
        <v>3.4827475008061916E-2</v>
      </c>
      <c r="P106" s="327"/>
      <c r="Q106" s="327"/>
      <c r="R106" s="327"/>
      <c r="S106" s="327"/>
      <c r="T106" s="327"/>
      <c r="U106" s="327"/>
      <c r="V106" s="327"/>
      <c r="W106" s="327"/>
      <c r="X106" s="286"/>
      <c r="Y106" s="286"/>
    </row>
    <row r="107" spans="1:25" x14ac:dyDescent="0.2">
      <c r="A107" s="43">
        <v>29</v>
      </c>
      <c r="B107" s="261">
        <v>1.7935879231746508E-3</v>
      </c>
      <c r="C107" s="53">
        <v>1.8758206715438002E-3</v>
      </c>
      <c r="D107" s="62">
        <v>2.1625312997951285E-3</v>
      </c>
      <c r="E107" s="320">
        <v>3.2823741007194242E-2</v>
      </c>
      <c r="F107" s="53">
        <v>3.4250960307298337E-2</v>
      </c>
      <c r="G107" s="54">
        <v>3.4025787965616047E-2</v>
      </c>
      <c r="H107" s="252"/>
      <c r="I107" s="43">
        <v>29</v>
      </c>
      <c r="J107" s="261">
        <v>9.1484869809992965E-4</v>
      </c>
      <c r="K107" s="53">
        <v>9.0612540775643347E-4</v>
      </c>
      <c r="L107" s="62">
        <v>1.0597710894446799E-3</v>
      </c>
      <c r="M107" s="320">
        <v>2.4799999999999999E-2</v>
      </c>
      <c r="N107" s="53">
        <v>2.5655808590371865E-2</v>
      </c>
      <c r="O107" s="54">
        <v>2.5475653015156401E-2</v>
      </c>
      <c r="P107" s="327"/>
      <c r="Q107" s="327"/>
      <c r="R107" s="327"/>
      <c r="S107" s="327"/>
      <c r="T107" s="327"/>
      <c r="U107" s="327"/>
      <c r="V107" s="327"/>
      <c r="W107" s="327"/>
      <c r="X107" s="286"/>
      <c r="Y107" s="286"/>
    </row>
    <row r="108" spans="1:25" x14ac:dyDescent="0.2">
      <c r="A108" s="44" t="s">
        <v>25</v>
      </c>
      <c r="B108" s="264">
        <v>1.6964352440026906E-2</v>
      </c>
      <c r="C108" s="56">
        <v>1.8945788782592385E-2</v>
      </c>
      <c r="D108" s="64">
        <v>1.9007511950830867E-2</v>
      </c>
      <c r="E108" s="250">
        <v>0.42805755395683454</v>
      </c>
      <c r="F108" s="56">
        <v>0.45070422535211263</v>
      </c>
      <c r="G108" s="57">
        <v>0.45881088825214905</v>
      </c>
      <c r="H108" s="252"/>
      <c r="I108" s="44" t="s">
        <v>25</v>
      </c>
      <c r="J108" s="264">
        <v>1.8719211822660099E-2</v>
      </c>
      <c r="K108" s="56">
        <v>2.1293947082276186E-2</v>
      </c>
      <c r="L108" s="64">
        <v>2.3103009749894023E-2</v>
      </c>
      <c r="M108" s="250">
        <v>0.45540000000000003</v>
      </c>
      <c r="N108" s="56">
        <v>0.47823580282502159</v>
      </c>
      <c r="O108" s="57">
        <v>0.4888745565946469</v>
      </c>
      <c r="P108" s="327"/>
      <c r="Q108" s="327"/>
      <c r="R108" s="327"/>
      <c r="S108" s="327"/>
      <c r="T108" s="327"/>
      <c r="U108" s="327"/>
      <c r="V108" s="327"/>
      <c r="W108" s="327"/>
      <c r="X108" s="286"/>
      <c r="Y108" s="286"/>
    </row>
    <row r="109" spans="1:25" ht="13.5" thickBot="1" x14ac:dyDescent="0.25">
      <c r="A109" s="22" t="s">
        <v>26</v>
      </c>
      <c r="B109" s="212">
        <v>20.183775700934579</v>
      </c>
      <c r="C109" s="213">
        <v>20.229852706632894</v>
      </c>
      <c r="D109" s="214">
        <v>20.276670841398154</v>
      </c>
      <c r="E109" s="215">
        <v>29.194469424460433</v>
      </c>
      <c r="F109" s="213">
        <v>29.750640204865558</v>
      </c>
      <c r="G109" s="216">
        <v>29.878939828080231</v>
      </c>
      <c r="H109" s="252"/>
      <c r="I109" s="22" t="s">
        <v>26</v>
      </c>
      <c r="J109" s="212">
        <v>20.240253342716397</v>
      </c>
      <c r="K109" s="213">
        <v>20.298930772018846</v>
      </c>
      <c r="L109" s="214">
        <v>20.36339550657058</v>
      </c>
      <c r="M109" s="215">
        <v>29.838799999999999</v>
      </c>
      <c r="N109" s="213">
        <v>30.41885269530124</v>
      </c>
      <c r="O109" s="216">
        <v>30.636568848758465</v>
      </c>
      <c r="P109" s="286"/>
      <c r="Q109" s="471"/>
      <c r="R109" s="471"/>
      <c r="S109" s="471"/>
      <c r="T109" s="471"/>
      <c r="U109" s="471"/>
      <c r="V109" s="471"/>
      <c r="W109" s="327"/>
      <c r="X109" s="286"/>
      <c r="Y109" s="286"/>
    </row>
    <row r="110" spans="1:25" ht="13.5" thickTop="1" x14ac:dyDescent="0.2">
      <c r="A110" s="333"/>
      <c r="B110" s="456"/>
      <c r="C110" s="456"/>
      <c r="D110" s="456"/>
      <c r="E110" s="456"/>
      <c r="F110" s="456"/>
      <c r="G110" s="456"/>
      <c r="H110" s="252"/>
      <c r="I110" s="286"/>
      <c r="J110" s="327"/>
      <c r="K110" s="327"/>
      <c r="L110" s="327"/>
      <c r="M110" s="327"/>
      <c r="N110" s="327"/>
      <c r="O110" s="327"/>
      <c r="P110" s="286"/>
      <c r="Q110" s="286"/>
      <c r="R110" s="286"/>
      <c r="S110" s="286"/>
      <c r="T110" s="286"/>
      <c r="U110" s="327"/>
      <c r="V110" s="327"/>
      <c r="W110" s="327"/>
      <c r="X110" s="286"/>
      <c r="Y110" s="286"/>
    </row>
    <row r="111" spans="1:25" ht="13.5" thickBot="1" x14ac:dyDescent="0.25">
      <c r="A111" s="19" t="s">
        <v>121</v>
      </c>
      <c r="B111" s="252"/>
      <c r="C111" s="252"/>
      <c r="D111" s="252"/>
      <c r="E111" s="252"/>
      <c r="F111" s="252"/>
      <c r="G111" s="252"/>
      <c r="I111" s="19" t="s">
        <v>132</v>
      </c>
      <c r="J111" s="252"/>
      <c r="K111" s="252"/>
      <c r="L111" s="252"/>
      <c r="M111" s="252"/>
      <c r="N111" s="252"/>
      <c r="O111" s="252"/>
    </row>
    <row r="112" spans="1:25" ht="51.75" thickTop="1" x14ac:dyDescent="0.2">
      <c r="A112" s="20" t="s">
        <v>131</v>
      </c>
      <c r="B112" s="405" t="s">
        <v>103</v>
      </c>
      <c r="C112" s="406" t="s">
        <v>104</v>
      </c>
      <c r="D112" s="407" t="s">
        <v>105</v>
      </c>
      <c r="E112" s="408" t="s">
        <v>103</v>
      </c>
      <c r="F112" s="406" t="s">
        <v>104</v>
      </c>
      <c r="G112" s="409" t="s">
        <v>105</v>
      </c>
      <c r="I112" s="20" t="s">
        <v>135</v>
      </c>
      <c r="J112" s="405" t="s">
        <v>103</v>
      </c>
      <c r="K112" s="406" t="s">
        <v>104</v>
      </c>
      <c r="L112" s="407" t="s">
        <v>105</v>
      </c>
      <c r="M112" s="408" t="s">
        <v>103</v>
      </c>
      <c r="N112" s="406" t="s">
        <v>104</v>
      </c>
      <c r="O112" s="409" t="s">
        <v>105</v>
      </c>
    </row>
    <row r="113" spans="1:17" ht="13.5" thickBot="1" x14ac:dyDescent="0.25">
      <c r="A113" s="21"/>
      <c r="B113" s="46" t="s">
        <v>90</v>
      </c>
      <c r="C113" s="47"/>
      <c r="D113" s="58"/>
      <c r="E113" s="59" t="s">
        <v>97</v>
      </c>
      <c r="F113" s="47"/>
      <c r="G113" s="48"/>
      <c r="I113" s="21"/>
      <c r="J113" s="46" t="s">
        <v>90</v>
      </c>
      <c r="K113" s="47"/>
      <c r="L113" s="58"/>
      <c r="M113" s="59" t="s">
        <v>97</v>
      </c>
      <c r="N113" s="47"/>
      <c r="O113" s="48"/>
    </row>
    <row r="114" spans="1:17" ht="13.5" thickTop="1" x14ac:dyDescent="0.2">
      <c r="A114" s="42">
        <v>18</v>
      </c>
      <c r="B114" s="331">
        <v>3.7944903999392885E-3</v>
      </c>
      <c r="C114" s="50">
        <v>4.0260736196319029E-3</v>
      </c>
      <c r="D114" s="60">
        <v>4.0174471992653797E-3</v>
      </c>
      <c r="E114" s="61">
        <v>4.037956793862303E-4</v>
      </c>
      <c r="F114" s="50">
        <v>5.8088875980249772E-4</v>
      </c>
      <c r="G114" s="51">
        <v>6.4412238325281795E-4</v>
      </c>
      <c r="I114" s="42">
        <v>18</v>
      </c>
      <c r="J114" s="331">
        <f>+List1!M6</f>
        <v>5.0200803212851397E-3</v>
      </c>
      <c r="K114" s="50">
        <f>+List1!N6</f>
        <v>5.0086688499325766E-3</v>
      </c>
      <c r="L114" s="60">
        <f>+List1!O6</f>
        <v>5.163317993040744E-3</v>
      </c>
      <c r="M114" s="61">
        <f>+List1!J6</f>
        <v>2.0559210526315791E-4</v>
      </c>
      <c r="N114" s="50">
        <f>+List1!K6</f>
        <v>2.8860028860028855E-4</v>
      </c>
      <c r="O114" s="51">
        <f>+List1!L6</f>
        <v>3.1776294884016521E-4</v>
      </c>
      <c r="Q114" s="18"/>
    </row>
    <row r="115" spans="1:17" x14ac:dyDescent="0.2">
      <c r="A115" s="43">
        <v>19</v>
      </c>
      <c r="B115" s="261">
        <v>0.44441071564088941</v>
      </c>
      <c r="C115" s="53">
        <v>0.44315567484662588</v>
      </c>
      <c r="D115" s="62">
        <v>0.43067033976124874</v>
      </c>
      <c r="E115" s="321">
        <v>4.8657379366040754E-2</v>
      </c>
      <c r="F115" s="53">
        <v>3.6305547487656104E-2</v>
      </c>
      <c r="G115" s="54">
        <v>3.2528180354267307E-2</v>
      </c>
      <c r="I115" s="43">
        <v>19</v>
      </c>
      <c r="J115" s="261">
        <f>+List1!M7</f>
        <v>0.43751930800123573</v>
      </c>
      <c r="K115" s="53">
        <f>+List1!N7</f>
        <v>0.43257561163552311</v>
      </c>
      <c r="L115" s="62">
        <f>+List1!O7</f>
        <v>0.42327982938601411</v>
      </c>
      <c r="M115" s="321">
        <f>+List1!J7</f>
        <v>4.8519736842105268E-2</v>
      </c>
      <c r="N115" s="53">
        <f>+List1!K7</f>
        <v>4.2135642135642123E-2</v>
      </c>
      <c r="O115" s="54">
        <f>+List1!L7</f>
        <v>3.8767079758500161E-2</v>
      </c>
    </row>
    <row r="116" spans="1:17" x14ac:dyDescent="0.2">
      <c r="A116" s="43">
        <v>20</v>
      </c>
      <c r="B116" s="261">
        <v>0.30545647719511271</v>
      </c>
      <c r="C116" s="53">
        <v>0.30310582822085896</v>
      </c>
      <c r="D116" s="62">
        <v>0.30234159779614322</v>
      </c>
      <c r="E116" s="320">
        <v>8.5806581869573947E-2</v>
      </c>
      <c r="F116" s="53">
        <v>8.3357537031658421E-2</v>
      </c>
      <c r="G116" s="54">
        <v>7.9871175523349436E-2</v>
      </c>
      <c r="I116" s="43">
        <v>20</v>
      </c>
      <c r="J116" s="261">
        <f>+List1!M8</f>
        <v>0.28336422613531048</v>
      </c>
      <c r="K116" s="53">
        <f>+List1!N8</f>
        <v>0.28867270275476792</v>
      </c>
      <c r="L116" s="62">
        <f>+List1!O8</f>
        <v>0.28869682343697378</v>
      </c>
      <c r="M116" s="320">
        <f>+List1!J8</f>
        <v>7.0723684210526314E-2</v>
      </c>
      <c r="N116" s="53">
        <f>+List1!K8</f>
        <v>5.9163059163059153E-2</v>
      </c>
      <c r="O116" s="54">
        <f>+List1!L8</f>
        <v>5.7197330791229746E-2</v>
      </c>
    </row>
    <row r="117" spans="1:17" x14ac:dyDescent="0.2">
      <c r="A117" s="43">
        <v>21</v>
      </c>
      <c r="B117" s="261">
        <v>0.11254458526219929</v>
      </c>
      <c r="C117" s="53">
        <v>0.11474309815950923</v>
      </c>
      <c r="D117" s="62">
        <v>0.12201561065197426</v>
      </c>
      <c r="E117" s="320">
        <v>7.8336361800928692E-2</v>
      </c>
      <c r="F117" s="53">
        <v>7.3482428115015958E-2</v>
      </c>
      <c r="G117" s="54">
        <v>7.0853462157809993E-2</v>
      </c>
      <c r="I117" s="43">
        <v>21</v>
      </c>
      <c r="J117" s="261">
        <f>+List1!M9</f>
        <v>0.12557924003707135</v>
      </c>
      <c r="K117" s="53">
        <f>+List1!N9</f>
        <v>0.12637256790599116</v>
      </c>
      <c r="L117" s="62">
        <f>+List1!O9</f>
        <v>0.13211359299584688</v>
      </c>
      <c r="M117" s="320">
        <f>+List1!J9</f>
        <v>7.5246710526315791E-2</v>
      </c>
      <c r="N117" s="53">
        <f>+List1!K9</f>
        <v>7.417027417027415E-2</v>
      </c>
      <c r="O117" s="54">
        <f>+List1!L9</f>
        <v>7.3085478233238008E-2</v>
      </c>
    </row>
    <row r="118" spans="1:17" x14ac:dyDescent="0.2">
      <c r="A118" s="43">
        <v>22</v>
      </c>
      <c r="B118" s="261">
        <v>5.6386127343097822E-2</v>
      </c>
      <c r="C118" s="53">
        <v>5.6365030674846633E-2</v>
      </c>
      <c r="D118" s="62">
        <v>5.8080808080808073E-2</v>
      </c>
      <c r="E118" s="320">
        <v>7.3490813648293921E-2</v>
      </c>
      <c r="F118" s="53">
        <v>7.115887307580597E-2</v>
      </c>
      <c r="G118" s="54">
        <v>6.8921095008051533E-2</v>
      </c>
      <c r="I118" s="43">
        <v>22</v>
      </c>
      <c r="J118" s="261">
        <f>+List1!M10</f>
        <v>6.1631139944392954E-2</v>
      </c>
      <c r="K118" s="53">
        <f>+List1!N10</f>
        <v>6.1741475630899642E-2</v>
      </c>
      <c r="L118" s="62">
        <f>+List1!O10</f>
        <v>6.0949601526546174E-2</v>
      </c>
      <c r="M118" s="320">
        <f>+List1!J10</f>
        <v>7.2779605263157895E-2</v>
      </c>
      <c r="N118" s="53">
        <f>+List1!K10</f>
        <v>7.1572871572871552E-2</v>
      </c>
      <c r="O118" s="54">
        <f>+List1!L10</f>
        <v>7.1496663489037188E-2</v>
      </c>
    </row>
    <row r="119" spans="1:17" x14ac:dyDescent="0.2">
      <c r="A119" s="43">
        <v>23</v>
      </c>
      <c r="B119" s="261">
        <v>3.0280033391515516E-2</v>
      </c>
      <c r="C119" s="53">
        <v>2.9907975460122707E-2</v>
      </c>
      <c r="D119" s="62">
        <v>3.0532598714416891E-2</v>
      </c>
      <c r="E119" s="320">
        <v>5.7944679991924056E-2</v>
      </c>
      <c r="F119" s="53">
        <v>5.431309904153353E-2</v>
      </c>
      <c r="G119" s="54">
        <v>5.2495974235104673E-2</v>
      </c>
      <c r="I119" s="43">
        <v>23</v>
      </c>
      <c r="J119" s="261">
        <f>+List1!M11</f>
        <v>3.3673154155081868E-2</v>
      </c>
      <c r="K119" s="53">
        <f>+List1!N11</f>
        <v>3.4482758620689662E-2</v>
      </c>
      <c r="L119" s="62">
        <f>+List1!O11</f>
        <v>3.5918733864631264E-2</v>
      </c>
      <c r="M119" s="320">
        <f>+List1!J11</f>
        <v>6.7845394736842105E-2</v>
      </c>
      <c r="N119" s="53">
        <f>+List1!K11</f>
        <v>6.7243867243867231E-2</v>
      </c>
      <c r="O119" s="54">
        <f>+List1!L11</f>
        <v>6.7365745154115031E-2</v>
      </c>
    </row>
    <row r="120" spans="1:17" x14ac:dyDescent="0.2">
      <c r="A120" s="43">
        <v>24</v>
      </c>
      <c r="B120" s="261">
        <v>1.5102071791758367E-2</v>
      </c>
      <c r="C120" s="53">
        <v>1.5816717791411045E-2</v>
      </c>
      <c r="D120" s="62">
        <v>1.6988062442607893E-2</v>
      </c>
      <c r="E120" s="320">
        <v>5.3301029678982405E-2</v>
      </c>
      <c r="F120" s="53">
        <v>5.0827766482718549E-2</v>
      </c>
      <c r="G120" s="54">
        <v>5.1529790660225443E-2</v>
      </c>
      <c r="I120" s="43">
        <v>24</v>
      </c>
      <c r="J120" s="261">
        <f>+List1!M12</f>
        <v>2.0389249304911955E-2</v>
      </c>
      <c r="K120" s="53">
        <f>+List1!N12</f>
        <v>1.9649393180504723E-2</v>
      </c>
      <c r="L120" s="62">
        <f>+List1!O12</f>
        <v>2.1102256145470868E-2</v>
      </c>
      <c r="M120" s="320">
        <f>+List1!J12</f>
        <v>5.5509868421052627E-2</v>
      </c>
      <c r="N120" s="53">
        <f>+List1!K12</f>
        <v>5.6854256854256838E-2</v>
      </c>
      <c r="O120" s="54">
        <f>+List1!L12</f>
        <v>5.5290753098188754E-2</v>
      </c>
    </row>
    <row r="121" spans="1:17" x14ac:dyDescent="0.2">
      <c r="A121" s="43">
        <v>25</v>
      </c>
      <c r="B121" s="261">
        <v>7.2095317598846473E-3</v>
      </c>
      <c r="C121" s="53">
        <v>7.4769938650306768E-3</v>
      </c>
      <c r="D121" s="62">
        <v>8.2644628099173539E-3</v>
      </c>
      <c r="E121" s="320">
        <v>4.5427013930950916E-2</v>
      </c>
      <c r="F121" s="53">
        <v>4.4728434504792317E-2</v>
      </c>
      <c r="G121" s="54">
        <v>4.5410628019323669E-2</v>
      </c>
      <c r="I121" s="43">
        <v>25</v>
      </c>
      <c r="J121" s="261">
        <f>+List1!M13</f>
        <v>1.0580784677170219E-2</v>
      </c>
      <c r="K121" s="53">
        <f>+List1!N13</f>
        <v>1.0691581583509923E-2</v>
      </c>
      <c r="L121" s="62">
        <f>+List1!O13</f>
        <v>1.122460433269727E-2</v>
      </c>
      <c r="M121" s="320">
        <f>+List1!J13</f>
        <v>4.2146381578947373E-2</v>
      </c>
      <c r="N121" s="53">
        <f>+List1!K13</f>
        <v>3.7518037518037513E-2</v>
      </c>
      <c r="O121" s="54">
        <f>+List1!L13</f>
        <v>3.8767079758500161E-2</v>
      </c>
    </row>
    <row r="122" spans="1:17" x14ac:dyDescent="0.2">
      <c r="A122" s="43">
        <v>26</v>
      </c>
      <c r="B122" s="261">
        <v>3.1873719359490019E-3</v>
      </c>
      <c r="C122" s="53">
        <v>3.8343558282208593E-3</v>
      </c>
      <c r="D122" s="62">
        <v>4.3617998163452696E-3</v>
      </c>
      <c r="E122" s="320">
        <v>3.5332121946295154E-2</v>
      </c>
      <c r="F122" s="53">
        <v>3.6305547487656104E-2</v>
      </c>
      <c r="G122" s="54">
        <v>3.6714975845410627E-2</v>
      </c>
      <c r="I122" s="43">
        <v>26</v>
      </c>
      <c r="J122" s="261">
        <f>+List1!M14</f>
        <v>2.8575841828853876E-3</v>
      </c>
      <c r="K122" s="53">
        <f>+List1!N14</f>
        <v>2.6969755345790797E-3</v>
      </c>
      <c r="L122" s="62">
        <f>+List1!O14</f>
        <v>2.6939050398473445E-3</v>
      </c>
      <c r="M122" s="320">
        <f>+List1!J14</f>
        <v>4.0912828947368425E-2</v>
      </c>
      <c r="N122" s="53">
        <f>+List1!K14</f>
        <v>4.0404040404040401E-2</v>
      </c>
      <c r="O122" s="54">
        <f>+List1!L14</f>
        <v>4.1309183349221484E-2</v>
      </c>
    </row>
    <row r="123" spans="1:17" x14ac:dyDescent="0.2">
      <c r="A123" s="43">
        <v>27</v>
      </c>
      <c r="B123" s="261">
        <v>1.7454655839720726E-3</v>
      </c>
      <c r="C123" s="53">
        <v>1.6296012269938654E-3</v>
      </c>
      <c r="D123" s="62">
        <v>1.8365472910927452E-3</v>
      </c>
      <c r="E123" s="320">
        <v>3.7351100343226307E-2</v>
      </c>
      <c r="F123" s="53">
        <v>3.8629102526866098E-2</v>
      </c>
      <c r="G123" s="54">
        <v>3.639291465378422E-2</v>
      </c>
      <c r="I123" s="43">
        <v>27</v>
      </c>
      <c r="J123" s="261">
        <f>+List1!M15</f>
        <v>1.3901760889712697E-3</v>
      </c>
      <c r="K123" s="53">
        <f>+List1!N15</f>
        <v>9.6320554806395703E-4</v>
      </c>
      <c r="L123" s="62">
        <f>+List1!O15</f>
        <v>1.0102143899427542E-3</v>
      </c>
      <c r="M123" s="320">
        <f>+List1!J15</f>
        <v>3.5567434210526314E-2</v>
      </c>
      <c r="N123" s="53">
        <f>+List1!K15</f>
        <v>3.8095238095238085E-2</v>
      </c>
      <c r="O123" s="54">
        <f>+List1!L15</f>
        <v>3.8449316809659996E-2</v>
      </c>
    </row>
    <row r="124" spans="1:17" x14ac:dyDescent="0.2">
      <c r="A124" s="43">
        <v>28</v>
      </c>
      <c r="B124" s="261">
        <v>1.9731350079684297E-3</v>
      </c>
      <c r="C124" s="53">
        <v>1.7254601226993867E-3</v>
      </c>
      <c r="D124" s="62">
        <v>1.7217630853994486E-3</v>
      </c>
      <c r="E124" s="320">
        <v>3.109226731273974E-2</v>
      </c>
      <c r="F124" s="53">
        <v>3.3110659308742366E-2</v>
      </c>
      <c r="G124" s="54">
        <v>3.3494363929146537E-2</v>
      </c>
      <c r="I124" s="43">
        <v>28</v>
      </c>
      <c r="J124" s="261">
        <f>+List1!M16</f>
        <v>1.004016064257028E-3</v>
      </c>
      <c r="K124" s="53">
        <f>+List1!N16</f>
        <v>9.6320554806395703E-4</v>
      </c>
      <c r="L124" s="62">
        <f>+List1!O16</f>
        <v>1.0102143899427542E-3</v>
      </c>
      <c r="M124" s="320">
        <f>+List1!J16</f>
        <v>2.6521381578947366E-2</v>
      </c>
      <c r="N124" s="53">
        <f>+List1!K16</f>
        <v>2.5685425685425679E-2</v>
      </c>
      <c r="O124" s="54">
        <f>+List1!L16</f>
        <v>2.5738798856053381E-2</v>
      </c>
    </row>
    <row r="125" spans="1:17" x14ac:dyDescent="0.2">
      <c r="A125" s="43">
        <v>29</v>
      </c>
      <c r="B125" s="261">
        <v>1.8213553919708583E-3</v>
      </c>
      <c r="C125" s="53">
        <v>1.6296012269938654E-3</v>
      </c>
      <c r="D125" s="62">
        <v>1.6069788797061521E-3</v>
      </c>
      <c r="E125" s="320">
        <v>2.8265697557036121E-2</v>
      </c>
      <c r="F125" s="53">
        <v>2.9915771129828631E-2</v>
      </c>
      <c r="G125" s="54">
        <v>2.8985507246376812E-2</v>
      </c>
      <c r="I125" s="43">
        <v>29</v>
      </c>
      <c r="J125" s="261">
        <f>+List1!M17</f>
        <v>2.008032128514056E-3</v>
      </c>
      <c r="K125" s="53">
        <f>+List1!N17</f>
        <v>2.0227316509343098E-3</v>
      </c>
      <c r="L125" s="62">
        <f>+List1!O17</f>
        <v>2.0204287798855085E-3</v>
      </c>
      <c r="M125" s="320">
        <f>+List1!J17</f>
        <v>2.4465460526315787E-2</v>
      </c>
      <c r="N125" s="53">
        <f>+List1!K17</f>
        <v>2.3088023088023081E-2</v>
      </c>
      <c r="O125" s="54">
        <f>+List1!L17</f>
        <v>2.3832221163012392E-2</v>
      </c>
    </row>
    <row r="126" spans="1:17" x14ac:dyDescent="0.2">
      <c r="A126" s="44" t="s">
        <v>25</v>
      </c>
      <c r="B126" s="264">
        <v>1.6088639295742578E-2</v>
      </c>
      <c r="C126" s="56">
        <v>1.6583588957055209E-2</v>
      </c>
      <c r="D126" s="64">
        <v>1.7561983471074374E-2</v>
      </c>
      <c r="E126" s="250">
        <v>0.42459115687462123</v>
      </c>
      <c r="F126" s="56">
        <v>0.4472843450479233</v>
      </c>
      <c r="G126" s="57">
        <v>0.46215780998389699</v>
      </c>
      <c r="I126" s="44" t="s">
        <v>25</v>
      </c>
      <c r="J126" s="264">
        <f>+List1!M18</f>
        <v>1.4905776953969723E-2</v>
      </c>
      <c r="K126" s="56">
        <f>+List1!N18</f>
        <v>1.4159121556540168E-2</v>
      </c>
      <c r="L126" s="64">
        <f>+List1!O18</f>
        <v>1.4816477719160392E-2</v>
      </c>
      <c r="M126" s="250">
        <f>+List1!J18</f>
        <v>0.43955592105263169</v>
      </c>
      <c r="N126" s="56">
        <f>+List1!K18</f>
        <v>0.46378066378066357</v>
      </c>
      <c r="O126" s="57">
        <f>+List1!L18</f>
        <v>0.4683825865904036</v>
      </c>
    </row>
    <row r="127" spans="1:17" ht="13.5" thickBot="1" x14ac:dyDescent="0.25">
      <c r="A127" s="22" t="s">
        <v>26</v>
      </c>
      <c r="B127" s="212">
        <v>20.309858086059048</v>
      </c>
      <c r="C127" s="213">
        <v>20.325728527607378</v>
      </c>
      <c r="D127" s="214">
        <v>20.379132231404956</v>
      </c>
      <c r="E127" s="215">
        <v>29.236422370280621</v>
      </c>
      <c r="F127" s="213">
        <v>29.761835608480968</v>
      </c>
      <c r="G127" s="216">
        <v>30.02737520128824</v>
      </c>
      <c r="I127" s="22" t="s">
        <v>26</v>
      </c>
      <c r="J127" s="212">
        <f>+List1!S48</f>
        <v>20.343759654000614</v>
      </c>
      <c r="K127" s="213">
        <f>+List1!T48</f>
        <v>20.333750722404158</v>
      </c>
      <c r="L127" s="214">
        <f>+List1!U48</f>
        <v>20.367381299809189</v>
      </c>
      <c r="M127" s="215">
        <f>+List1!P48</f>
        <v>29.51541940789474</v>
      </c>
      <c r="N127" s="213">
        <f>+List1!Q48</f>
        <v>30.012121212121201</v>
      </c>
      <c r="O127" s="216">
        <f>+List1!R48</f>
        <v>30.108992691452176</v>
      </c>
    </row>
    <row r="128" spans="1:17" ht="13.5" thickTop="1" x14ac:dyDescent="0.2"/>
    <row r="129" spans="1:15" ht="13.5" thickBot="1" x14ac:dyDescent="0.25">
      <c r="A129" s="19" t="s">
        <v>134</v>
      </c>
      <c r="B129" s="252"/>
      <c r="C129" s="252"/>
      <c r="D129" s="252"/>
      <c r="E129" s="252"/>
      <c r="F129" s="252"/>
      <c r="G129" s="252"/>
      <c r="I129" s="19" t="s">
        <v>137</v>
      </c>
      <c r="J129" s="252"/>
      <c r="K129" s="252"/>
      <c r="L129" s="252"/>
      <c r="M129" s="252"/>
      <c r="N129" s="252"/>
      <c r="O129" s="252"/>
    </row>
    <row r="130" spans="1:15" ht="51.75" thickTop="1" x14ac:dyDescent="0.2">
      <c r="A130" s="20" t="s">
        <v>136</v>
      </c>
      <c r="B130" s="405" t="s">
        <v>103</v>
      </c>
      <c r="C130" s="406" t="s">
        <v>104</v>
      </c>
      <c r="D130" s="407" t="s">
        <v>105</v>
      </c>
      <c r="E130" s="408" t="s">
        <v>103</v>
      </c>
      <c r="F130" s="406" t="s">
        <v>104</v>
      </c>
      <c r="G130" s="409" t="s">
        <v>105</v>
      </c>
      <c r="I130" s="20" t="s">
        <v>138</v>
      </c>
      <c r="J130" s="405" t="s">
        <v>103</v>
      </c>
      <c r="K130" s="406" t="s">
        <v>104</v>
      </c>
      <c r="L130" s="407" t="s">
        <v>105</v>
      </c>
      <c r="M130" s="408" t="s">
        <v>103</v>
      </c>
      <c r="N130" s="406" t="s">
        <v>104</v>
      </c>
      <c r="O130" s="409" t="s">
        <v>105</v>
      </c>
    </row>
    <row r="131" spans="1:15" ht="13.5" thickBot="1" x14ac:dyDescent="0.25">
      <c r="A131" s="21"/>
      <c r="B131" s="46" t="s">
        <v>90</v>
      </c>
      <c r="C131" s="47"/>
      <c r="D131" s="58"/>
      <c r="E131" s="59" t="s">
        <v>97</v>
      </c>
      <c r="F131" s="47"/>
      <c r="G131" s="48"/>
      <c r="I131" s="21"/>
      <c r="J131" s="46" t="s">
        <v>90</v>
      </c>
      <c r="K131" s="47"/>
      <c r="L131" s="58"/>
      <c r="M131" s="59" t="s">
        <v>97</v>
      </c>
      <c r="N131" s="47"/>
      <c r="O131" s="48"/>
    </row>
    <row r="132" spans="1:15" ht="13.5" thickTop="1" x14ac:dyDescent="0.2">
      <c r="A132" s="42">
        <v>18</v>
      </c>
      <c r="B132" s="331">
        <f>57/'voš_druh studia '!C61</f>
        <v>4.506997706966079E-3</v>
      </c>
      <c r="C132" s="50">
        <f>45/'voš_druh studia '!H61</f>
        <v>4.3855374719812884E-3</v>
      </c>
      <c r="D132" s="60">
        <f>36/'voš_druh studia '!I61</f>
        <v>4.1308089500860581E-3</v>
      </c>
      <c r="E132" s="61">
        <f>1/'voš_druh studia '!C62</f>
        <v>2.010454362685967E-4</v>
      </c>
      <c r="F132" s="50">
        <f>0/'voš_druh studia '!H62</f>
        <v>0</v>
      </c>
      <c r="G132" s="51">
        <f>0/'voš_druh studia '!I62</f>
        <v>0</v>
      </c>
      <c r="I132" s="42">
        <v>18</v>
      </c>
      <c r="J132" s="331">
        <f>64/'voš_druh studia '!C65</f>
        <v>5.5574852379298365E-3</v>
      </c>
      <c r="K132" s="50">
        <f>53/'voš_druh studia '!H65</f>
        <v>5.6281193586067754E-3</v>
      </c>
      <c r="L132" s="60">
        <f>46/'voš_druh studia '!I65</f>
        <v>5.6483300589390967E-3</v>
      </c>
      <c r="M132" s="61">
        <f>3/'voš_druh studia '!$C$66</f>
        <v>6.2695924764890286E-4</v>
      </c>
      <c r="N132" s="50">
        <f>3/'voš_druh studia '!$H$66</f>
        <v>9.5693779904306223E-4</v>
      </c>
      <c r="O132" s="51">
        <f>2/'voš_druh studia '!$I$66</f>
        <v>7.0796460176991152E-4</v>
      </c>
    </row>
    <row r="133" spans="1:15" x14ac:dyDescent="0.2">
      <c r="A133" s="43">
        <v>19</v>
      </c>
      <c r="B133" s="261">
        <f>5221/'voš_druh studia '!C61</f>
        <v>0.41282517593105084</v>
      </c>
      <c r="C133" s="53">
        <f>4160/'voš_druh studia '!H61</f>
        <v>0.40541857518760355</v>
      </c>
      <c r="D133" s="62">
        <f>3453/'voš_druh studia '!I61</f>
        <v>0.3962134251290878</v>
      </c>
      <c r="E133" s="321">
        <f>246/'voš_druh studia '!C62</f>
        <v>4.9457177322074788E-2</v>
      </c>
      <c r="F133" s="53">
        <f>133/'voš_druh studia '!H62</f>
        <v>3.750705019740553E-2</v>
      </c>
      <c r="G133" s="54">
        <f>104/'voš_druh studia '!I62</f>
        <v>3.2745591939546598E-2</v>
      </c>
      <c r="I133" s="43">
        <v>19</v>
      </c>
      <c r="J133" s="261">
        <f>4639/'voš_druh studia '!C65</f>
        <v>0.40283084404307051</v>
      </c>
      <c r="K133" s="53">
        <f>3777/'voš_druh studia '!H65</f>
        <v>0.40108314749920354</v>
      </c>
      <c r="L133" s="62">
        <f>3212/'voš_druh studia '!I65</f>
        <v>0.39440078585461691</v>
      </c>
      <c r="M133" s="321">
        <f>234/'voš_druh studia '!$C$66</f>
        <v>4.8902821316614421E-2</v>
      </c>
      <c r="N133" s="53">
        <f>119/'voš_druh studia '!$H$66</f>
        <v>3.7958532695374803E-2</v>
      </c>
      <c r="O133" s="54">
        <f>93/'voš_druh studia '!$I$66</f>
        <v>3.2920353982300886E-2</v>
      </c>
    </row>
    <row r="134" spans="1:15" x14ac:dyDescent="0.2">
      <c r="A134" s="43">
        <v>20</v>
      </c>
      <c r="B134" s="261">
        <f>3826/'voš_druh studia '!C61</f>
        <v>0.30252233731319683</v>
      </c>
      <c r="C134" s="53">
        <f>3137/'voš_druh studia '!H61</f>
        <v>0.30572068999122892</v>
      </c>
      <c r="D134" s="62">
        <f>2647/'voš_druh studia '!I61</f>
        <v>0.30372920252438323</v>
      </c>
      <c r="E134" s="320">
        <f>415/'voš_druh studia '!C62</f>
        <v>8.3433856051467636E-2</v>
      </c>
      <c r="F134" s="53">
        <f>257/'voš_druh studia '!H62</f>
        <v>7.2476029328821204E-2</v>
      </c>
      <c r="G134" s="54">
        <f>223/'voš_druh studia '!I62</f>
        <v>7.0214105793450887E-2</v>
      </c>
      <c r="I134" s="43">
        <v>20</v>
      </c>
      <c r="J134" s="261">
        <f>3312/'voš_druh studia '!C65</f>
        <v>0.28759986106286906</v>
      </c>
      <c r="K134" s="53">
        <f>2689/'voš_druh studia '!H65</f>
        <v>0.28554741425082297</v>
      </c>
      <c r="L134" s="62">
        <f>2311/'voš_druh studia '!I65</f>
        <v>0.28376719056974459</v>
      </c>
      <c r="M134" s="320">
        <f>364/'voš_druh studia '!$C$66</f>
        <v>7.6071055381400216E-2</v>
      </c>
      <c r="N134" s="53">
        <f>223/'voš_druh studia '!$H$66</f>
        <v>7.1132376395534297E-2</v>
      </c>
      <c r="O134" s="54">
        <f>194/'voš_druh studia '!$I$66</f>
        <v>6.8672566371681412E-2</v>
      </c>
    </row>
    <row r="135" spans="1:15" x14ac:dyDescent="0.2">
      <c r="A135" s="43">
        <v>21</v>
      </c>
      <c r="B135" s="261">
        <f>1499/'voš_druh studia '!C61</f>
        <v>0.11852613267968688</v>
      </c>
      <c r="C135" s="53">
        <f>1235/'voš_druh studia '!H61</f>
        <v>0.12035863950881981</v>
      </c>
      <c r="D135" s="62">
        <f>1101/'voš_druh studia '!I61</f>
        <v>0.12633390705679862</v>
      </c>
      <c r="E135" s="320">
        <f>363/'voš_druh studia '!C62</f>
        <v>7.2979493365500608E-2</v>
      </c>
      <c r="F135" s="53">
        <f>238/'voš_druh studia '!H62</f>
        <v>6.7117879300620423E-2</v>
      </c>
      <c r="G135" s="54">
        <f>208/'voš_druh studia '!I62</f>
        <v>6.5491183879093195E-2</v>
      </c>
      <c r="I135" s="43">
        <v>21</v>
      </c>
      <c r="J135" s="261">
        <f>1457/'voš_druh studia '!C65</f>
        <v>0.12651962486974644</v>
      </c>
      <c r="K135" s="53">
        <f>1219/'voš_druh studia '!H65</f>
        <v>0.12944674524795582</v>
      </c>
      <c r="L135" s="62">
        <f>1075/'voš_druh studia '!I65</f>
        <v>0.13199901768172889</v>
      </c>
      <c r="M135" s="320">
        <f>379/'voš_druh studia '!$C$66</f>
        <v>7.9205851619644718E-2</v>
      </c>
      <c r="N135" s="53">
        <f>233/'voš_druh studia '!$H$66</f>
        <v>7.4322169059011164E-2</v>
      </c>
      <c r="O135" s="54">
        <f>210/'voš_druh studia '!$I$66</f>
        <v>7.4336283185840707E-2</v>
      </c>
    </row>
    <row r="136" spans="1:15" x14ac:dyDescent="0.2">
      <c r="A136" s="43">
        <v>22</v>
      </c>
      <c r="B136" s="261">
        <f>816/'voš_druh studia '!C61</f>
        <v>6.4521230331303872E-2</v>
      </c>
      <c r="C136" s="53">
        <f>672/'voš_druh studia '!H61</f>
        <v>6.5490692914920573E-2</v>
      </c>
      <c r="D136" s="62">
        <f>590/'voš_druh studia '!I61</f>
        <v>6.7699368904188179E-2</v>
      </c>
      <c r="E136" s="320">
        <f>384/'voš_druh studia '!C62</f>
        <v>7.7201447527141129E-2</v>
      </c>
      <c r="F136" s="53">
        <f>256/'voš_druh studia '!H62</f>
        <v>7.219402143260012E-2</v>
      </c>
      <c r="G136" s="54">
        <f>225/'voš_druh studia '!I62</f>
        <v>7.0843828715365237E-2</v>
      </c>
      <c r="I136" s="43">
        <v>22</v>
      </c>
      <c r="J136" s="261">
        <f>738/'voš_druh studia '!C65</f>
        <v>6.4084751649878424E-2</v>
      </c>
      <c r="K136" s="53">
        <f>606/'voš_druh studia '!H65</f>
        <v>6.4351704364447274E-2</v>
      </c>
      <c r="L136" s="62">
        <f>546/'voš_druh studia '!I65</f>
        <v>6.7043222003929273E-2</v>
      </c>
      <c r="M136" s="320">
        <f>306/'voš_druh studia '!$C$66</f>
        <v>6.3949843260188086E-2</v>
      </c>
      <c r="N136" s="53">
        <f>196/'voš_druh studia '!$H$66</f>
        <v>6.2519936204146725E-2</v>
      </c>
      <c r="O136" s="54">
        <f>176/'voš_druh studia '!$I$66</f>
        <v>6.2300884955752214E-2</v>
      </c>
    </row>
    <row r="137" spans="1:15" x14ac:dyDescent="0.2">
      <c r="A137" s="43">
        <v>23</v>
      </c>
      <c r="B137" s="261">
        <f>484/'voš_druh studia '!C61</f>
        <v>3.8269945441606702E-2</v>
      </c>
      <c r="C137" s="53">
        <f>410/'voš_druh studia '!H61</f>
        <v>3.9957119189162851E-2</v>
      </c>
      <c r="D137" s="62">
        <f>360/'voš_druh studia '!I61</f>
        <v>4.1308089500860588E-2</v>
      </c>
      <c r="E137" s="320">
        <f>331/'voš_druh studia '!C62</f>
        <v>6.6546039404905513E-2</v>
      </c>
      <c r="F137" s="53">
        <f>250/'voš_druh studia '!H62</f>
        <v>7.0501974055273545E-2</v>
      </c>
      <c r="G137" s="54">
        <f>226/'voš_druh studia '!I62</f>
        <v>7.1158690176322412E-2</v>
      </c>
      <c r="I137" s="43">
        <v>23</v>
      </c>
      <c r="J137" s="261">
        <f>503/'voš_druh studia '!C65</f>
        <v>4.367836054185481E-2</v>
      </c>
      <c r="K137" s="53">
        <f>427/'voš_druh studia '!H65</f>
        <v>4.5343527662737602E-2</v>
      </c>
      <c r="L137" s="62">
        <f>384/'voš_druh studia '!I65</f>
        <v>4.7151277013752456E-2</v>
      </c>
      <c r="M137" s="320">
        <f>340/'voš_druh studia '!$C$66</f>
        <v>7.1055381400208992E-2</v>
      </c>
      <c r="N137" s="53">
        <f>221/'voš_druh studia '!$H$66</f>
        <v>7.0494417862838915E-2</v>
      </c>
      <c r="O137" s="54">
        <f>192/'voš_druh studia '!$I$66</f>
        <v>6.7964601769911509E-2</v>
      </c>
    </row>
    <row r="138" spans="1:15" x14ac:dyDescent="0.2">
      <c r="A138" s="43">
        <v>24</v>
      </c>
      <c r="B138" s="261">
        <f>286/'voš_druh studia '!C61</f>
        <v>2.2614058670040325E-2</v>
      </c>
      <c r="C138" s="53">
        <f>230/'voš_druh studia '!H61</f>
        <v>2.2414969301237698E-2</v>
      </c>
      <c r="D138" s="62">
        <f>204/'voš_druh studia '!I61</f>
        <v>2.3407917383821E-2</v>
      </c>
      <c r="E138" s="320">
        <f>314/'voš_druh studia '!C62</f>
        <v>6.3128266988339371E-2</v>
      </c>
      <c r="F138" s="53">
        <f>230/'voš_druh studia '!H62</f>
        <v>6.4861816130851666E-2</v>
      </c>
      <c r="G138" s="54">
        <f>203/'voš_druh studia '!I62</f>
        <v>6.3916876574307308E-2</v>
      </c>
      <c r="I138" s="43">
        <v>24</v>
      </c>
      <c r="J138" s="261">
        <f>297/'voš_druh studia '!C65</f>
        <v>2.5790204932268149E-2</v>
      </c>
      <c r="K138" s="53">
        <f>257/'voš_druh studia '!H65</f>
        <v>2.7291069342678137E-2</v>
      </c>
      <c r="L138" s="62">
        <f>226/'voš_druh studia '!I65</f>
        <v>2.7750491159135561E-2</v>
      </c>
      <c r="M138" s="320">
        <f>264/'voš_druh studia '!$C$66</f>
        <v>5.5172413793103448E-2</v>
      </c>
      <c r="N138" s="53">
        <f>156/'voš_druh studia '!$H$66</f>
        <v>4.9760765550239235E-2</v>
      </c>
      <c r="O138" s="54">
        <f>135/'voš_druh studia '!$I$66</f>
        <v>4.7787610619469026E-2</v>
      </c>
    </row>
    <row r="139" spans="1:15" x14ac:dyDescent="0.2">
      <c r="A139" s="43">
        <v>25</v>
      </c>
      <c r="B139" s="261">
        <f>141/'voš_druh studia '!C61</f>
        <v>1.1148889064600301E-2</v>
      </c>
      <c r="C139" s="53">
        <f>118/'voš_druh studia '!H61</f>
        <v>1.1499853815417601E-2</v>
      </c>
      <c r="D139" s="62">
        <f>105/'voš_druh studia '!I61</f>
        <v>1.2048192771084338E-2</v>
      </c>
      <c r="E139" s="320">
        <f>236/'voš_druh studia '!C62</f>
        <v>4.7446722959388822E-2</v>
      </c>
      <c r="F139" s="53">
        <f>175/'voš_druh studia '!H62</f>
        <v>4.9351381838691484E-2</v>
      </c>
      <c r="G139" s="54">
        <f>163/'voš_druh studia '!I62</f>
        <v>5.1322418136020148E-2</v>
      </c>
      <c r="I139" s="43">
        <v>25</v>
      </c>
      <c r="J139" s="261">
        <f>150/'voš_druh studia '!C65</f>
        <v>1.3025356026398056E-2</v>
      </c>
      <c r="K139" s="53">
        <f>120/'voš_druh studia '!H65</f>
        <v>1.2742911755336095E-2</v>
      </c>
      <c r="L139" s="62">
        <f>107/'voš_druh studia '!I65</f>
        <v>1.3138506876227897E-2</v>
      </c>
      <c r="M139" s="320">
        <f>258/'voš_druh studia '!$C$66</f>
        <v>5.3918495297805645E-2</v>
      </c>
      <c r="N139" s="53">
        <f>146/'voš_druh studia '!$H$66</f>
        <v>4.657097288676236E-2</v>
      </c>
      <c r="O139" s="54">
        <f>136/'voš_druh studia '!$I$66</f>
        <v>4.8141592920353984E-2</v>
      </c>
    </row>
    <row r="140" spans="1:15" x14ac:dyDescent="0.2">
      <c r="A140" s="43">
        <v>26</v>
      </c>
      <c r="B140" s="261">
        <f>40/'voš_druh studia '!C61</f>
        <v>3.1628054083972482E-3</v>
      </c>
      <c r="C140" s="53">
        <f>34/'voš_druh studia '!H61</f>
        <v>3.313517201052529E-3</v>
      </c>
      <c r="D140" s="62">
        <f>29/'voš_druh studia '!I61</f>
        <v>3.3275960986804362E-3</v>
      </c>
      <c r="E140" s="320">
        <f>211/'voš_druh studia '!C62</f>
        <v>4.2420587052673903E-2</v>
      </c>
      <c r="F140" s="53">
        <f>156/'voš_druh studia '!H62</f>
        <v>4.3993231810490696E-2</v>
      </c>
      <c r="G140" s="54">
        <f>135/'voš_druh studia '!I62</f>
        <v>4.2506297229219142E-2</v>
      </c>
      <c r="I140" s="43">
        <v>26</v>
      </c>
      <c r="J140" s="261">
        <f>46/'voš_druh studia '!C65</f>
        <v>3.9944425147620697E-3</v>
      </c>
      <c r="K140" s="53">
        <f>36/'voš_druh studia '!H65</f>
        <v>3.8228735266008281E-3</v>
      </c>
      <c r="L140" s="62">
        <f>29/'voš_druh studia '!I65</f>
        <v>3.5609037328094301E-3</v>
      </c>
      <c r="M140" s="320">
        <f>205/'voš_druh studia '!$C$66</f>
        <v>4.2842215256008356E-2</v>
      </c>
      <c r="N140" s="53">
        <f>132/'voš_druh studia '!$H$66</f>
        <v>4.2105263157894736E-2</v>
      </c>
      <c r="O140" s="54">
        <f>122/'voš_druh studia '!$I$66</f>
        <v>4.31858407079646E-2</v>
      </c>
    </row>
    <row r="141" spans="1:15" x14ac:dyDescent="0.2">
      <c r="A141" s="43">
        <v>27</v>
      </c>
      <c r="B141" s="261">
        <f>33/'voš_druh studia '!C61</f>
        <v>2.6093144619277297E-3</v>
      </c>
      <c r="C141" s="53">
        <f>22/'voš_druh studia '!H61</f>
        <v>2.1440405418575188E-3</v>
      </c>
      <c r="D141" s="62">
        <f>19/'voš_druh studia '!I61</f>
        <v>2.1801491681009751E-3</v>
      </c>
      <c r="E141" s="320">
        <f>172/'voš_druh studia '!C62</f>
        <v>3.4579815038198632E-2</v>
      </c>
      <c r="F141" s="53">
        <f>116/'voš_druh studia '!H62</f>
        <v>3.2712915961646924E-2</v>
      </c>
      <c r="G141" s="54">
        <f>106/'voš_druh studia '!I62</f>
        <v>3.3375314861460954E-2</v>
      </c>
      <c r="I141" s="43">
        <v>27</v>
      </c>
      <c r="J141" s="261">
        <f>32/'voš_druh studia '!C65</f>
        <v>2.7787426189649182E-3</v>
      </c>
      <c r="K141" s="53">
        <f>26/'voš_druh studia '!H65</f>
        <v>2.7609642136561538E-3</v>
      </c>
      <c r="L141" s="62">
        <f>26/'voš_druh studia '!I65</f>
        <v>3.1925343811394892E-3</v>
      </c>
      <c r="M141" s="320">
        <f>167/'voš_druh studia '!$C$66</f>
        <v>3.4900731452455591E-2</v>
      </c>
      <c r="N141" s="53">
        <f>110/'voš_druh studia '!$H$66</f>
        <v>3.5087719298245612E-2</v>
      </c>
      <c r="O141" s="54">
        <f>102/'voš_druh studia '!$I$66</f>
        <v>3.6106194690265485E-2</v>
      </c>
    </row>
    <row r="142" spans="1:15" x14ac:dyDescent="0.2">
      <c r="A142" s="43">
        <v>28</v>
      </c>
      <c r="B142" s="261">
        <f>24/'voš_druh studia '!C61</f>
        <v>1.897683245038349E-3</v>
      </c>
      <c r="C142" s="53">
        <f>20/'voš_druh studia '!H61</f>
        <v>1.9491277653250171E-3</v>
      </c>
      <c r="D142" s="62">
        <f>18/'voš_druh studia '!I61</f>
        <v>2.0654044750430291E-3</v>
      </c>
      <c r="E142" s="320">
        <f>153/'voš_druh studia '!C62</f>
        <v>3.0759951749095297E-2</v>
      </c>
      <c r="F142" s="53">
        <f>117/'voš_druh studia '!H62</f>
        <v>3.2994923857868022E-2</v>
      </c>
      <c r="G142" s="54">
        <f>105/'voš_druh studia '!I62</f>
        <v>3.306045340050378E-2</v>
      </c>
      <c r="I142" s="43">
        <v>28</v>
      </c>
      <c r="J142" s="261">
        <f>24/'voš_druh studia '!C65</f>
        <v>2.0840569642236887E-3</v>
      </c>
      <c r="K142" s="53">
        <f>17/'voš_druh studia '!H65</f>
        <v>1.8052458320059466E-3</v>
      </c>
      <c r="L142" s="62">
        <f>16/'voš_druh studia '!I65</f>
        <v>1.9646365422396855E-3</v>
      </c>
      <c r="M142" s="320">
        <f>135/'voš_druh studia '!$C$66</f>
        <v>2.8213166144200628E-2</v>
      </c>
      <c r="N142" s="53">
        <f>82/'voš_druh studia '!$H$66</f>
        <v>2.6156299840510367E-2</v>
      </c>
      <c r="O142" s="54">
        <f>74/'voš_druh studia '!$I$66</f>
        <v>2.6194690265486726E-2</v>
      </c>
    </row>
    <row r="143" spans="1:15" x14ac:dyDescent="0.2">
      <c r="A143" s="43">
        <v>29</v>
      </c>
      <c r="B143" s="261">
        <f>27/'voš_druh studia '!C61</f>
        <v>2.1348936506681427E-3</v>
      </c>
      <c r="C143" s="53">
        <f>20/'voš_druh studia '!H61</f>
        <v>1.9491277653250171E-3</v>
      </c>
      <c r="D143" s="62">
        <f>15/'voš_druh studia '!I61</f>
        <v>1.7211703958691911E-3</v>
      </c>
      <c r="E143" s="320">
        <f>153/'voš_druh studia '!C62</f>
        <v>3.0759951749095297E-2</v>
      </c>
      <c r="F143" s="53">
        <f>102/'voš_druh studia '!H62</f>
        <v>2.8764805414551606E-2</v>
      </c>
      <c r="G143" s="54">
        <f>95/'voš_druh studia '!I62</f>
        <v>2.991183879093199E-2</v>
      </c>
      <c r="I143" s="43">
        <v>29</v>
      </c>
      <c r="J143" s="261">
        <f>24/'voš_druh studia '!C65</f>
        <v>2.0840569642236887E-3</v>
      </c>
      <c r="K143" s="53">
        <f>17/'voš_druh studia '!H65</f>
        <v>1.8052458320059466E-3</v>
      </c>
      <c r="L143" s="62">
        <f>16/'voš_druh studia '!I65</f>
        <v>1.9646365422396855E-3</v>
      </c>
      <c r="M143" s="320">
        <f>121/'voš_druh studia '!$C$66</f>
        <v>2.528735632183908E-2</v>
      </c>
      <c r="N143" s="53">
        <f>86/'voš_druh studia '!$H$66</f>
        <v>2.7432216905901117E-2</v>
      </c>
      <c r="O143" s="54">
        <f>79/'voš_druh studia '!$I$66</f>
        <v>2.7964601769911505E-2</v>
      </c>
    </row>
    <row r="144" spans="1:15" x14ac:dyDescent="0.2">
      <c r="A144" s="44" t="s">
        <v>25</v>
      </c>
      <c r="B144" s="264">
        <f>193/'voš_druh studia '!C61</f>
        <v>1.5260536095516723E-2</v>
      </c>
      <c r="C144" s="56">
        <f>158/'voš_druh studia '!H61</f>
        <v>1.5398109346067635E-2</v>
      </c>
      <c r="D144" s="64">
        <f>138/'voš_druh studia '!I61</f>
        <v>1.5834767641996556E-2</v>
      </c>
      <c r="E144" s="250">
        <f>1995/'voš_druh studia '!C62</f>
        <v>0.4010856453558504</v>
      </c>
      <c r="F144" s="56">
        <f>1516/'voš_druh studia '!H62</f>
        <v>0.42752397067117881</v>
      </c>
      <c r="G144" s="57">
        <f>1383/'voš_druh studia '!I62</f>
        <v>0.43545340050377834</v>
      </c>
      <c r="I144" s="44" t="s">
        <v>25</v>
      </c>
      <c r="J144" s="264">
        <f>230/'voš_druh studia '!C65</f>
        <v>1.997221257381035E-2</v>
      </c>
      <c r="K144" s="56">
        <f>173/'voš_druh studia '!H65</f>
        <v>1.8371031113942869E-2</v>
      </c>
      <c r="L144" s="64">
        <f>150/'voš_druh studia '!I65</f>
        <v>1.8418467583497054E-2</v>
      </c>
      <c r="M144" s="250">
        <f>2009/'voš_druh studia '!$C$66</f>
        <v>0.4198537095088819</v>
      </c>
      <c r="N144" s="56">
        <f>1428/'voš_druh studia '!$H$66</f>
        <v>0.45550239234449763</v>
      </c>
      <c r="O144" s="57">
        <f>1310/'voš_druh studia '!$I$66</f>
        <v>0.46371681415929206</v>
      </c>
    </row>
    <row r="145" spans="1:15" ht="13.5" thickBot="1" x14ac:dyDescent="0.25">
      <c r="A145" s="22" t="s">
        <v>26</v>
      </c>
      <c r="B145" s="212">
        <v>20.415828999999999</v>
      </c>
      <c r="C145" s="213">
        <v>20.432219</v>
      </c>
      <c r="D145" s="214">
        <v>20.470911999999998</v>
      </c>
      <c r="E145" s="215">
        <v>29.155207000000001</v>
      </c>
      <c r="F145" s="213">
        <v>29.609137</v>
      </c>
      <c r="G145" s="216">
        <v>29.757558</v>
      </c>
      <c r="I145" s="22" t="s">
        <v>26</v>
      </c>
      <c r="J145" s="212">
        <v>20.569700000000001</v>
      </c>
      <c r="K145" s="213">
        <v>20.555</v>
      </c>
      <c r="L145" s="214">
        <v>20.585799999999999</v>
      </c>
      <c r="M145" s="215">
        <v>29.440999999999999</v>
      </c>
      <c r="N145" s="213">
        <v>30.116099999999999</v>
      </c>
      <c r="O145" s="216">
        <v>30.3034</v>
      </c>
    </row>
    <row r="146" spans="1:15" ht="13.5" thickTop="1" x14ac:dyDescent="0.2"/>
    <row r="147" spans="1:15" ht="13.5" thickBot="1" x14ac:dyDescent="0.25">
      <c r="A147" s="19" t="s">
        <v>139</v>
      </c>
      <c r="B147" s="252"/>
      <c r="C147" s="252"/>
      <c r="D147" s="252"/>
      <c r="E147" s="252"/>
      <c r="F147" s="252"/>
      <c r="G147" s="252"/>
      <c r="I147" s="19" t="s">
        <v>141</v>
      </c>
      <c r="J147" s="252"/>
      <c r="K147" s="252"/>
      <c r="L147" s="252"/>
      <c r="M147" s="252"/>
      <c r="N147" s="252"/>
      <c r="O147" s="252"/>
    </row>
    <row r="148" spans="1:15" ht="51.75" thickTop="1" x14ac:dyDescent="0.2">
      <c r="A148" s="20" t="s">
        <v>140</v>
      </c>
      <c r="B148" s="405" t="s">
        <v>103</v>
      </c>
      <c r="C148" s="406" t="s">
        <v>104</v>
      </c>
      <c r="D148" s="407" t="s">
        <v>105</v>
      </c>
      <c r="E148" s="408" t="s">
        <v>103</v>
      </c>
      <c r="F148" s="406" t="s">
        <v>104</v>
      </c>
      <c r="G148" s="409" t="s">
        <v>105</v>
      </c>
      <c r="I148" s="20" t="s">
        <v>142</v>
      </c>
      <c r="J148" s="405" t="s">
        <v>103</v>
      </c>
      <c r="K148" s="406" t="s">
        <v>104</v>
      </c>
      <c r="L148" s="407" t="s">
        <v>105</v>
      </c>
      <c r="M148" s="408" t="s">
        <v>103</v>
      </c>
      <c r="N148" s="406" t="s">
        <v>104</v>
      </c>
      <c r="O148" s="409" t="s">
        <v>105</v>
      </c>
    </row>
    <row r="149" spans="1:15" ht="13.5" thickBot="1" x14ac:dyDescent="0.25">
      <c r="A149" s="21"/>
      <c r="B149" s="46" t="s">
        <v>90</v>
      </c>
      <c r="C149" s="47"/>
      <c r="D149" s="58"/>
      <c r="E149" s="59" t="s">
        <v>97</v>
      </c>
      <c r="F149" s="47"/>
      <c r="G149" s="48"/>
      <c r="I149" s="21"/>
      <c r="J149" s="46" t="s">
        <v>90</v>
      </c>
      <c r="K149" s="47"/>
      <c r="L149" s="58"/>
      <c r="M149" s="59" t="s">
        <v>97</v>
      </c>
      <c r="N149" s="47"/>
      <c r="O149" s="48"/>
    </row>
    <row r="150" spans="1:15" ht="13.5" thickTop="1" x14ac:dyDescent="0.2">
      <c r="A150" s="42">
        <v>18</v>
      </c>
      <c r="B150" s="331">
        <f>52/'voš_druh studia '!$C$69</f>
        <v>5.1256776737309022E-3</v>
      </c>
      <c r="C150" s="50">
        <f>35/'voš_druh studia '!$H$69</f>
        <v>4.1676589664205767E-3</v>
      </c>
      <c r="D150" s="60">
        <f>29/'voš_druh studia '!$I$69</f>
        <v>4.0650406504065045E-3</v>
      </c>
      <c r="E150" s="61">
        <f>1/'voš_druh studia '!$C$70</f>
        <v>2.2109219544550078E-4</v>
      </c>
      <c r="F150" s="50">
        <f>1/'voš_druh studia '!$H$70</f>
        <v>3.076923076923077E-4</v>
      </c>
      <c r="G150" s="51">
        <f>1/'voš_druh studia '!$I$70</f>
        <v>3.4317089910775565E-4</v>
      </c>
      <c r="I150" s="42">
        <v>18</v>
      </c>
      <c r="J150" s="331">
        <f>65/'voš_druh studia '!$C$73</f>
        <v>7.3189956086026344E-3</v>
      </c>
      <c r="K150" s="50">
        <f>46/'voš_druh studia '!$H$73</f>
        <v>6.2178967288456337E-3</v>
      </c>
      <c r="L150" s="60">
        <f>43/'voš_druh studia '!$I$73</f>
        <v>6.7801955219173766E-3</v>
      </c>
      <c r="M150" s="61">
        <f>3/'voš_druh studia '!$C$74</f>
        <v>7.4386312918423014E-4</v>
      </c>
      <c r="N150" s="50">
        <f>1/'voš_druh studia '!$H$74</f>
        <v>3.2948929159802305E-4</v>
      </c>
      <c r="O150" s="51">
        <f>1/'voš_druh studia '!$I$74</f>
        <v>3.6927621861152144E-4</v>
      </c>
    </row>
    <row r="151" spans="1:15" x14ac:dyDescent="0.2">
      <c r="A151" s="43">
        <v>19</v>
      </c>
      <c r="B151" s="261">
        <f>4207/'voš_druh studia '!$C$69</f>
        <v>0.41468703794972894</v>
      </c>
      <c r="C151" s="53">
        <f>3424/'voš_druh studia '!$H$69</f>
        <v>0.40771612288640152</v>
      </c>
      <c r="D151" s="62">
        <f>2849/'voš_druh studia '!$I$69</f>
        <v>0.39935520044855621</v>
      </c>
      <c r="E151" s="321">
        <f>215/'voš_druh studia '!$C$70</f>
        <v>4.7534822020782665E-2</v>
      </c>
      <c r="F151" s="53">
        <f>112/'voš_druh studia '!$H$70</f>
        <v>3.446153846153846E-2</v>
      </c>
      <c r="G151" s="54">
        <f>99/'voš_druh studia '!$I$70</f>
        <v>3.3973919011667811E-2</v>
      </c>
      <c r="I151" s="43">
        <v>19</v>
      </c>
      <c r="J151" s="261">
        <f>3649/'voš_druh studia '!$C$73</f>
        <v>0.4108771534737079</v>
      </c>
      <c r="K151" s="53">
        <f>2969/'voš_druh studia '!$H$73</f>
        <v>0.40132468234658014</v>
      </c>
      <c r="L151" s="62">
        <f>2474/'voš_druh studia '!$I$73</f>
        <v>0.39009776095868809</v>
      </c>
      <c r="M151" s="321">
        <f>220/'voš_druh studia '!$C$74</f>
        <v>5.4549962806843544E-2</v>
      </c>
      <c r="N151" s="53">
        <f>140/'voš_druh studia '!$H$74</f>
        <v>4.6128500823723231E-2</v>
      </c>
      <c r="O151" s="54">
        <f>118/'voš_druh studia '!$I$74</f>
        <v>4.3574593796159529E-2</v>
      </c>
    </row>
    <row r="152" spans="1:15" x14ac:dyDescent="0.2">
      <c r="A152" s="43">
        <v>20</v>
      </c>
      <c r="B152" s="261">
        <f>2697/'voš_druh studia '!$C$69</f>
        <v>0.26584524396254311</v>
      </c>
      <c r="C152" s="53">
        <f>2224/'voš_druh studia '!$H$69</f>
        <v>0.26482495832341035</v>
      </c>
      <c r="D152" s="62">
        <f>1888/'voš_druh studia '!$I$69</f>
        <v>0.26464816372301653</v>
      </c>
      <c r="E152" s="320">
        <f>324/'voš_druh studia '!$C$70</f>
        <v>7.1633871324342249E-2</v>
      </c>
      <c r="F152" s="53">
        <f>210/'voš_druh studia '!$H$70</f>
        <v>6.4615384615384616E-2</v>
      </c>
      <c r="G152" s="54">
        <f>172/'voš_druh studia '!$I$70</f>
        <v>5.9025394646533974E-2</v>
      </c>
      <c r="I152" s="43">
        <v>20</v>
      </c>
      <c r="J152" s="261">
        <f>2348/'voš_druh studia '!$C$73</f>
        <v>0.26438464136921519</v>
      </c>
      <c r="K152" s="53">
        <f>1929/'voš_druh studia '!$H$73</f>
        <v>0.26074614760746145</v>
      </c>
      <c r="L152" s="62">
        <f>1680/'voš_druh studia '!$I$73</f>
        <v>0.26490066225165565</v>
      </c>
      <c r="M152" s="320">
        <f>308/'voš_druh studia '!$C$74</f>
        <v>7.6369947929580961E-2</v>
      </c>
      <c r="N152" s="53">
        <f>213/'voš_druh studia '!$H$74</f>
        <v>7.0181219110378917E-2</v>
      </c>
      <c r="O152" s="54">
        <f>187/'voš_druh studia '!$I$74</f>
        <v>6.9054652880354506E-2</v>
      </c>
    </row>
    <row r="153" spans="1:15" x14ac:dyDescent="0.2">
      <c r="A153" s="43">
        <v>21</v>
      </c>
      <c r="B153" s="261">
        <f>1261/'voš_druh studia '!$C$69</f>
        <v>0.12429768358797437</v>
      </c>
      <c r="C153" s="53">
        <f>1068/'voš_druh studia '!$H$69</f>
        <v>0.12717313646106215</v>
      </c>
      <c r="D153" s="62">
        <f>919/'voš_druh studia '!$I$69</f>
        <v>0.12881973647322681</v>
      </c>
      <c r="E153" s="320">
        <f>329/'voš_druh studia '!$C$70</f>
        <v>7.2739332301569759E-2</v>
      </c>
      <c r="F153" s="53">
        <f>223/'voš_druh studia '!$H$70</f>
        <v>6.861538461538462E-2</v>
      </c>
      <c r="G153" s="54">
        <f>185/'voš_druh studia '!$I$70</f>
        <v>6.3486616334934798E-2</v>
      </c>
      <c r="I153" s="43">
        <v>21</v>
      </c>
      <c r="J153" s="261">
        <f>1008/'voš_druh studia '!$C$73</f>
        <v>0.11350073189956086</v>
      </c>
      <c r="K153" s="53">
        <f>878/'voš_druh studia '!$H$73</f>
        <v>0.11868072452014058</v>
      </c>
      <c r="L153" s="62">
        <f>762/'voš_druh studia '!$I$73</f>
        <v>0.12015137180700095</v>
      </c>
      <c r="M153" s="320">
        <f>301/'voš_druh studia '!$C$74</f>
        <v>7.4634267294817758E-2</v>
      </c>
      <c r="N153" s="53">
        <f>214/'voš_druh studia '!$H$74</f>
        <v>7.0510708401976929E-2</v>
      </c>
      <c r="O153" s="54">
        <f>191/'voš_druh studia '!$I$74</f>
        <v>7.0531757754800598E-2</v>
      </c>
    </row>
    <row r="154" spans="1:15" x14ac:dyDescent="0.2">
      <c r="A154" s="43">
        <v>22</v>
      </c>
      <c r="B154" s="261">
        <f>714/'voš_druh studia '!$C$69</f>
        <v>7.0379497289305079E-2</v>
      </c>
      <c r="C154" s="53">
        <f>599/'voš_druh studia '!$H$69</f>
        <v>7.1326506311026439E-2</v>
      </c>
      <c r="D154" s="62">
        <f>531/'voš_druh studia '!$I$69</f>
        <v>7.4432296047098404E-2</v>
      </c>
      <c r="E154" s="320">
        <f>343/'voš_druh studia '!$C$70</f>
        <v>7.5834623037806762E-2</v>
      </c>
      <c r="F154" s="53">
        <f>239/'voš_druh studia '!$H$70</f>
        <v>7.3538461538461539E-2</v>
      </c>
      <c r="G154" s="54">
        <f>224/'voš_druh studia '!$I$70</f>
        <v>7.6870281400137269E-2</v>
      </c>
      <c r="I154" s="43">
        <v>22</v>
      </c>
      <c r="J154" s="261">
        <f>644/'voš_druh studia '!$C$73</f>
        <v>7.2514356491386101E-2</v>
      </c>
      <c r="K154" s="53">
        <f>559/'voš_druh studia '!$H$73</f>
        <v>7.5560962422276293E-2</v>
      </c>
      <c r="L154" s="62">
        <f>478/'voš_druh studia '!$I$73</f>
        <v>7.537054556922107E-2</v>
      </c>
      <c r="M154" s="320">
        <f>317/'voš_druh studia '!$C$74</f>
        <v>7.8601537317133652E-2</v>
      </c>
      <c r="N154" s="53">
        <f>215/'voš_druh studia '!$H$74</f>
        <v>7.0840197693574955E-2</v>
      </c>
      <c r="O154" s="54">
        <f>183/'voš_druh studia '!$I$74</f>
        <v>6.7577548005908414E-2</v>
      </c>
    </row>
    <row r="155" spans="1:15" x14ac:dyDescent="0.2">
      <c r="A155" s="43">
        <v>23</v>
      </c>
      <c r="B155" s="261">
        <f>477/'voš_druh studia '!$C$69</f>
        <v>4.7018235584031544E-2</v>
      </c>
      <c r="C155" s="53">
        <f>416/'voš_druh studia '!$H$69</f>
        <v>4.9535603715170282E-2</v>
      </c>
      <c r="D155" s="62">
        <f>364/'voš_druh studia '!$I$69</f>
        <v>5.1023268853378191E-2</v>
      </c>
      <c r="E155" s="320">
        <f>316/'voš_druh studia '!$C$70</f>
        <v>6.9865133760778242E-2</v>
      </c>
      <c r="F155" s="53">
        <f>222/'voš_druh studia '!$H$70</f>
        <v>6.8307692307692305E-2</v>
      </c>
      <c r="G155" s="54">
        <f>198/'voš_druh studia '!$I$70</f>
        <v>6.7947838023335622E-2</v>
      </c>
      <c r="I155" s="43">
        <v>23</v>
      </c>
      <c r="J155" s="261">
        <f>444/'voš_druh studia '!$C$73</f>
        <v>4.9994370003377996E-2</v>
      </c>
      <c r="K155" s="53">
        <f>397/'voš_druh studia '!$H$73</f>
        <v>5.3663152203298189E-2</v>
      </c>
      <c r="L155" s="62">
        <f>358/'voš_druh studia '!$I$73</f>
        <v>5.6449069694102808E-2</v>
      </c>
      <c r="M155" s="320">
        <f>258/'voš_druh studia '!$C$74</f>
        <v>6.3972229109843792E-2</v>
      </c>
      <c r="N155" s="53">
        <f>199/'voš_druh studia '!$H$74</f>
        <v>6.5568369028006585E-2</v>
      </c>
      <c r="O155" s="54">
        <f>172/'voš_druh studia '!$I$74</f>
        <v>6.3515509601181686E-2</v>
      </c>
    </row>
    <row r="156" spans="1:15" x14ac:dyDescent="0.2">
      <c r="A156" s="43">
        <v>24</v>
      </c>
      <c r="B156" s="261">
        <f>274/'voš_druh studia '!$C$69</f>
        <v>2.7008378511582061E-2</v>
      </c>
      <c r="C156" s="53">
        <f>237/'voš_druh studia '!$H$69</f>
        <v>2.822100500119076E-2</v>
      </c>
      <c r="D156" s="62">
        <f>208/'voš_druh studia '!$I$69</f>
        <v>2.9156153630501822E-2</v>
      </c>
      <c r="E156" s="320">
        <f>276/'voš_druh studia '!$C$70</f>
        <v>6.1021445942958212E-2</v>
      </c>
      <c r="F156" s="53">
        <f>195/'voš_druh studia '!$H$70</f>
        <v>0.06</v>
      </c>
      <c r="G156" s="54">
        <f>170/'voš_druh studia '!$I$70</f>
        <v>5.8339052848318459E-2</v>
      </c>
      <c r="I156" s="43">
        <v>24</v>
      </c>
      <c r="J156" s="261">
        <f>266/'voš_druh studia '!$C$73</f>
        <v>2.9951582029050784E-2</v>
      </c>
      <c r="K156" s="262">
        <f>229/'voš_druh studia '!$H$73</f>
        <v>3.0954311976209785E-2</v>
      </c>
      <c r="L156" s="62">
        <f>201/'voš_druh studia '!$I$73</f>
        <v>3.1693472090823085E-2</v>
      </c>
      <c r="M156" s="320">
        <f>221/'voš_druh studia '!$C$74</f>
        <v>5.4797917183238287E-2</v>
      </c>
      <c r="N156" s="53">
        <f>166/'voš_druh studia '!$H$74</f>
        <v>5.4695222405271832E-2</v>
      </c>
      <c r="O156" s="54">
        <f>148/'voš_druh studia '!$I$74</f>
        <v>5.4652880354505169E-2</v>
      </c>
    </row>
    <row r="157" spans="1:15" x14ac:dyDescent="0.2">
      <c r="A157" s="43">
        <v>25</v>
      </c>
      <c r="B157" s="261">
        <f>173/'voš_druh studia '!$C$69</f>
        <v>1.7052735337604732E-2</v>
      </c>
      <c r="C157" s="53">
        <f>151/'voš_druh studia '!$H$69</f>
        <v>1.7980471540843059E-2</v>
      </c>
      <c r="D157" s="62">
        <f>138/'voš_druh studia '!$I$69</f>
        <v>1.9343986543313711E-2</v>
      </c>
      <c r="E157" s="320">
        <f>232/'voš_druh studia '!$C$70</f>
        <v>5.1293389343356179E-2</v>
      </c>
      <c r="F157" s="53">
        <f>155/'voš_druh studia '!$H$70</f>
        <v>4.7692307692307694E-2</v>
      </c>
      <c r="G157" s="54">
        <f>141/'voš_druh studia '!$I$70</f>
        <v>4.8387096774193547E-2</v>
      </c>
      <c r="I157" s="43">
        <v>25</v>
      </c>
      <c r="J157" s="261">
        <f>151/'voš_druh studia '!$C$73</f>
        <v>1.700258979844612E-2</v>
      </c>
      <c r="K157" s="53">
        <f>136/'voš_druh studia '!$H$73</f>
        <v>1.8383346850500134E-2</v>
      </c>
      <c r="L157" s="62">
        <f>127/'voš_druh studia '!$I$73</f>
        <v>2.0025228634500156E-2</v>
      </c>
      <c r="M157" s="320">
        <f>217/'voš_druh studia '!$C$74</f>
        <v>5.3806099677659314E-2</v>
      </c>
      <c r="N157" s="53">
        <f>170/'voš_druh studia '!$H$74</f>
        <v>5.6013179571663921E-2</v>
      </c>
      <c r="O157" s="54">
        <f>146/'voš_druh studia '!$I$74</f>
        <v>5.391432791728213E-2</v>
      </c>
    </row>
    <row r="158" spans="1:15" x14ac:dyDescent="0.2">
      <c r="A158" s="43">
        <v>26</v>
      </c>
      <c r="B158" s="261">
        <f>33/'voš_druh studia '!$C$69</f>
        <v>3.2528339083292262E-3</v>
      </c>
      <c r="C158" s="53">
        <f>28/'voš_druh studia '!$H$69</f>
        <v>3.334127173136461E-3</v>
      </c>
      <c r="D158" s="62">
        <f>19/'voš_druh studia '!$I$69</f>
        <v>2.6633024950939166E-3</v>
      </c>
      <c r="E158" s="320">
        <f>207/'voš_druh studia '!$C$70</f>
        <v>4.5766084457218657E-2</v>
      </c>
      <c r="F158" s="53">
        <f>148/'voš_druh studia '!$H$70</f>
        <v>4.5538461538461542E-2</v>
      </c>
      <c r="G158" s="54">
        <f>136/'voš_druh studia '!$I$70</f>
        <v>4.6671242278654768E-2</v>
      </c>
      <c r="I158" s="43">
        <v>26</v>
      </c>
      <c r="J158" s="261">
        <f>29/'voš_druh studia '!$C$73</f>
        <v>3.2653980407611753E-3</v>
      </c>
      <c r="K158" s="53">
        <f>24/'voš_druh studia '!$H$73</f>
        <v>3.2441200324412004E-3</v>
      </c>
      <c r="L158" s="62">
        <f>20/'voš_druh studia '!$I$73</f>
        <v>3.1535793125197099E-3</v>
      </c>
      <c r="M158" s="320">
        <f>176/'voš_druh studia '!$C$74</f>
        <v>4.3639970245474835E-2</v>
      </c>
      <c r="N158" s="53">
        <f>125/'voš_druh studia '!$H$74</f>
        <v>4.118616144975288E-2</v>
      </c>
      <c r="O158" s="54">
        <f>112/'voš_druh studia '!$I$74</f>
        <v>4.1358936484490398E-2</v>
      </c>
    </row>
    <row r="159" spans="1:15" x14ac:dyDescent="0.2">
      <c r="A159" s="43">
        <v>27</v>
      </c>
      <c r="B159" s="261">
        <f>25/'voš_druh studia '!$C$69</f>
        <v>2.4642681123706258E-3</v>
      </c>
      <c r="C159" s="53">
        <f>17/'voš_druh studia '!$H$69</f>
        <v>2.0242914979757085E-3</v>
      </c>
      <c r="D159" s="62">
        <f>17/'voš_druh studia '!$I$69</f>
        <v>2.382954864031399E-3</v>
      </c>
      <c r="E159" s="320">
        <f>138/'voš_druh studia '!$C$70</f>
        <v>3.0510722971479106E-2</v>
      </c>
      <c r="F159" s="53">
        <f>95/'voš_druh studia '!$H$70</f>
        <v>2.923076923076923E-2</v>
      </c>
      <c r="G159" s="54">
        <f>90/'voš_druh studia '!$I$70</f>
        <v>3.0885380919698009E-2</v>
      </c>
      <c r="I159" s="43">
        <v>27</v>
      </c>
      <c r="J159" s="261">
        <f>30/'voš_druh studia '!$C$73</f>
        <v>3.377997973201216E-3</v>
      </c>
      <c r="K159" s="53">
        <f>22/'voš_druh studia '!$H$73</f>
        <v>2.9737766964044337E-3</v>
      </c>
      <c r="L159" s="62">
        <f>19/'voš_druh studia '!$I$73</f>
        <v>2.9959003468937244E-3</v>
      </c>
      <c r="M159" s="320">
        <f>153/'voš_druh studia '!$C$74</f>
        <v>3.7937019588395737E-2</v>
      </c>
      <c r="N159" s="53">
        <f>128/'voš_druh studia '!$H$74</f>
        <v>4.217462932454695E-2</v>
      </c>
      <c r="O159" s="54">
        <f>118/'voš_druh studia '!$I$74</f>
        <v>4.3574593796159529E-2</v>
      </c>
    </row>
    <row r="160" spans="1:15" x14ac:dyDescent="0.2">
      <c r="A160" s="43">
        <v>28</v>
      </c>
      <c r="B160" s="261">
        <f>18/'voš_druh studia '!$C$69</f>
        <v>1.7742730409068506E-3</v>
      </c>
      <c r="C160" s="53">
        <f>15/'voš_druh studia '!$H$69</f>
        <v>1.7861395570373899E-3</v>
      </c>
      <c r="D160" s="62">
        <f>13/'voš_druh studia '!$I$69</f>
        <v>1.8222596019063638E-3</v>
      </c>
      <c r="E160" s="320">
        <f>127/'voš_druh studia '!$C$70</f>
        <v>2.8078708821578598E-2</v>
      </c>
      <c r="F160" s="53">
        <f>86/'voš_druh studia '!$H$70</f>
        <v>2.646153846153846E-2</v>
      </c>
      <c r="G160" s="54">
        <f>82/'voš_druh studia '!$I$70</f>
        <v>2.8140013726835965E-2</v>
      </c>
      <c r="I160" s="43">
        <v>28</v>
      </c>
      <c r="J160" s="261">
        <f>28/'voš_druh studia '!$C$73</f>
        <v>3.1527981083211351E-3</v>
      </c>
      <c r="K160" s="53">
        <f>26/'voš_druh studia '!$H$73</f>
        <v>3.5144633684779671E-3</v>
      </c>
      <c r="L160" s="62">
        <f>23/'voš_druh studia '!$I$73</f>
        <v>3.6266162093976663E-3</v>
      </c>
      <c r="M160" s="320">
        <f>120/'voš_druh studia '!$C$74</f>
        <v>2.9754525167369206E-2</v>
      </c>
      <c r="N160" s="53">
        <f>95/'voš_druh studia '!$H$74</f>
        <v>3.130148270181219E-2</v>
      </c>
      <c r="O160" s="54">
        <f>89/'voš_druh studia '!$I$74</f>
        <v>3.2865583456425408E-2</v>
      </c>
    </row>
    <row r="161" spans="1:15" x14ac:dyDescent="0.2">
      <c r="A161" s="43">
        <v>29</v>
      </c>
      <c r="B161" s="261">
        <f>20/'voš_druh studia '!$C$69</f>
        <v>1.9714144898965009E-3</v>
      </c>
      <c r="C161" s="53">
        <f>13/'voš_druh studia '!$H$69</f>
        <v>1.5479876160990713E-3</v>
      </c>
      <c r="D161" s="62">
        <f>11/'voš_druh studia '!$I$69</f>
        <v>1.5419119708438463E-3</v>
      </c>
      <c r="E161" s="320">
        <f>137/'voš_druh studia '!$C$70</f>
        <v>3.0289630776033607E-2</v>
      </c>
      <c r="F161" s="53">
        <f>102/'voš_druh studia '!$H$70</f>
        <v>3.1384615384615386E-2</v>
      </c>
      <c r="G161" s="54">
        <f>91/'voš_druh studia '!$I$70</f>
        <v>3.1228551818805766E-2</v>
      </c>
      <c r="I161" s="43">
        <v>29</v>
      </c>
      <c r="J161" s="261">
        <f>19/'voš_druh studia '!$C$73</f>
        <v>2.13939871636077E-3</v>
      </c>
      <c r="K161" s="53">
        <f>16/'voš_druh studia '!$H$73</f>
        <v>2.1627466882941336E-3</v>
      </c>
      <c r="L161" s="62">
        <f>14/'voš_druh studia '!$I$73</f>
        <v>2.2075055187637969E-3</v>
      </c>
      <c r="M161" s="320">
        <f>101/'voš_druh studia '!$C$74</f>
        <v>2.5043392015869081E-2</v>
      </c>
      <c r="N161" s="53">
        <f>81/'voš_druh studia '!$H$74</f>
        <v>2.6688632619439868E-2</v>
      </c>
      <c r="O161" s="54">
        <f>70/'voš_druh studia '!$I$74</f>
        <v>2.58493353028065E-2</v>
      </c>
    </row>
    <row r="162" spans="1:15" x14ac:dyDescent="0.2">
      <c r="A162" s="44" t="s">
        <v>25</v>
      </c>
      <c r="B162" s="264">
        <f>194/'voš_druh studia '!$C$69</f>
        <v>1.9122720551996056E-2</v>
      </c>
      <c r="C162" s="56">
        <f>171/'voš_druh studia '!$H$69</f>
        <v>2.0361990950226245E-2</v>
      </c>
      <c r="D162" s="64">
        <f>148/'voš_druh studia '!$I$69</f>
        <v>2.0745724698626296E-2</v>
      </c>
      <c r="E162" s="250">
        <f>1878/'voš_druh studia '!$C$70</f>
        <v>0.41521114304665047</v>
      </c>
      <c r="F162" s="56">
        <f>1462/'voš_druh studia '!$H$70</f>
        <v>0.44984615384615384</v>
      </c>
      <c r="G162" s="57">
        <f>1325/'voš_druh studia '!$I$70</f>
        <v>0.45470144131777623</v>
      </c>
      <c r="I162" s="44" t="s">
        <v>25</v>
      </c>
      <c r="J162" s="264">
        <f>200/'voš_druh studia '!$C$73</f>
        <v>2.2519986488008108E-2</v>
      </c>
      <c r="K162" s="56">
        <f>167/'voš_druh studia '!$H$73</f>
        <v>2.2573668559070018E-2</v>
      </c>
      <c r="L162" s="64">
        <f>143/'voš_druh studia '!$I$73</f>
        <v>2.2548092084515924E-2</v>
      </c>
      <c r="M162" s="250">
        <f>1638/'voš_druh studia '!$C$74</f>
        <v>0.40614926853458966</v>
      </c>
      <c r="N162" s="56">
        <f>1288/'voš_druh studia '!$H$74</f>
        <v>0.42438220757825373</v>
      </c>
      <c r="O162" s="57">
        <f>1173/'voš_druh studia '!$I$74</f>
        <v>0.43316100443131461</v>
      </c>
    </row>
    <row r="163" spans="1:15" ht="13.5" thickBot="1" x14ac:dyDescent="0.25">
      <c r="A163" s="22" t="s">
        <v>26</v>
      </c>
      <c r="B163" s="212">
        <v>20.584299999999999</v>
      </c>
      <c r="C163" s="213">
        <v>20.638000000000002</v>
      </c>
      <c r="D163" s="214">
        <v>20.674199999999999</v>
      </c>
      <c r="E163" s="215">
        <v>29.549399999999999</v>
      </c>
      <c r="F163" s="213">
        <v>30.232600000000001</v>
      </c>
      <c r="G163" s="216">
        <v>30.368200000000002</v>
      </c>
      <c r="I163" s="22" t="s">
        <v>26</v>
      </c>
      <c r="J163" s="212">
        <v>20.683499999999999</v>
      </c>
      <c r="K163" s="213">
        <v>20.731999999999999</v>
      </c>
      <c r="L163" s="214">
        <v>20.767099999999999</v>
      </c>
      <c r="M163" s="215">
        <v>29.361499999999999</v>
      </c>
      <c r="N163" s="213">
        <v>29.8339</v>
      </c>
      <c r="O163" s="216">
        <v>30.0015</v>
      </c>
    </row>
    <row r="164" spans="1:15" ht="13.5" thickTop="1" x14ac:dyDescent="0.2"/>
    <row r="165" spans="1:15" ht="13.5" thickBot="1" x14ac:dyDescent="0.25">
      <c r="A165" s="19" t="s">
        <v>144</v>
      </c>
      <c r="B165" s="252"/>
      <c r="C165" s="252"/>
      <c r="D165" s="252"/>
      <c r="E165" s="252"/>
      <c r="F165" s="252"/>
      <c r="G165" s="252"/>
      <c r="I165" s="19" t="s">
        <v>147</v>
      </c>
      <c r="J165" s="252"/>
      <c r="K165" s="252"/>
      <c r="L165" s="252"/>
      <c r="M165" s="252"/>
      <c r="N165" s="252"/>
      <c r="O165" s="252"/>
    </row>
    <row r="166" spans="1:15" ht="51.75" thickTop="1" x14ac:dyDescent="0.2">
      <c r="A166" s="20" t="s">
        <v>145</v>
      </c>
      <c r="B166" s="405" t="s">
        <v>103</v>
      </c>
      <c r="C166" s="406" t="s">
        <v>104</v>
      </c>
      <c r="D166" s="407" t="s">
        <v>105</v>
      </c>
      <c r="E166" s="408" t="s">
        <v>103</v>
      </c>
      <c r="F166" s="406" t="s">
        <v>104</v>
      </c>
      <c r="G166" s="409" t="s">
        <v>105</v>
      </c>
      <c r="I166" s="20" t="s">
        <v>149</v>
      </c>
      <c r="J166" s="405" t="s">
        <v>103</v>
      </c>
      <c r="K166" s="406" t="s">
        <v>104</v>
      </c>
      <c r="L166" s="407" t="s">
        <v>105</v>
      </c>
      <c r="M166" s="408" t="s">
        <v>103</v>
      </c>
      <c r="N166" s="406" t="s">
        <v>104</v>
      </c>
      <c r="O166" s="409" t="s">
        <v>105</v>
      </c>
    </row>
    <row r="167" spans="1:15" ht="13.5" thickBot="1" x14ac:dyDescent="0.25">
      <c r="A167" s="21"/>
      <c r="B167" s="46" t="s">
        <v>90</v>
      </c>
      <c r="C167" s="47"/>
      <c r="D167" s="58"/>
      <c r="E167" s="59" t="s">
        <v>97</v>
      </c>
      <c r="F167" s="47"/>
      <c r="G167" s="48"/>
      <c r="I167" s="21"/>
      <c r="J167" s="46" t="s">
        <v>90</v>
      </c>
      <c r="K167" s="47"/>
      <c r="L167" s="58"/>
      <c r="M167" s="59" t="s">
        <v>97</v>
      </c>
      <c r="N167" s="47"/>
      <c r="O167" s="48"/>
    </row>
    <row r="168" spans="1:15" ht="13.5" thickTop="1" x14ac:dyDescent="0.2">
      <c r="A168" s="42" t="s">
        <v>146</v>
      </c>
      <c r="B168" s="331">
        <f>64/'voš_druh studia '!$C$77</f>
        <v>8.3583648948674424E-3</v>
      </c>
      <c r="C168" s="50">
        <f>54/'voš_druh studia '!$H$77</f>
        <v>8.4878968877711413E-3</v>
      </c>
      <c r="D168" s="60">
        <f>53/'voš_druh studia '!$I$77</f>
        <v>9.7265553312534409E-3</v>
      </c>
      <c r="E168" s="61">
        <f>1/'voš_druh studia '!$C$78</f>
        <v>2.3413720440177945E-4</v>
      </c>
      <c r="F168" s="50">
        <f>0/'voš_druh studia '!$H$78</f>
        <v>0</v>
      </c>
      <c r="G168" s="51">
        <f>0/'voš_druh studia '!$I$78</f>
        <v>0</v>
      </c>
      <c r="I168" s="42" t="s">
        <v>146</v>
      </c>
      <c r="J168" s="331">
        <v>2.8999999999999998E-3</v>
      </c>
      <c r="K168" s="50">
        <v>3.3E-3</v>
      </c>
      <c r="L168" s="60">
        <v>3.2000000000000002E-3</v>
      </c>
      <c r="M168" s="61">
        <v>6.9999999999999999E-4</v>
      </c>
      <c r="N168" s="50">
        <v>2.9999999999999997E-4</v>
      </c>
      <c r="O168" s="51">
        <v>4.0000000000000002E-4</v>
      </c>
    </row>
    <row r="169" spans="1:15" x14ac:dyDescent="0.2">
      <c r="A169" s="43">
        <v>19</v>
      </c>
      <c r="B169" s="261">
        <f>3101/'voš_druh studia '!$C$77</f>
        <v>0.404988899046624</v>
      </c>
      <c r="C169" s="53">
        <f>2516/'voš_druh studia '!$H$77</f>
        <v>0.39547312165985538</v>
      </c>
      <c r="D169" s="62">
        <f>2093/'voš_druh studia '!$I$77</f>
        <v>0.38410717562855567</v>
      </c>
      <c r="E169" s="321">
        <f>206/'voš_druh studia '!$C$78</f>
        <v>4.8232264106766565E-2</v>
      </c>
      <c r="F169" s="53">
        <f>133/'voš_druh studia '!$H$78</f>
        <v>4.1176470588235294E-2</v>
      </c>
      <c r="G169" s="54">
        <f>109/'voš_druh studia '!$I$78</f>
        <v>3.7860368183397011E-2</v>
      </c>
      <c r="I169" s="43">
        <v>19</v>
      </c>
      <c r="J169" s="261">
        <v>0.42070000000000002</v>
      </c>
      <c r="K169" s="53">
        <v>0.40849999999999997</v>
      </c>
      <c r="L169" s="62">
        <v>0.3997</v>
      </c>
      <c r="M169" s="321">
        <v>5.6300000000000003E-2</v>
      </c>
      <c r="N169" s="53">
        <v>4.5900000000000003E-2</v>
      </c>
      <c r="O169" s="54">
        <v>4.36E-2</v>
      </c>
    </row>
    <row r="170" spans="1:15" x14ac:dyDescent="0.2">
      <c r="A170" s="43">
        <v>20</v>
      </c>
      <c r="B170" s="261">
        <f>2054/'voš_druh studia '!$C$77</f>
        <v>0.26825127334465193</v>
      </c>
      <c r="C170" s="53">
        <f>1704/'voš_druh studia '!$H$77</f>
        <v>0.26784030179188933</v>
      </c>
      <c r="D170" s="62">
        <f>1441/'voš_druh studia '!$I$77</f>
        <v>0.26445219306294732</v>
      </c>
      <c r="E170" s="320">
        <f>329/'voš_druh studia '!$C$78</f>
        <v>7.7031140248185442E-2</v>
      </c>
      <c r="F170" s="53">
        <f>244/'voš_druh studia '!$H$78</f>
        <v>7.5541795665634681E-2</v>
      </c>
      <c r="G170" s="54">
        <f>200/'voš_druh studia '!$I$78</f>
        <v>6.9468565474122959E-2</v>
      </c>
      <c r="I170" s="43">
        <v>20</v>
      </c>
      <c r="J170" s="261">
        <v>0.26519999999999999</v>
      </c>
      <c r="K170" s="53">
        <v>0.26219999999999999</v>
      </c>
      <c r="L170" s="62">
        <v>0.26040000000000002</v>
      </c>
      <c r="M170" s="320">
        <v>8.1699999999999995E-2</v>
      </c>
      <c r="N170" s="53">
        <v>7.4499999999999997E-2</v>
      </c>
      <c r="O170" s="54">
        <v>7.3499999999999996E-2</v>
      </c>
    </row>
    <row r="171" spans="1:15" x14ac:dyDescent="0.2">
      <c r="A171" s="43">
        <v>21</v>
      </c>
      <c r="B171" s="261">
        <f>887/'voš_druh studia '!$C$77</f>
        <v>0.11584171346480344</v>
      </c>
      <c r="C171" s="53">
        <f>757/'voš_druh studia '!$H$77</f>
        <v>0.11898773970449544</v>
      </c>
      <c r="D171" s="62">
        <f>662/'voš_druh studia '!$I$77</f>
        <v>0.12149018168471279</v>
      </c>
      <c r="E171" s="320">
        <f>292/'voš_druh studia '!$C$78</f>
        <v>6.8368063685319599E-2</v>
      </c>
      <c r="F171" s="53">
        <f>207/'voš_druh studia '!$H$78</f>
        <v>6.408668730650155E-2</v>
      </c>
      <c r="G171" s="54">
        <f>183/'voš_druh studia '!$I$78</f>
        <v>6.3563737408822513E-2</v>
      </c>
      <c r="I171" s="43">
        <v>21</v>
      </c>
      <c r="J171" s="261">
        <v>0.11210000000000001</v>
      </c>
      <c r="K171" s="53">
        <v>0.1147</v>
      </c>
      <c r="L171" s="62">
        <v>0.11600000000000001</v>
      </c>
      <c r="M171" s="320">
        <v>7.2900000000000006E-2</v>
      </c>
      <c r="N171" s="53">
        <v>7.0400000000000004E-2</v>
      </c>
      <c r="O171" s="54">
        <v>6.9500000000000006E-2</v>
      </c>
    </row>
    <row r="172" spans="1:15" x14ac:dyDescent="0.2">
      <c r="A172" s="43">
        <v>22</v>
      </c>
      <c r="B172" s="261">
        <f>519/'voš_druh studia '!$C$77</f>
        <v>6.778111531931566E-2</v>
      </c>
      <c r="C172" s="53">
        <f>439/'voš_druh studia '!$H$77</f>
        <v>6.9003458032065382E-2</v>
      </c>
      <c r="D172" s="62">
        <f>386/'voš_druh studia '!$I$77</f>
        <v>7.083868599743072E-2</v>
      </c>
      <c r="E172" s="320">
        <f>258/'voš_druh studia '!$C$78</f>
        <v>6.0407398735659097E-2</v>
      </c>
      <c r="F172" s="53">
        <f>203/'voš_druh studia '!$H$78</f>
        <v>6.2848297213622298E-2</v>
      </c>
      <c r="G172" s="54">
        <f>173/'voš_druh studia '!$I$78</f>
        <v>6.0090309135116357E-2</v>
      </c>
      <c r="I172" s="43">
        <v>22</v>
      </c>
      <c r="J172" s="261">
        <v>6.3100000000000003E-2</v>
      </c>
      <c r="K172" s="53">
        <v>6.6199999999999995E-2</v>
      </c>
      <c r="L172" s="62">
        <v>6.8199999999999997E-2</v>
      </c>
      <c r="M172" s="320">
        <v>6.1199999999999997E-2</v>
      </c>
      <c r="N172" s="53">
        <v>6.1499999999999999E-2</v>
      </c>
      <c r="O172" s="54">
        <v>6.1199999999999997E-2</v>
      </c>
    </row>
    <row r="173" spans="1:15" x14ac:dyDescent="0.2">
      <c r="A173" s="43">
        <v>23</v>
      </c>
      <c r="B173" s="261">
        <f>354/'voš_druh studia '!$C$77</f>
        <v>4.6232205824735535E-2</v>
      </c>
      <c r="C173" s="53">
        <f>313/'voš_druh studia '!$H$77</f>
        <v>4.9198365293932726E-2</v>
      </c>
      <c r="D173" s="62">
        <f>281/'voš_druh studia '!$I$77</f>
        <v>5.1569095246834284E-2</v>
      </c>
      <c r="E173" s="320">
        <f>267/'voš_druh studia '!$C$78</f>
        <v>6.2514633575275105E-2</v>
      </c>
      <c r="F173" s="53">
        <f>193/'voš_druh studia '!$H$78</f>
        <v>5.9752321981424147E-2</v>
      </c>
      <c r="G173" s="54">
        <f>164/'voš_druh studia '!$I$78</f>
        <v>5.6964223688780825E-2</v>
      </c>
      <c r="I173" s="43">
        <v>23</v>
      </c>
      <c r="J173" s="261">
        <v>4.7100000000000003E-2</v>
      </c>
      <c r="K173" s="53">
        <v>5.11E-2</v>
      </c>
      <c r="L173" s="62">
        <v>5.3199999999999997E-2</v>
      </c>
      <c r="M173" s="320">
        <v>6.3E-2</v>
      </c>
      <c r="N173" s="53">
        <v>6.5600000000000006E-2</v>
      </c>
      <c r="O173" s="54">
        <v>6.6600000000000006E-2</v>
      </c>
    </row>
    <row r="174" spans="1:15" x14ac:dyDescent="0.2">
      <c r="A174" s="43">
        <v>24</v>
      </c>
      <c r="B174" s="261">
        <f>236/'voš_druh studia '!$C$77</f>
        <v>3.082147054982369E-2</v>
      </c>
      <c r="C174" s="53">
        <f>205/'voš_druh studia '!$H$77</f>
        <v>3.222257151839044E-2</v>
      </c>
      <c r="D174" s="62">
        <f>191/'voš_druh studia '!$I$77</f>
        <v>3.5052303174894474E-2</v>
      </c>
      <c r="E174" s="320">
        <f>252/'voš_druh studia '!$C$78</f>
        <v>5.9002575509248423E-2</v>
      </c>
      <c r="F174" s="53">
        <f>187/'voš_druh studia '!$H$78</f>
        <v>5.7894736842105263E-2</v>
      </c>
      <c r="G174" s="54">
        <f>164/'voš_druh studia '!$I$78</f>
        <v>5.6964223688780825E-2</v>
      </c>
      <c r="I174" s="43">
        <v>24</v>
      </c>
      <c r="J174" s="261">
        <v>2.9700000000000001E-2</v>
      </c>
      <c r="K174" s="53">
        <v>3.2199999999999999E-2</v>
      </c>
      <c r="L174" s="62">
        <v>3.4000000000000002E-2</v>
      </c>
      <c r="M174" s="320">
        <v>5.5800000000000002E-2</v>
      </c>
      <c r="N174" s="53">
        <v>5.9200000000000003E-2</v>
      </c>
      <c r="O174" s="54">
        <v>5.8299999999999998E-2</v>
      </c>
    </row>
    <row r="175" spans="1:15" x14ac:dyDescent="0.2">
      <c r="A175" s="43">
        <v>25</v>
      </c>
      <c r="B175" s="261">
        <f>122/'voš_druh studia '!$C$77</f>
        <v>1.5933133080841062E-2</v>
      </c>
      <c r="C175" s="53">
        <f>105/'voš_druh studia '!$H$77</f>
        <v>1.6504243948443884E-2</v>
      </c>
      <c r="D175" s="62">
        <f>101/'voš_druh studia '!$I$77</f>
        <v>1.853551110295467E-2</v>
      </c>
      <c r="E175" s="320">
        <f>201/'voš_druh studia '!$C$78</f>
        <v>4.7061578084757666E-2</v>
      </c>
      <c r="F175" s="53">
        <f>151/'voš_druh studia '!$H$78</f>
        <v>4.6749226006191948E-2</v>
      </c>
      <c r="G175" s="54">
        <f>139/'voš_druh studia '!$I$78</f>
        <v>4.8280653004515457E-2</v>
      </c>
      <c r="I175" s="43">
        <v>25</v>
      </c>
      <c r="J175" s="261">
        <v>2.01E-2</v>
      </c>
      <c r="K175" s="53">
        <v>2.1999999999999999E-2</v>
      </c>
      <c r="L175" s="62">
        <v>2.3900000000000001E-2</v>
      </c>
      <c r="M175" s="320">
        <v>4.3799999999999999E-2</v>
      </c>
      <c r="N175" s="53">
        <v>4.1700000000000001E-2</v>
      </c>
      <c r="O175" s="54">
        <v>4.1399999999999999E-2</v>
      </c>
    </row>
    <row r="176" spans="1:15" x14ac:dyDescent="0.2">
      <c r="A176" s="43">
        <v>26</v>
      </c>
      <c r="B176" s="261">
        <f>33/'voš_druh studia '!$C$77</f>
        <v>4.3097818989160245E-3</v>
      </c>
      <c r="C176" s="53">
        <f>24/'voš_druh studia '!$H$77</f>
        <v>3.772398616787174E-3</v>
      </c>
      <c r="D176" s="62">
        <f>23/'voš_druh studia '!$I$77</f>
        <v>4.2209579739401724E-3</v>
      </c>
      <c r="E176" s="320">
        <f>182/'voš_druh studia '!$C$78</f>
        <v>4.261297120112386E-2</v>
      </c>
      <c r="F176" s="53">
        <f>139/'voš_druh studia '!$H$78</f>
        <v>4.3034055727554178E-2</v>
      </c>
      <c r="G176" s="54">
        <f>119/'voš_druh studia '!$I$78</f>
        <v>4.133379645710316E-2</v>
      </c>
      <c r="I176" s="43">
        <v>26</v>
      </c>
      <c r="J176" s="261">
        <v>4.4000000000000003E-3</v>
      </c>
      <c r="K176" s="53">
        <v>3.5999999999999999E-3</v>
      </c>
      <c r="L176" s="62">
        <v>3.5999999999999999E-3</v>
      </c>
      <c r="M176" s="320">
        <v>3.09E-2</v>
      </c>
      <c r="N176" s="53">
        <v>3.1199999999999999E-2</v>
      </c>
      <c r="O176" s="54">
        <v>3.3099999999999997E-2</v>
      </c>
    </row>
    <row r="177" spans="1:15" x14ac:dyDescent="0.2">
      <c r="A177" s="43">
        <v>27</v>
      </c>
      <c r="B177" s="261">
        <f>32/'voš_druh studia '!$C$77</f>
        <v>4.1791824474337212E-3</v>
      </c>
      <c r="C177" s="53">
        <f>25/'voš_druh studia '!$H$77</f>
        <v>3.9295818924866398E-3</v>
      </c>
      <c r="D177" s="62">
        <f>22/'voš_druh studia '!$I$77</f>
        <v>4.0374380620297303E-3</v>
      </c>
      <c r="E177" s="320">
        <f>177/'voš_druh studia '!$C$78</f>
        <v>4.1442285179114961E-2</v>
      </c>
      <c r="F177" s="53">
        <f>129/'voš_druh studia '!$H$78</f>
        <v>3.9938080495356035E-2</v>
      </c>
      <c r="G177" s="54">
        <f>119/'voš_druh studia '!$I$78</f>
        <v>4.133379645710316E-2</v>
      </c>
      <c r="I177" s="43">
        <v>27</v>
      </c>
      <c r="J177" s="261">
        <v>4.4999999999999997E-3</v>
      </c>
      <c r="K177" s="53">
        <v>4.4999999999999997E-3</v>
      </c>
      <c r="L177" s="62">
        <v>4.8999999999999998E-3</v>
      </c>
      <c r="M177" s="320">
        <v>3.9600000000000003E-2</v>
      </c>
      <c r="N177" s="53">
        <v>4.0399999999999998E-2</v>
      </c>
      <c r="O177" s="54">
        <v>0.04</v>
      </c>
    </row>
    <row r="178" spans="1:15" x14ac:dyDescent="0.2">
      <c r="A178" s="43">
        <v>28</v>
      </c>
      <c r="B178" s="261">
        <f>27/'voš_druh studia '!$C$77</f>
        <v>3.5261851900222018E-3</v>
      </c>
      <c r="C178" s="53">
        <f>22/'voš_druh studia '!$H$77</f>
        <v>3.4580320653882428E-3</v>
      </c>
      <c r="D178" s="62">
        <f>21/'voš_druh studia '!$I$77</f>
        <v>3.8539181501192881E-3</v>
      </c>
      <c r="E178" s="320">
        <f>162/'voš_druh studia '!$C$78</f>
        <v>3.7930227113088272E-2</v>
      </c>
      <c r="F178" s="53">
        <f>120/'voš_druh studia '!$H$78</f>
        <v>3.7151702786377708E-2</v>
      </c>
      <c r="G178" s="54">
        <f>109/'voš_druh studia '!$I$78</f>
        <v>3.7860368183397011E-2</v>
      </c>
      <c r="I178" s="43">
        <v>28</v>
      </c>
      <c r="J178" s="261">
        <v>3.2000000000000002E-3</v>
      </c>
      <c r="K178" s="53">
        <v>3.0999999999999999E-3</v>
      </c>
      <c r="L178" s="62">
        <v>3.5999999999999999E-3</v>
      </c>
      <c r="M178" s="320">
        <v>3.5799999999999998E-2</v>
      </c>
      <c r="N178" s="53">
        <v>3.4700000000000002E-2</v>
      </c>
      <c r="O178" s="54">
        <v>3.1699999999999999E-2</v>
      </c>
    </row>
    <row r="179" spans="1:15" x14ac:dyDescent="0.2">
      <c r="A179" s="43">
        <v>29</v>
      </c>
      <c r="B179" s="261">
        <f>19/'voš_druh studia '!$C$77</f>
        <v>2.4813895781637717E-3</v>
      </c>
      <c r="C179" s="53">
        <f>18/'voš_druh studia '!$H$77</f>
        <v>2.8292989625903803E-3</v>
      </c>
      <c r="D179" s="62">
        <f>18/'voš_druh studia '!$I$77</f>
        <v>3.3033584143879612E-3</v>
      </c>
      <c r="E179" s="320">
        <f>130/'voš_druh studia '!$C$78</f>
        <v>3.0437836572231328E-2</v>
      </c>
      <c r="F179" s="53">
        <f>98/'voš_druh studia '!$H$78</f>
        <v>3.0340557275541795E-2</v>
      </c>
      <c r="G179" s="54">
        <f>92/'voš_druh studia '!$I$78</f>
        <v>3.1955540118096558E-2</v>
      </c>
      <c r="I179" s="43">
        <v>29</v>
      </c>
      <c r="J179" s="261">
        <v>2.5000000000000001E-3</v>
      </c>
      <c r="K179" s="53">
        <v>2.3999999999999998E-3</v>
      </c>
      <c r="L179" s="62">
        <v>2.5999999999999999E-3</v>
      </c>
      <c r="M179" s="320">
        <v>3.39E-2</v>
      </c>
      <c r="N179" s="53">
        <v>3.4099999999999998E-2</v>
      </c>
      <c r="O179" s="54">
        <v>3.49E-2</v>
      </c>
    </row>
    <row r="180" spans="1:15" x14ac:dyDescent="0.2">
      <c r="A180" s="44" t="s">
        <v>25</v>
      </c>
      <c r="B180" s="264">
        <f>209/'voš_druh studia '!$C$77</f>
        <v>2.729528535980149E-2</v>
      </c>
      <c r="C180" s="56">
        <f>180/'voš_druh studia '!$H$77</f>
        <v>2.8292989625903806E-2</v>
      </c>
      <c r="D180" s="64">
        <f>157/'voš_druh studia '!$I$77</f>
        <v>2.8812626169939438E-2</v>
      </c>
      <c r="E180" s="250">
        <f>1814/'voš_druh studia '!$C$78</f>
        <v>0.42472488878482789</v>
      </c>
      <c r="F180" s="56">
        <f>1426/'voš_druh studia '!$H$78</f>
        <v>0.44148606811145513</v>
      </c>
      <c r="G180" s="57">
        <f>1308/'voš_druh studia '!$I$78</f>
        <v>0.45432441820076414</v>
      </c>
      <c r="I180" s="44" t="s">
        <v>25</v>
      </c>
      <c r="J180" s="264">
        <v>2.4400000000000002E-2</v>
      </c>
      <c r="K180" s="56">
        <v>2.5999999999999999E-2</v>
      </c>
      <c r="L180" s="64">
        <v>2.6499999999999999E-2</v>
      </c>
      <c r="M180" s="250">
        <v>0.4244</v>
      </c>
      <c r="N180" s="56">
        <v>0.44040000000000001</v>
      </c>
      <c r="O180" s="57">
        <v>0.44579999999999997</v>
      </c>
    </row>
    <row r="181" spans="1:15" ht="13.5" thickBot="1" x14ac:dyDescent="0.25">
      <c r="A181" s="22" t="s">
        <v>26</v>
      </c>
      <c r="B181" s="212">
        <v>20.779</v>
      </c>
      <c r="C181" s="213">
        <v>20.825199999999999</v>
      </c>
      <c r="D181" s="214">
        <v>20.9024</v>
      </c>
      <c r="E181" s="215">
        <v>30.0047</v>
      </c>
      <c r="F181" s="213">
        <v>30.368400000000001</v>
      </c>
      <c r="G181" s="216">
        <v>30.592600000000001</v>
      </c>
      <c r="I181" s="22" t="s">
        <v>26</v>
      </c>
      <c r="J181" s="212">
        <v>19.986000000000001</v>
      </c>
      <c r="K181" s="213">
        <v>20.242699999999999</v>
      </c>
      <c r="L181" s="214">
        <v>20.276800000000001</v>
      </c>
      <c r="M181" s="215">
        <v>29.5305</v>
      </c>
      <c r="N181" s="213">
        <v>30.1007</v>
      </c>
      <c r="O181" s="216">
        <v>30.315799999999999</v>
      </c>
    </row>
    <row r="182" spans="1:15" ht="13.5" thickTop="1" x14ac:dyDescent="0.2"/>
    <row r="183" spans="1:15" ht="13.5" thickBot="1" x14ac:dyDescent="0.25">
      <c r="A183" s="19" t="s">
        <v>150</v>
      </c>
      <c r="B183" s="252"/>
      <c r="C183" s="252"/>
      <c r="D183" s="252"/>
      <c r="E183" s="252"/>
      <c r="F183" s="252"/>
      <c r="G183" s="252"/>
      <c r="I183" s="19" t="s">
        <v>152</v>
      </c>
      <c r="J183" s="252"/>
      <c r="K183" s="252"/>
      <c r="L183" s="252"/>
      <c r="M183" s="252"/>
      <c r="N183" s="252"/>
      <c r="O183" s="252"/>
    </row>
    <row r="184" spans="1:15" ht="51.75" thickTop="1" x14ac:dyDescent="0.2">
      <c r="A184" s="20" t="s">
        <v>151</v>
      </c>
      <c r="B184" s="405" t="s">
        <v>103</v>
      </c>
      <c r="C184" s="406" t="s">
        <v>104</v>
      </c>
      <c r="D184" s="407" t="s">
        <v>105</v>
      </c>
      <c r="E184" s="408" t="s">
        <v>103</v>
      </c>
      <c r="F184" s="406" t="s">
        <v>104</v>
      </c>
      <c r="G184" s="409" t="s">
        <v>105</v>
      </c>
      <c r="I184" s="20" t="s">
        <v>153</v>
      </c>
      <c r="J184" s="405" t="s">
        <v>103</v>
      </c>
      <c r="K184" s="406" t="s">
        <v>104</v>
      </c>
      <c r="L184" s="407" t="s">
        <v>105</v>
      </c>
      <c r="M184" s="408" t="s">
        <v>103</v>
      </c>
      <c r="N184" s="406" t="s">
        <v>104</v>
      </c>
      <c r="O184" s="409" t="s">
        <v>105</v>
      </c>
    </row>
    <row r="185" spans="1:15" ht="13.5" thickBot="1" x14ac:dyDescent="0.25">
      <c r="A185" s="21"/>
      <c r="B185" s="46" t="s">
        <v>90</v>
      </c>
      <c r="C185" s="47"/>
      <c r="D185" s="58"/>
      <c r="E185" s="59" t="s">
        <v>97</v>
      </c>
      <c r="F185" s="47"/>
      <c r="G185" s="48"/>
      <c r="I185" s="21"/>
      <c r="J185" s="46" t="s">
        <v>90</v>
      </c>
      <c r="K185" s="47"/>
      <c r="L185" s="58"/>
      <c r="M185" s="59" t="s">
        <v>97</v>
      </c>
      <c r="N185" s="47"/>
      <c r="O185" s="48"/>
    </row>
    <row r="186" spans="1:15" ht="13.5" thickTop="1" x14ac:dyDescent="0.2">
      <c r="A186" s="42" t="s">
        <v>146</v>
      </c>
      <c r="B186" s="331">
        <v>2.8999999999999998E-3</v>
      </c>
      <c r="C186" s="50">
        <v>3.3E-3</v>
      </c>
      <c r="D186" s="60">
        <v>3.2000000000000002E-3</v>
      </c>
      <c r="E186" s="61">
        <v>6.9999999999999999E-4</v>
      </c>
      <c r="F186" s="50">
        <v>2.9999999999999997E-4</v>
      </c>
      <c r="G186" s="51">
        <v>4.0000000000000002E-4</v>
      </c>
      <c r="I186" s="42" t="s">
        <v>146</v>
      </c>
      <c r="J186" s="331">
        <v>4.8999999999999998E-3</v>
      </c>
      <c r="K186" s="50">
        <v>4.5999999999999999E-3</v>
      </c>
      <c r="L186" s="60">
        <v>4.8999999999999998E-3</v>
      </c>
      <c r="M186" s="61">
        <v>6.9999999999999999E-4</v>
      </c>
      <c r="N186" s="50">
        <v>5.9999999999999995E-4</v>
      </c>
      <c r="O186" s="51">
        <v>6.9999999999999999E-4</v>
      </c>
    </row>
    <row r="187" spans="1:15" x14ac:dyDescent="0.2">
      <c r="A187" s="43">
        <v>19</v>
      </c>
      <c r="B187" s="261">
        <v>0.42070000000000002</v>
      </c>
      <c r="C187" s="53">
        <v>0.40849999999999997</v>
      </c>
      <c r="D187" s="62">
        <v>0.3997</v>
      </c>
      <c r="E187" s="321">
        <v>5.6300000000000003E-2</v>
      </c>
      <c r="F187" s="53">
        <v>4.5900000000000003E-2</v>
      </c>
      <c r="G187" s="54">
        <v>4.36E-2</v>
      </c>
      <c r="I187" s="43">
        <v>19</v>
      </c>
      <c r="J187" s="261">
        <v>0.43380000000000002</v>
      </c>
      <c r="K187" s="53">
        <v>0.42930000000000001</v>
      </c>
      <c r="L187" s="62">
        <v>0.4163</v>
      </c>
      <c r="M187" s="321">
        <v>6.5299999999999997E-2</v>
      </c>
      <c r="N187" s="53">
        <v>5.8500000000000003E-2</v>
      </c>
      <c r="O187" s="54">
        <v>4.87E-2</v>
      </c>
    </row>
    <row r="188" spans="1:15" x14ac:dyDescent="0.2">
      <c r="A188" s="43">
        <v>20</v>
      </c>
      <c r="B188" s="261">
        <v>0.26519999999999999</v>
      </c>
      <c r="C188" s="53">
        <v>0.26219999999999999</v>
      </c>
      <c r="D188" s="62">
        <v>0.26040000000000002</v>
      </c>
      <c r="E188" s="320">
        <v>8.1699999999999995E-2</v>
      </c>
      <c r="F188" s="53">
        <v>7.4499999999999997E-2</v>
      </c>
      <c r="G188" s="54">
        <v>7.3499999999999996E-2</v>
      </c>
      <c r="I188" s="43">
        <v>20</v>
      </c>
      <c r="J188" s="261">
        <v>0.26750000000000002</v>
      </c>
      <c r="K188" s="53">
        <v>0.26650000000000001</v>
      </c>
      <c r="L188" s="62">
        <v>0.26679999999999998</v>
      </c>
      <c r="M188" s="320">
        <v>7.7299999999999994E-2</v>
      </c>
      <c r="N188" s="53">
        <v>7.3099999999999998E-2</v>
      </c>
      <c r="O188" s="54">
        <v>7.2800000000000004E-2</v>
      </c>
    </row>
    <row r="189" spans="1:15" x14ac:dyDescent="0.2">
      <c r="A189" s="43">
        <v>21</v>
      </c>
      <c r="B189" s="261">
        <v>0.11210000000000001</v>
      </c>
      <c r="C189" s="53">
        <v>0.1147</v>
      </c>
      <c r="D189" s="62">
        <v>0.11600000000000001</v>
      </c>
      <c r="E189" s="320">
        <v>7.2900000000000006E-2</v>
      </c>
      <c r="F189" s="53">
        <v>7.0400000000000004E-2</v>
      </c>
      <c r="G189" s="54">
        <v>6.9500000000000006E-2</v>
      </c>
      <c r="I189" s="43">
        <v>21</v>
      </c>
      <c r="J189" s="261">
        <v>0.1072</v>
      </c>
      <c r="K189" s="53">
        <v>0.10829999999999999</v>
      </c>
      <c r="L189" s="62">
        <v>0.1109</v>
      </c>
      <c r="M189" s="320">
        <v>6.5799999999999997E-2</v>
      </c>
      <c r="N189" s="53">
        <v>6.13E-2</v>
      </c>
      <c r="O189" s="54">
        <v>6.2899999999999998E-2</v>
      </c>
    </row>
    <row r="190" spans="1:15" x14ac:dyDescent="0.2">
      <c r="A190" s="43">
        <v>22</v>
      </c>
      <c r="B190" s="261">
        <v>6.3100000000000003E-2</v>
      </c>
      <c r="C190" s="53">
        <v>6.6199999999999995E-2</v>
      </c>
      <c r="D190" s="62">
        <v>6.8199999999999997E-2</v>
      </c>
      <c r="E190" s="320">
        <v>6.1199999999999997E-2</v>
      </c>
      <c r="F190" s="53">
        <v>6.1499999999999999E-2</v>
      </c>
      <c r="G190" s="54">
        <v>6.1199999999999997E-2</v>
      </c>
      <c r="I190" s="43">
        <v>22</v>
      </c>
      <c r="J190" s="261">
        <v>5.8900000000000001E-2</v>
      </c>
      <c r="K190" s="53">
        <v>0.06</v>
      </c>
      <c r="L190" s="62">
        <v>6.1899999999999997E-2</v>
      </c>
      <c r="M190" s="320">
        <v>4.8599999999999997E-2</v>
      </c>
      <c r="N190" s="53">
        <v>4.7300000000000002E-2</v>
      </c>
      <c r="O190" s="54">
        <v>4.6300000000000001E-2</v>
      </c>
    </row>
    <row r="191" spans="1:15" x14ac:dyDescent="0.2">
      <c r="A191" s="43">
        <v>23</v>
      </c>
      <c r="B191" s="261">
        <v>4.7100000000000003E-2</v>
      </c>
      <c r="C191" s="53">
        <v>5.11E-2</v>
      </c>
      <c r="D191" s="62">
        <v>5.3199999999999997E-2</v>
      </c>
      <c r="E191" s="320">
        <v>6.3E-2</v>
      </c>
      <c r="F191" s="53">
        <v>6.5600000000000006E-2</v>
      </c>
      <c r="G191" s="54">
        <v>6.6600000000000006E-2</v>
      </c>
      <c r="I191" s="43">
        <v>23</v>
      </c>
      <c r="J191" s="261">
        <v>4.1000000000000002E-2</v>
      </c>
      <c r="K191" s="53">
        <v>4.2700000000000002E-2</v>
      </c>
      <c r="L191" s="62">
        <v>4.5600000000000002E-2</v>
      </c>
      <c r="M191" s="320">
        <v>5.5800000000000002E-2</v>
      </c>
      <c r="N191" s="53">
        <v>5.45E-2</v>
      </c>
      <c r="O191" s="54">
        <v>5.2600000000000001E-2</v>
      </c>
    </row>
    <row r="192" spans="1:15" x14ac:dyDescent="0.2">
      <c r="A192" s="43">
        <v>24</v>
      </c>
      <c r="B192" s="261">
        <v>2.9700000000000001E-2</v>
      </c>
      <c r="C192" s="53">
        <v>3.2199999999999999E-2</v>
      </c>
      <c r="D192" s="62">
        <v>3.4000000000000002E-2</v>
      </c>
      <c r="E192" s="320">
        <v>5.5800000000000002E-2</v>
      </c>
      <c r="F192" s="53">
        <v>5.9200000000000003E-2</v>
      </c>
      <c r="G192" s="54">
        <v>5.8299999999999998E-2</v>
      </c>
      <c r="I192" s="43">
        <v>24</v>
      </c>
      <c r="J192" s="261">
        <v>3.1600000000000003E-2</v>
      </c>
      <c r="K192" s="53">
        <v>3.4299999999999997E-2</v>
      </c>
      <c r="L192" s="62">
        <v>3.7199999999999997E-2</v>
      </c>
      <c r="M192" s="320">
        <v>4.1599999999999998E-2</v>
      </c>
      <c r="N192" s="53">
        <v>4.4499999999999998E-2</v>
      </c>
      <c r="O192" s="54">
        <v>4.2700000000000002E-2</v>
      </c>
    </row>
    <row r="193" spans="1:15" x14ac:dyDescent="0.2">
      <c r="A193" s="43">
        <v>25</v>
      </c>
      <c r="B193" s="261">
        <v>2.01E-2</v>
      </c>
      <c r="C193" s="53">
        <v>2.1999999999999999E-2</v>
      </c>
      <c r="D193" s="62">
        <v>2.3900000000000001E-2</v>
      </c>
      <c r="E193" s="320">
        <v>4.3799999999999999E-2</v>
      </c>
      <c r="F193" s="53">
        <v>4.1700000000000001E-2</v>
      </c>
      <c r="G193" s="54">
        <v>4.1399999999999999E-2</v>
      </c>
      <c r="I193" s="43">
        <v>25</v>
      </c>
      <c r="J193" s="261">
        <v>1.15E-2</v>
      </c>
      <c r="K193" s="53">
        <v>1.2800000000000001E-2</v>
      </c>
      <c r="L193" s="62">
        <v>1.41E-2</v>
      </c>
      <c r="M193" s="320">
        <v>3.7999999999999999E-2</v>
      </c>
      <c r="N193" s="53">
        <v>3.5499999999999997E-2</v>
      </c>
      <c r="O193" s="54">
        <v>3.5999999999999997E-2</v>
      </c>
    </row>
    <row r="194" spans="1:15" x14ac:dyDescent="0.2">
      <c r="A194" s="43">
        <v>26</v>
      </c>
      <c r="B194" s="261">
        <v>4.4000000000000003E-3</v>
      </c>
      <c r="C194" s="53">
        <v>3.5999999999999999E-3</v>
      </c>
      <c r="D194" s="62">
        <v>3.5999999999999999E-3</v>
      </c>
      <c r="E194" s="320">
        <v>3.09E-2</v>
      </c>
      <c r="F194" s="53">
        <v>3.1199999999999999E-2</v>
      </c>
      <c r="G194" s="54">
        <v>3.3099999999999997E-2</v>
      </c>
      <c r="I194" s="43">
        <v>26</v>
      </c>
      <c r="J194" s="261">
        <v>5.1000000000000004E-3</v>
      </c>
      <c r="K194" s="53">
        <v>4.3E-3</v>
      </c>
      <c r="L194" s="62">
        <v>4.0000000000000001E-3</v>
      </c>
      <c r="M194" s="320">
        <v>4.02E-2</v>
      </c>
      <c r="N194" s="53">
        <v>4.0800000000000003E-2</v>
      </c>
      <c r="O194" s="54">
        <v>3.85E-2</v>
      </c>
    </row>
    <row r="195" spans="1:15" x14ac:dyDescent="0.2">
      <c r="A195" s="43">
        <v>27</v>
      </c>
      <c r="B195" s="261">
        <v>4.4999999999999997E-3</v>
      </c>
      <c r="C195" s="53">
        <v>4.4999999999999997E-3</v>
      </c>
      <c r="D195" s="62">
        <v>4.8999999999999998E-3</v>
      </c>
      <c r="E195" s="320">
        <v>3.9600000000000003E-2</v>
      </c>
      <c r="F195" s="53">
        <v>4.0399999999999998E-2</v>
      </c>
      <c r="G195" s="54">
        <v>0.04</v>
      </c>
      <c r="I195" s="43">
        <v>27</v>
      </c>
      <c r="J195" s="261">
        <v>2.3E-3</v>
      </c>
      <c r="K195" s="53">
        <v>2.0999999999999999E-3</v>
      </c>
      <c r="L195" s="62">
        <v>2.5000000000000001E-3</v>
      </c>
      <c r="M195" s="320">
        <v>3.7499999999999999E-2</v>
      </c>
      <c r="N195" s="53">
        <v>3.6700000000000003E-2</v>
      </c>
      <c r="O195" s="54">
        <v>3.9600000000000003E-2</v>
      </c>
    </row>
    <row r="196" spans="1:15" x14ac:dyDescent="0.2">
      <c r="A196" s="43">
        <v>28</v>
      </c>
      <c r="B196" s="261">
        <v>3.2000000000000002E-3</v>
      </c>
      <c r="C196" s="53">
        <v>3.0999999999999999E-3</v>
      </c>
      <c r="D196" s="62">
        <v>3.5999999999999999E-3</v>
      </c>
      <c r="E196" s="320">
        <v>3.5799999999999998E-2</v>
      </c>
      <c r="F196" s="53">
        <v>3.4700000000000002E-2</v>
      </c>
      <c r="G196" s="54">
        <v>3.1699999999999999E-2</v>
      </c>
      <c r="I196" s="43">
        <v>28</v>
      </c>
      <c r="J196" s="261">
        <v>2.8E-3</v>
      </c>
      <c r="K196" s="53">
        <v>2.8E-3</v>
      </c>
      <c r="L196" s="62">
        <v>2.8E-3</v>
      </c>
      <c r="M196" s="320">
        <v>3.3000000000000002E-2</v>
      </c>
      <c r="N196" s="53">
        <v>3.0800000000000001E-2</v>
      </c>
      <c r="O196" s="54">
        <v>3.2500000000000001E-2</v>
      </c>
    </row>
    <row r="197" spans="1:15" x14ac:dyDescent="0.2">
      <c r="A197" s="43">
        <v>29</v>
      </c>
      <c r="B197" s="261">
        <v>2.5000000000000001E-3</v>
      </c>
      <c r="C197" s="53">
        <v>2.3999999999999998E-3</v>
      </c>
      <c r="D197" s="62">
        <v>2.5999999999999999E-3</v>
      </c>
      <c r="E197" s="320">
        <v>3.39E-2</v>
      </c>
      <c r="F197" s="53">
        <v>3.4099999999999998E-2</v>
      </c>
      <c r="G197" s="54">
        <v>3.49E-2</v>
      </c>
      <c r="I197" s="43">
        <v>29</v>
      </c>
      <c r="J197" s="261">
        <v>4.1999999999999997E-3</v>
      </c>
      <c r="K197" s="53">
        <v>3.5999999999999999E-3</v>
      </c>
      <c r="L197" s="62">
        <v>3.5999999999999999E-3</v>
      </c>
      <c r="M197" s="320">
        <v>3.4799999999999998E-2</v>
      </c>
      <c r="N197" s="53">
        <v>3.49E-2</v>
      </c>
      <c r="O197" s="54">
        <v>3.6400000000000002E-2</v>
      </c>
    </row>
    <row r="198" spans="1:15" x14ac:dyDescent="0.2">
      <c r="A198" s="44" t="s">
        <v>25</v>
      </c>
      <c r="B198" s="264">
        <v>2.4400000000000002E-2</v>
      </c>
      <c r="C198" s="56">
        <v>2.5999999999999999E-2</v>
      </c>
      <c r="D198" s="64">
        <v>2.6499999999999999E-2</v>
      </c>
      <c r="E198" s="250">
        <v>0.4244</v>
      </c>
      <c r="F198" s="56">
        <v>0.44040000000000001</v>
      </c>
      <c r="G198" s="57">
        <v>0.44579999999999997</v>
      </c>
      <c r="I198" s="44" t="s">
        <v>25</v>
      </c>
      <c r="J198" s="264">
        <v>2.92E-2</v>
      </c>
      <c r="K198" s="56">
        <v>2.87E-2</v>
      </c>
      <c r="L198" s="64">
        <v>2.9399999999999999E-2</v>
      </c>
      <c r="M198" s="250">
        <v>0.46150000000000002</v>
      </c>
      <c r="N198" s="56">
        <v>0.48149999999999998</v>
      </c>
      <c r="O198" s="57">
        <v>0.49030000000000001</v>
      </c>
    </row>
    <row r="199" spans="1:15" ht="13.5" thickBot="1" x14ac:dyDescent="0.25">
      <c r="A199" s="22" t="s">
        <v>26</v>
      </c>
      <c r="B199" s="212">
        <v>20.587900000000001</v>
      </c>
      <c r="C199" s="213">
        <v>20.646000000000001</v>
      </c>
      <c r="D199" s="214">
        <v>20.715599999999998</v>
      </c>
      <c r="E199" s="215">
        <v>30.259499999999999</v>
      </c>
      <c r="F199" s="213">
        <v>30.628</v>
      </c>
      <c r="G199" s="216">
        <v>30.773900000000001</v>
      </c>
      <c r="I199" s="22" t="s">
        <v>26</v>
      </c>
      <c r="J199" s="212">
        <v>20.723400000000002</v>
      </c>
      <c r="K199" s="213">
        <v>20.727499999999999</v>
      </c>
      <c r="L199" s="214">
        <v>20.794499999999999</v>
      </c>
      <c r="M199" s="215">
        <v>30.604299999999999</v>
      </c>
      <c r="N199" s="213">
        <v>31.117999999999999</v>
      </c>
      <c r="O199" s="216">
        <v>31.342600000000001</v>
      </c>
    </row>
    <row r="200" spans="1:15" ht="13.5" thickTop="1" x14ac:dyDescent="0.2"/>
    <row r="201" spans="1:15" ht="13.5" thickBot="1" x14ac:dyDescent="0.25">
      <c r="A201" s="19" t="s">
        <v>154</v>
      </c>
      <c r="B201" s="252"/>
      <c r="C201" s="252"/>
      <c r="D201" s="252"/>
      <c r="E201" s="252"/>
      <c r="F201" s="252"/>
      <c r="G201" s="252"/>
      <c r="I201" s="19" t="s">
        <v>156</v>
      </c>
      <c r="J201" s="252"/>
      <c r="K201" s="252"/>
      <c r="L201" s="252"/>
      <c r="M201" s="252"/>
      <c r="N201" s="252"/>
      <c r="O201" s="252"/>
    </row>
    <row r="202" spans="1:15" ht="51.75" thickTop="1" x14ac:dyDescent="0.2">
      <c r="A202" s="20" t="s">
        <v>155</v>
      </c>
      <c r="B202" s="405" t="s">
        <v>103</v>
      </c>
      <c r="C202" s="406" t="s">
        <v>104</v>
      </c>
      <c r="D202" s="407" t="s">
        <v>105</v>
      </c>
      <c r="E202" s="408" t="s">
        <v>103</v>
      </c>
      <c r="F202" s="406" t="s">
        <v>104</v>
      </c>
      <c r="G202" s="409" t="s">
        <v>105</v>
      </c>
      <c r="I202" s="20" t="s">
        <v>155</v>
      </c>
      <c r="J202" s="405" t="s">
        <v>103</v>
      </c>
      <c r="K202" s="406" t="s">
        <v>104</v>
      </c>
      <c r="L202" s="407" t="s">
        <v>105</v>
      </c>
      <c r="M202" s="408" t="s">
        <v>103</v>
      </c>
      <c r="N202" s="406" t="s">
        <v>104</v>
      </c>
      <c r="O202" s="409" t="s">
        <v>105</v>
      </c>
    </row>
    <row r="203" spans="1:15" ht="13.5" thickBot="1" x14ac:dyDescent="0.25">
      <c r="A203" s="21"/>
      <c r="B203" s="46" t="s">
        <v>90</v>
      </c>
      <c r="C203" s="47"/>
      <c r="D203" s="58"/>
      <c r="E203" s="59" t="s">
        <v>97</v>
      </c>
      <c r="F203" s="47"/>
      <c r="G203" s="48"/>
      <c r="I203" s="21"/>
      <c r="J203" s="46" t="s">
        <v>90</v>
      </c>
      <c r="K203" s="47"/>
      <c r="L203" s="58"/>
      <c r="M203" s="59" t="s">
        <v>97</v>
      </c>
      <c r="N203" s="47"/>
      <c r="O203" s="48"/>
    </row>
    <row r="204" spans="1:15" ht="13.5" thickTop="1" x14ac:dyDescent="0.2">
      <c r="A204" s="42" t="s">
        <v>146</v>
      </c>
      <c r="B204" s="331">
        <v>3.5000000000000001E-3</v>
      </c>
      <c r="C204" s="50">
        <v>3.8E-3</v>
      </c>
      <c r="D204" s="60">
        <v>3.3999999999999998E-3</v>
      </c>
      <c r="E204" s="61">
        <v>5.0000000000000001E-4</v>
      </c>
      <c r="F204" s="50">
        <v>2.9999999999999997E-4</v>
      </c>
      <c r="G204" s="51">
        <v>2.9999999999999997E-4</v>
      </c>
      <c r="I204" s="42" t="s">
        <v>146</v>
      </c>
      <c r="J204" s="331">
        <v>4.8999999999999998E-3</v>
      </c>
      <c r="K204" s="50">
        <v>4.7000000000000002E-3</v>
      </c>
      <c r="L204" s="60">
        <v>4.4999999999999997E-3</v>
      </c>
      <c r="M204" s="61">
        <v>6.9999999999999999E-4</v>
      </c>
      <c r="N204" s="50">
        <v>2.9999999999999997E-4</v>
      </c>
      <c r="O204" s="51">
        <v>2.9999999999999997E-4</v>
      </c>
    </row>
    <row r="205" spans="1:15" x14ac:dyDescent="0.2">
      <c r="A205" s="43">
        <v>19</v>
      </c>
      <c r="B205" s="261">
        <v>0.44919999999999999</v>
      </c>
      <c r="C205" s="53">
        <v>0.44440000000000002</v>
      </c>
      <c r="D205" s="62">
        <v>0.42849999999999999</v>
      </c>
      <c r="E205" s="321">
        <v>7.5399999999999995E-2</v>
      </c>
      <c r="F205" s="53">
        <v>6.9900000000000004E-2</v>
      </c>
      <c r="G205" s="54">
        <v>6.2700000000000006E-2</v>
      </c>
      <c r="I205" s="43">
        <v>19</v>
      </c>
      <c r="J205" s="261">
        <v>0.43340000000000001</v>
      </c>
      <c r="K205" s="53">
        <v>0.42880000000000001</v>
      </c>
      <c r="L205" s="62">
        <v>0.4113</v>
      </c>
      <c r="M205" s="321">
        <v>7.0199999999999999E-2</v>
      </c>
      <c r="N205" s="53">
        <v>5.9200000000000003E-2</v>
      </c>
      <c r="O205" s="54">
        <v>4.6800000000000001E-2</v>
      </c>
    </row>
    <row r="206" spans="1:15" x14ac:dyDescent="0.2">
      <c r="A206" s="43">
        <v>20</v>
      </c>
      <c r="B206" s="261">
        <v>0.26879999999999998</v>
      </c>
      <c r="C206" s="53">
        <v>0.26979999999999998</v>
      </c>
      <c r="D206" s="62">
        <v>0.27260000000000001</v>
      </c>
      <c r="E206" s="320">
        <v>8.09E-2</v>
      </c>
      <c r="F206" s="53">
        <v>8.1100000000000005E-2</v>
      </c>
      <c r="G206" s="54">
        <v>7.6999999999999999E-2</v>
      </c>
      <c r="I206" s="43">
        <v>20</v>
      </c>
      <c r="J206" s="261">
        <v>0.26300000000000001</v>
      </c>
      <c r="K206" s="53">
        <v>0.26319999999999999</v>
      </c>
      <c r="L206" s="62">
        <v>0.26269999999999999</v>
      </c>
      <c r="M206" s="320">
        <v>8.3599999999999994E-2</v>
      </c>
      <c r="N206" s="53">
        <v>8.3599999999999994E-2</v>
      </c>
      <c r="O206" s="54">
        <v>7.9100000000000004E-2</v>
      </c>
    </row>
    <row r="207" spans="1:15" x14ac:dyDescent="0.2">
      <c r="A207" s="43">
        <v>21</v>
      </c>
      <c r="B207" s="261">
        <v>0.11409999999999999</v>
      </c>
      <c r="C207" s="53">
        <v>0.1174</v>
      </c>
      <c r="D207" s="62">
        <v>0.1226</v>
      </c>
      <c r="E207" s="320">
        <v>5.5899999999999998E-2</v>
      </c>
      <c r="F207" s="53">
        <v>5.3699999999999998E-2</v>
      </c>
      <c r="G207" s="54">
        <v>5.3800000000000001E-2</v>
      </c>
      <c r="I207" s="43">
        <v>21</v>
      </c>
      <c r="J207" s="261">
        <v>0.107</v>
      </c>
      <c r="K207" s="53">
        <v>0.1079</v>
      </c>
      <c r="L207" s="62">
        <v>0.1128</v>
      </c>
      <c r="M207" s="320">
        <v>6.6299999999999998E-2</v>
      </c>
      <c r="N207" s="53">
        <v>6.4799999999999996E-2</v>
      </c>
      <c r="O207" s="54">
        <v>6.5000000000000002E-2</v>
      </c>
    </row>
    <row r="208" spans="1:15" x14ac:dyDescent="0.2">
      <c r="A208" s="43">
        <v>22</v>
      </c>
      <c r="B208" s="261">
        <v>5.6099999999999997E-2</v>
      </c>
      <c r="C208" s="53">
        <v>5.6399999999999999E-2</v>
      </c>
      <c r="D208" s="62">
        <v>5.9799999999999999E-2</v>
      </c>
      <c r="E208" s="320">
        <v>5.7500000000000002E-2</v>
      </c>
      <c r="F208" s="53">
        <v>5.9700000000000003E-2</v>
      </c>
      <c r="G208" s="54">
        <v>6.08E-2</v>
      </c>
      <c r="I208" s="43">
        <v>22</v>
      </c>
      <c r="J208" s="261">
        <v>7.0900000000000005E-2</v>
      </c>
      <c r="K208" s="53">
        <v>7.2400000000000006E-2</v>
      </c>
      <c r="L208" s="62">
        <v>7.7799999999999994E-2</v>
      </c>
      <c r="M208" s="320">
        <v>5.45E-2</v>
      </c>
      <c r="N208" s="53">
        <v>5.1999999999999998E-2</v>
      </c>
      <c r="O208" s="54">
        <v>5.2900000000000003E-2</v>
      </c>
    </row>
    <row r="209" spans="1:15" x14ac:dyDescent="0.2">
      <c r="A209" s="43">
        <v>23</v>
      </c>
      <c r="B209" s="261">
        <v>3.8199999999999998E-2</v>
      </c>
      <c r="C209" s="53">
        <v>3.8300000000000001E-2</v>
      </c>
      <c r="D209" s="62">
        <v>3.9800000000000002E-2</v>
      </c>
      <c r="E209" s="320">
        <v>5.0299999999999997E-2</v>
      </c>
      <c r="F209" s="53">
        <v>4.9299999999999997E-2</v>
      </c>
      <c r="G209" s="54">
        <v>4.7199999999999999E-2</v>
      </c>
      <c r="I209" s="43">
        <v>23</v>
      </c>
      <c r="J209" s="261">
        <v>4.3900000000000002E-2</v>
      </c>
      <c r="K209" s="53">
        <v>4.4499999999999998E-2</v>
      </c>
      <c r="L209" s="62">
        <v>4.6600000000000003E-2</v>
      </c>
      <c r="M209" s="320">
        <v>4.65E-2</v>
      </c>
      <c r="N209" s="53">
        <v>4.9099999999999998E-2</v>
      </c>
      <c r="O209" s="54">
        <v>4.7699999999999999E-2</v>
      </c>
    </row>
    <row r="210" spans="1:15" x14ac:dyDescent="0.2">
      <c r="A210" s="43">
        <v>24</v>
      </c>
      <c r="B210" s="261">
        <v>2.4899999999999999E-2</v>
      </c>
      <c r="C210" s="53">
        <v>2.5499999999999998E-2</v>
      </c>
      <c r="D210" s="62">
        <v>2.7E-2</v>
      </c>
      <c r="E210" s="320">
        <v>5.0299999999999997E-2</v>
      </c>
      <c r="F210" s="53">
        <v>4.4600000000000001E-2</v>
      </c>
      <c r="G210" s="54">
        <v>4.65E-2</v>
      </c>
      <c r="I210" s="43">
        <v>24</v>
      </c>
      <c r="J210" s="261">
        <v>2.86E-2</v>
      </c>
      <c r="K210" s="53">
        <v>2.9899999999999999E-2</v>
      </c>
      <c r="L210" s="62">
        <v>3.2000000000000001E-2</v>
      </c>
      <c r="M210" s="320">
        <v>4.4400000000000002E-2</v>
      </c>
      <c r="N210" s="53">
        <v>4.0099999999999997E-2</v>
      </c>
      <c r="O210" s="54">
        <v>4.1000000000000002E-2</v>
      </c>
    </row>
    <row r="211" spans="1:15" x14ac:dyDescent="0.2">
      <c r="A211" s="43">
        <v>25</v>
      </c>
      <c r="B211" s="261">
        <v>1.32E-2</v>
      </c>
      <c r="C211" s="53">
        <v>1.37E-2</v>
      </c>
      <c r="D211" s="62">
        <v>1.47E-2</v>
      </c>
      <c r="E211" s="320">
        <v>3.9100000000000003E-2</v>
      </c>
      <c r="F211" s="53">
        <v>4.07E-2</v>
      </c>
      <c r="G211" s="54">
        <v>3.9199999999999999E-2</v>
      </c>
      <c r="I211" s="43">
        <v>25</v>
      </c>
      <c r="J211" s="261">
        <v>1.4500000000000001E-2</v>
      </c>
      <c r="K211" s="53">
        <v>1.5599999999999999E-2</v>
      </c>
      <c r="L211" s="62">
        <v>1.7299999999999999E-2</v>
      </c>
      <c r="M211" s="320">
        <v>3.6799999999999999E-2</v>
      </c>
      <c r="N211" s="53">
        <v>3.6600000000000001E-2</v>
      </c>
      <c r="O211" s="54">
        <v>3.6499999999999998E-2</v>
      </c>
    </row>
    <row r="212" spans="1:15" x14ac:dyDescent="0.2">
      <c r="A212" s="43">
        <v>26</v>
      </c>
      <c r="B212" s="261">
        <v>4.3E-3</v>
      </c>
      <c r="C212" s="53">
        <v>3.3999999999999998E-3</v>
      </c>
      <c r="D212" s="62">
        <v>3.3E-3</v>
      </c>
      <c r="E212" s="320">
        <v>3.5000000000000003E-2</v>
      </c>
      <c r="F212" s="53">
        <v>3.2599999999999997E-2</v>
      </c>
      <c r="G212" s="54">
        <v>3.2199999999999999E-2</v>
      </c>
      <c r="I212" s="43">
        <v>26</v>
      </c>
      <c r="J212" s="261">
        <v>3.7000000000000002E-3</v>
      </c>
      <c r="K212" s="53">
        <v>4.1000000000000003E-3</v>
      </c>
      <c r="L212" s="62">
        <v>3.8999999999999998E-3</v>
      </c>
      <c r="M212" s="320">
        <v>3.2099999999999997E-2</v>
      </c>
      <c r="N212" s="53">
        <v>0.03</v>
      </c>
      <c r="O212" s="54">
        <v>3.0099999999999998E-2</v>
      </c>
    </row>
    <row r="213" spans="1:15" x14ac:dyDescent="0.2">
      <c r="A213" s="43">
        <v>27</v>
      </c>
      <c r="B213" s="261">
        <v>2.5000000000000001E-3</v>
      </c>
      <c r="C213" s="53">
        <v>2.0999999999999999E-3</v>
      </c>
      <c r="D213" s="62">
        <v>2E-3</v>
      </c>
      <c r="E213" s="320">
        <v>3.5400000000000001E-2</v>
      </c>
      <c r="F213" s="53">
        <v>3.5200000000000002E-2</v>
      </c>
      <c r="G213" s="54">
        <v>3.5299999999999998E-2</v>
      </c>
      <c r="I213" s="43">
        <v>27</v>
      </c>
      <c r="J213" s="261">
        <v>3.5000000000000001E-3</v>
      </c>
      <c r="K213" s="53">
        <v>3.3E-3</v>
      </c>
      <c r="L213" s="62">
        <v>3.2000000000000002E-3</v>
      </c>
      <c r="M213" s="320">
        <v>3.0800000000000001E-2</v>
      </c>
      <c r="N213" s="53">
        <v>3.1899999999999998E-2</v>
      </c>
      <c r="O213" s="54">
        <v>3.0800000000000001E-2</v>
      </c>
    </row>
    <row r="214" spans="1:15" x14ac:dyDescent="0.2">
      <c r="A214" s="43">
        <v>28</v>
      </c>
      <c r="B214" s="261">
        <v>2.0999999999999999E-3</v>
      </c>
      <c r="C214" s="53">
        <v>2.0999999999999999E-3</v>
      </c>
      <c r="D214" s="62">
        <v>2.0999999999999999E-3</v>
      </c>
      <c r="E214" s="320">
        <v>3.5200000000000002E-2</v>
      </c>
      <c r="F214" s="53">
        <v>3.2899999999999999E-2</v>
      </c>
      <c r="G214" s="54">
        <v>3.3500000000000002E-2</v>
      </c>
      <c r="I214" s="43">
        <v>28</v>
      </c>
      <c r="J214" s="261">
        <v>2E-3</v>
      </c>
      <c r="K214" s="53">
        <v>1.6999999999999999E-3</v>
      </c>
      <c r="L214" s="62">
        <v>2E-3</v>
      </c>
      <c r="M214" s="320">
        <v>2.93E-2</v>
      </c>
      <c r="N214" s="53">
        <v>0.03</v>
      </c>
      <c r="O214" s="54">
        <v>3.04E-2</v>
      </c>
    </row>
    <row r="215" spans="1:15" x14ac:dyDescent="0.2">
      <c r="A215" s="43">
        <v>29</v>
      </c>
      <c r="B215" s="261">
        <v>1.8E-3</v>
      </c>
      <c r="C215" s="53">
        <v>1.6999999999999999E-3</v>
      </c>
      <c r="D215" s="62">
        <v>1.6000000000000001E-3</v>
      </c>
      <c r="E215" s="320">
        <v>3.5000000000000003E-2</v>
      </c>
      <c r="F215" s="53">
        <v>3.44E-2</v>
      </c>
      <c r="G215" s="54">
        <v>3.5000000000000003E-2</v>
      </c>
      <c r="I215" s="43">
        <v>29</v>
      </c>
      <c r="J215" s="261">
        <v>2.5999999999999999E-3</v>
      </c>
      <c r="K215" s="53">
        <v>2.5000000000000001E-3</v>
      </c>
      <c r="L215" s="62">
        <v>2.7000000000000001E-3</v>
      </c>
      <c r="M215" s="320">
        <v>3.1899999999999998E-2</v>
      </c>
      <c r="N215" s="53">
        <v>3.1099999999999999E-2</v>
      </c>
      <c r="O215" s="54">
        <v>3.1099999999999999E-2</v>
      </c>
    </row>
    <row r="216" spans="1:15" x14ac:dyDescent="0.2">
      <c r="A216" s="44" t="s">
        <v>25</v>
      </c>
      <c r="B216" s="264">
        <v>2.12E-2</v>
      </c>
      <c r="C216" s="56">
        <v>2.1399999999999999E-2</v>
      </c>
      <c r="D216" s="64">
        <v>2.24E-2</v>
      </c>
      <c r="E216" s="250">
        <v>0.44929999999999998</v>
      </c>
      <c r="F216" s="56">
        <v>0.46539999999999998</v>
      </c>
      <c r="G216" s="57">
        <v>0.47639999999999999</v>
      </c>
      <c r="I216" s="44" t="s">
        <v>25</v>
      </c>
      <c r="J216" s="264">
        <v>2.1899999999999999E-2</v>
      </c>
      <c r="K216" s="56">
        <v>2.1399999999999999E-2</v>
      </c>
      <c r="L216" s="64">
        <v>2.3099999999999999E-2</v>
      </c>
      <c r="M216" s="250">
        <v>0.47270000000000001</v>
      </c>
      <c r="N216" s="56">
        <v>0.4914</v>
      </c>
      <c r="O216" s="57">
        <v>0.50819999999999999</v>
      </c>
    </row>
    <row r="217" spans="1:15" ht="13.5" thickBot="1" x14ac:dyDescent="0.25">
      <c r="A217" s="22" t="s">
        <v>26</v>
      </c>
      <c r="B217" s="212">
        <v>20.523900000000001</v>
      </c>
      <c r="C217" s="213">
        <v>20.536999999999999</v>
      </c>
      <c r="D217" s="214">
        <v>20.596399999999999</v>
      </c>
      <c r="E217" s="215">
        <v>30.2789</v>
      </c>
      <c r="F217" s="213">
        <v>30.784500000000001</v>
      </c>
      <c r="G217" s="216">
        <v>31.037700000000001</v>
      </c>
      <c r="I217" s="22" t="s">
        <v>26</v>
      </c>
      <c r="J217" s="212">
        <v>20.596800000000002</v>
      </c>
      <c r="K217" s="213">
        <v>20.608000000000001</v>
      </c>
      <c r="L217" s="214">
        <v>20.7059</v>
      </c>
      <c r="M217" s="215">
        <v>30.555299999999999</v>
      </c>
      <c r="N217" s="213">
        <v>30.9788</v>
      </c>
      <c r="O217" s="216">
        <v>31.318200000000001</v>
      </c>
    </row>
    <row r="218" spans="1:15" ht="13.5" thickTop="1" x14ac:dyDescent="0.2"/>
    <row r="219" spans="1:15" ht="13.5" thickBot="1" x14ac:dyDescent="0.25">
      <c r="A219" s="19" t="s">
        <v>157</v>
      </c>
      <c r="B219" s="252"/>
      <c r="C219" s="252"/>
      <c r="D219" s="252"/>
      <c r="E219" s="252"/>
      <c r="F219" s="252"/>
      <c r="G219" s="252"/>
    </row>
    <row r="220" spans="1:15" ht="39" thickTop="1" x14ac:dyDescent="0.2">
      <c r="A220" s="20" t="s">
        <v>155</v>
      </c>
      <c r="B220" s="405" t="s">
        <v>103</v>
      </c>
      <c r="C220" s="406" t="s">
        <v>104</v>
      </c>
      <c r="D220" s="407" t="s">
        <v>105</v>
      </c>
      <c r="E220" s="408" t="s">
        <v>103</v>
      </c>
      <c r="F220" s="406" t="s">
        <v>104</v>
      </c>
      <c r="G220" s="409" t="s">
        <v>105</v>
      </c>
    </row>
    <row r="221" spans="1:15" ht="13.5" thickBot="1" x14ac:dyDescent="0.25">
      <c r="A221" s="21"/>
      <c r="B221" s="46" t="s">
        <v>90</v>
      </c>
      <c r="C221" s="47"/>
      <c r="D221" s="58"/>
      <c r="E221" s="59" t="s">
        <v>97</v>
      </c>
      <c r="F221" s="47"/>
      <c r="G221" s="48"/>
    </row>
    <row r="222" spans="1:15" ht="13.5" thickTop="1" x14ac:dyDescent="0.2">
      <c r="A222" s="42" t="s">
        <v>146</v>
      </c>
      <c r="B222" s="331">
        <v>4.5999999999999999E-3</v>
      </c>
      <c r="C222" s="50">
        <v>4.3E-3</v>
      </c>
      <c r="D222" s="60">
        <v>3.8E-3</v>
      </c>
      <c r="E222" s="61">
        <v>6.9999999999999999E-4</v>
      </c>
      <c r="F222" s="50">
        <v>5.0000000000000001E-4</v>
      </c>
      <c r="G222" s="51">
        <v>2.9999999999999997E-4</v>
      </c>
    </row>
    <row r="223" spans="1:15" x14ac:dyDescent="0.2">
      <c r="A223" s="43">
        <v>19</v>
      </c>
      <c r="B223" s="261">
        <v>0.46089999999999998</v>
      </c>
      <c r="C223" s="53">
        <v>0.45679999999999998</v>
      </c>
      <c r="D223" s="62">
        <v>0.44240000000000002</v>
      </c>
      <c r="E223" s="321">
        <v>7.6799999999999993E-2</v>
      </c>
      <c r="F223" s="53">
        <v>6.4000000000000001E-2</v>
      </c>
      <c r="G223" s="54">
        <v>5.2400000000000002E-2</v>
      </c>
    </row>
    <row r="224" spans="1:15" x14ac:dyDescent="0.2">
      <c r="A224" s="43">
        <v>20</v>
      </c>
      <c r="B224" s="261">
        <v>0.26140000000000002</v>
      </c>
      <c r="C224" s="53">
        <v>0.26190000000000002</v>
      </c>
      <c r="D224" s="62">
        <v>0.26329999999999998</v>
      </c>
      <c r="E224" s="320">
        <v>7.9299999999999995E-2</v>
      </c>
      <c r="F224" s="53">
        <v>7.9600000000000004E-2</v>
      </c>
      <c r="G224" s="54">
        <v>7.3099999999999998E-2</v>
      </c>
    </row>
    <row r="225" spans="1:7" x14ac:dyDescent="0.2">
      <c r="A225" s="43">
        <v>21</v>
      </c>
      <c r="B225" s="261">
        <v>0.1021</v>
      </c>
      <c r="C225" s="53">
        <v>0.1051</v>
      </c>
      <c r="D225" s="62">
        <v>0.1094</v>
      </c>
      <c r="E225" s="320">
        <v>5.9200000000000003E-2</v>
      </c>
      <c r="F225" s="53">
        <v>5.9700000000000003E-2</v>
      </c>
      <c r="G225" s="54">
        <v>5.8599999999999999E-2</v>
      </c>
    </row>
    <row r="226" spans="1:7" x14ac:dyDescent="0.2">
      <c r="A226" s="43">
        <v>22</v>
      </c>
      <c r="B226" s="261">
        <v>6.4199999999999993E-2</v>
      </c>
      <c r="C226" s="53">
        <v>6.5299999999999997E-2</v>
      </c>
      <c r="D226" s="62">
        <v>6.8500000000000005E-2</v>
      </c>
      <c r="E226" s="320">
        <v>6.1100000000000002E-2</v>
      </c>
      <c r="F226" s="53">
        <v>6.59E-2</v>
      </c>
      <c r="G226" s="54">
        <v>6.59E-2</v>
      </c>
    </row>
    <row r="227" spans="1:7" x14ac:dyDescent="0.2">
      <c r="A227" s="43">
        <v>23</v>
      </c>
      <c r="B227" s="261">
        <v>4.0500000000000001E-2</v>
      </c>
      <c r="C227" s="53">
        <v>4.1099999999999998E-2</v>
      </c>
      <c r="D227" s="62">
        <v>4.4200000000000003E-2</v>
      </c>
      <c r="E227" s="320">
        <v>5.6800000000000003E-2</v>
      </c>
      <c r="F227" s="53">
        <v>5.4600000000000003E-2</v>
      </c>
      <c r="G227" s="54">
        <v>5.6099999999999997E-2</v>
      </c>
    </row>
    <row r="228" spans="1:7" x14ac:dyDescent="0.2">
      <c r="A228" s="43">
        <v>24</v>
      </c>
      <c r="B228" s="261">
        <v>2.6200000000000001E-2</v>
      </c>
      <c r="C228" s="53">
        <v>2.5399999999999999E-2</v>
      </c>
      <c r="D228" s="62">
        <v>2.63E-2</v>
      </c>
      <c r="E228" s="320">
        <v>4.1099999999999998E-2</v>
      </c>
      <c r="F228" s="53">
        <v>3.8800000000000001E-2</v>
      </c>
      <c r="G228" s="54">
        <v>3.7600000000000001E-2</v>
      </c>
    </row>
    <row r="229" spans="1:7" x14ac:dyDescent="0.2">
      <c r="A229" s="43">
        <v>25</v>
      </c>
      <c r="B229" s="261">
        <v>1.2500000000000001E-2</v>
      </c>
      <c r="C229" s="53">
        <v>1.2200000000000001E-2</v>
      </c>
      <c r="D229" s="62">
        <v>1.3100000000000001E-2</v>
      </c>
      <c r="E229" s="320">
        <v>3.4299999999999997E-2</v>
      </c>
      <c r="F229" s="53">
        <v>3.32E-2</v>
      </c>
      <c r="G229" s="54">
        <v>3.3599999999999998E-2</v>
      </c>
    </row>
    <row r="230" spans="1:7" x14ac:dyDescent="0.2">
      <c r="A230" s="43">
        <v>26</v>
      </c>
      <c r="B230" s="261">
        <v>3.3E-3</v>
      </c>
      <c r="C230" s="53">
        <v>3.3E-3</v>
      </c>
      <c r="D230" s="62">
        <v>3.2000000000000002E-3</v>
      </c>
      <c r="E230" s="320">
        <v>3.1199999999999999E-2</v>
      </c>
      <c r="F230" s="53">
        <v>2.92E-2</v>
      </c>
      <c r="G230" s="54">
        <v>2.7900000000000001E-2</v>
      </c>
    </row>
    <row r="231" spans="1:7" x14ac:dyDescent="0.2">
      <c r="A231" s="43">
        <v>27</v>
      </c>
      <c r="B231" s="261">
        <v>2.3999999999999998E-3</v>
      </c>
      <c r="C231" s="53">
        <v>2.3E-3</v>
      </c>
      <c r="D231" s="62">
        <v>2.5000000000000001E-3</v>
      </c>
      <c r="E231" s="320">
        <v>3.0200000000000001E-2</v>
      </c>
      <c r="F231" s="53">
        <v>0.03</v>
      </c>
      <c r="G231" s="54">
        <v>2.8199999999999999E-2</v>
      </c>
    </row>
    <row r="232" spans="1:7" x14ac:dyDescent="0.2">
      <c r="A232" s="43">
        <v>28</v>
      </c>
      <c r="B232" s="261">
        <v>2.3999999999999998E-3</v>
      </c>
      <c r="C232" s="53">
        <v>2.5999999999999999E-3</v>
      </c>
      <c r="D232" s="62">
        <v>2.7000000000000001E-3</v>
      </c>
      <c r="E232" s="320">
        <v>2.6100000000000002E-2</v>
      </c>
      <c r="F232" s="53">
        <v>2.2800000000000001E-2</v>
      </c>
      <c r="G232" s="54">
        <v>2.23E-2</v>
      </c>
    </row>
    <row r="233" spans="1:7" x14ac:dyDescent="0.2">
      <c r="A233" s="43">
        <v>29</v>
      </c>
      <c r="B233" s="261">
        <v>2.8E-3</v>
      </c>
      <c r="C233" s="53">
        <v>2.7000000000000001E-3</v>
      </c>
      <c r="D233" s="62">
        <v>3.0000000000000001E-3</v>
      </c>
      <c r="E233" s="320">
        <v>3.0499999999999999E-2</v>
      </c>
      <c r="F233" s="53">
        <v>2.9499999999999998E-2</v>
      </c>
      <c r="G233" s="54">
        <v>3.1E-2</v>
      </c>
    </row>
    <row r="234" spans="1:7" x14ac:dyDescent="0.2">
      <c r="A234" s="44" t="s">
        <v>25</v>
      </c>
      <c r="B234" s="264">
        <v>1.6899999999999998E-2</v>
      </c>
      <c r="C234" s="56">
        <v>1.7000000000000001E-2</v>
      </c>
      <c r="D234" s="64">
        <v>1.7600000000000001E-2</v>
      </c>
      <c r="E234" s="250">
        <v>0.47260000000000002</v>
      </c>
      <c r="F234" s="56">
        <v>0.49209999999999998</v>
      </c>
      <c r="G234" s="57">
        <v>0.51300000000000001</v>
      </c>
    </row>
    <row r="235" spans="1:7" ht="13.5" thickBot="1" x14ac:dyDescent="0.25">
      <c r="A235" s="22" t="s">
        <v>26</v>
      </c>
      <c r="B235" s="212">
        <v>20.452400000000001</v>
      </c>
      <c r="C235" s="213">
        <v>20.472200000000001</v>
      </c>
      <c r="D235" s="214">
        <v>20.533799999999999</v>
      </c>
      <c r="E235" s="215">
        <v>30.46</v>
      </c>
      <c r="F235" s="213">
        <v>31.052199999999999</v>
      </c>
      <c r="G235" s="216">
        <v>31.494800000000001</v>
      </c>
    </row>
    <row r="236" spans="1:7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AD504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10.5703125" style="1" customWidth="1"/>
    <col min="2" max="13" width="8.5703125" style="9" customWidth="1"/>
    <col min="14" max="14" width="7" style="9" customWidth="1"/>
    <col min="15" max="15" width="7.42578125" style="9" customWidth="1"/>
    <col min="16" max="16" width="9.140625" style="1"/>
    <col min="17" max="18" width="10" style="1" customWidth="1"/>
    <col min="19" max="19" width="9.140625" style="1"/>
    <col min="20" max="21" width="9.140625" style="17"/>
    <col min="22" max="22" width="10.140625" style="17" bestFit="1" customWidth="1"/>
    <col min="23" max="23" width="10.140625" style="17" customWidth="1"/>
    <col min="24" max="16384" width="9.140625" style="1"/>
  </cols>
  <sheetData>
    <row r="1" spans="1:27" ht="15.95" customHeight="1" thickBot="1" x14ac:dyDescent="0.25">
      <c r="A1" s="317" t="s">
        <v>167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27" ht="15.95" customHeight="1" thickTop="1" thickBot="1" x14ac:dyDescent="0.25">
      <c r="A2" s="3" t="s">
        <v>69</v>
      </c>
      <c r="B2" s="173" t="s">
        <v>11</v>
      </c>
      <c r="C2" s="173" t="s">
        <v>4</v>
      </c>
      <c r="D2" s="174" t="s">
        <v>5</v>
      </c>
      <c r="E2" s="242" t="s">
        <v>41</v>
      </c>
      <c r="F2" s="242" t="s">
        <v>53</v>
      </c>
      <c r="G2" s="242" t="s">
        <v>54</v>
      </c>
      <c r="H2" s="242" t="s">
        <v>76</v>
      </c>
      <c r="I2" s="242" t="s">
        <v>84</v>
      </c>
      <c r="J2" s="173" t="s">
        <v>87</v>
      </c>
      <c r="K2" s="443" t="s">
        <v>89</v>
      </c>
      <c r="L2" s="468" t="s">
        <v>108</v>
      </c>
      <c r="M2" s="468" t="s">
        <v>118</v>
      </c>
      <c r="N2" s="468" t="s">
        <v>121</v>
      </c>
      <c r="O2" s="468" t="s">
        <v>132</v>
      </c>
      <c r="P2" s="468" t="s">
        <v>134</v>
      </c>
      <c r="Q2" s="468" t="s">
        <v>137</v>
      </c>
      <c r="R2" s="468" t="s">
        <v>139</v>
      </c>
      <c r="S2" s="468" t="s">
        <v>141</v>
      </c>
      <c r="T2" s="468" t="s">
        <v>144</v>
      </c>
      <c r="U2" s="468" t="s">
        <v>147</v>
      </c>
      <c r="V2" s="468" t="s">
        <v>150</v>
      </c>
      <c r="W2" s="468" t="s">
        <v>152</v>
      </c>
      <c r="X2" s="468" t="s">
        <v>154</v>
      </c>
      <c r="Y2" s="468" t="s">
        <v>156</v>
      </c>
      <c r="Z2" s="558" t="s">
        <v>157</v>
      </c>
    </row>
    <row r="3" spans="1:27" ht="13.5" thickTop="1" x14ac:dyDescent="0.2">
      <c r="A3" s="178" t="s">
        <v>146</v>
      </c>
      <c r="B3" s="175">
        <v>6954</v>
      </c>
      <c r="C3" s="176">
        <v>1017</v>
      </c>
      <c r="D3" s="176">
        <v>1022</v>
      </c>
      <c r="E3" s="243">
        <v>185</v>
      </c>
      <c r="F3" s="243">
        <v>27</v>
      </c>
      <c r="G3" s="243">
        <v>36</v>
      </c>
      <c r="H3" s="243">
        <v>38</v>
      </c>
      <c r="I3" s="243">
        <v>34</v>
      </c>
      <c r="J3" s="243">
        <v>66</v>
      </c>
      <c r="K3" s="243">
        <v>42</v>
      </c>
      <c r="L3" s="243">
        <v>37</v>
      </c>
      <c r="M3" s="243">
        <v>68</v>
      </c>
      <c r="N3" s="243">
        <v>42</v>
      </c>
      <c r="O3" s="243">
        <f>+List1!AB6</f>
        <v>52</v>
      </c>
      <c r="P3" s="243">
        <v>45</v>
      </c>
      <c r="Q3" s="243">
        <v>53</v>
      </c>
      <c r="R3" s="243">
        <v>35</v>
      </c>
      <c r="S3" s="243">
        <f>'voš_věk x dfst '!K150*'voš_druh studia '!$H$73</f>
        <v>46</v>
      </c>
      <c r="T3" s="243">
        <v>54</v>
      </c>
      <c r="U3" s="243">
        <v>178</v>
      </c>
      <c r="V3" s="243">
        <v>21</v>
      </c>
      <c r="W3" s="243">
        <v>28</v>
      </c>
      <c r="X3" s="243">
        <v>27</v>
      </c>
      <c r="Y3" s="243">
        <v>33</v>
      </c>
      <c r="Z3" s="309">
        <v>30</v>
      </c>
    </row>
    <row r="4" spans="1:27" x14ac:dyDescent="0.2">
      <c r="A4" s="179">
        <v>19</v>
      </c>
      <c r="B4" s="177">
        <v>4219</v>
      </c>
      <c r="C4" s="153">
        <v>4058</v>
      </c>
      <c r="D4" s="153">
        <v>7584</v>
      </c>
      <c r="E4" s="239">
        <v>7287</v>
      </c>
      <c r="F4" s="239">
        <v>6606</v>
      </c>
      <c r="G4" s="239">
        <v>6189</v>
      </c>
      <c r="H4" s="239">
        <v>6043</v>
      </c>
      <c r="I4" s="239">
        <v>5545</v>
      </c>
      <c r="J4" s="239">
        <v>5408</v>
      </c>
      <c r="K4" s="239">
        <v>5125</v>
      </c>
      <c r="L4" s="239">
        <v>5304</v>
      </c>
      <c r="M4" s="239">
        <v>5313</v>
      </c>
      <c r="N4" s="239">
        <v>4623</v>
      </c>
      <c r="O4" s="239">
        <f>+List1!AB7</f>
        <v>4491</v>
      </c>
      <c r="P4" s="239">
        <v>4160</v>
      </c>
      <c r="Q4" s="239">
        <v>3777</v>
      </c>
      <c r="R4" s="239">
        <v>3424</v>
      </c>
      <c r="S4" s="239">
        <f>'voš_věk x dfst '!K151*'voš_druh studia '!$H$73</f>
        <v>2969</v>
      </c>
      <c r="T4" s="239">
        <v>2516</v>
      </c>
      <c r="U4" s="239">
        <v>2357</v>
      </c>
      <c r="V4" s="239">
        <v>2491</v>
      </c>
      <c r="W4" s="239">
        <v>2613</v>
      </c>
      <c r="X4" s="239">
        <v>3153</v>
      </c>
      <c r="Y4" s="239">
        <v>3027</v>
      </c>
      <c r="Z4" s="310">
        <v>3216</v>
      </c>
    </row>
    <row r="5" spans="1:27" x14ac:dyDescent="0.2">
      <c r="A5" s="179">
        <v>20</v>
      </c>
      <c r="B5" s="177">
        <v>1676</v>
      </c>
      <c r="C5" s="153">
        <v>2015</v>
      </c>
      <c r="D5" s="153">
        <v>2055</v>
      </c>
      <c r="E5" s="239">
        <v>3477</v>
      </c>
      <c r="F5" s="239">
        <v>3787</v>
      </c>
      <c r="G5" s="239">
        <v>3229</v>
      </c>
      <c r="H5" s="239">
        <v>3111</v>
      </c>
      <c r="I5" s="239">
        <v>2926</v>
      </c>
      <c r="J5" s="239">
        <v>2852</v>
      </c>
      <c r="K5" s="239">
        <v>2641</v>
      </c>
      <c r="L5" s="239">
        <v>2976</v>
      </c>
      <c r="M5" s="239">
        <v>3068</v>
      </c>
      <c r="N5" s="239">
        <v>3162</v>
      </c>
      <c r="O5" s="239">
        <f>+List1!AB8</f>
        <v>2997</v>
      </c>
      <c r="P5" s="239">
        <v>3137</v>
      </c>
      <c r="Q5" s="239">
        <v>2689</v>
      </c>
      <c r="R5" s="239">
        <v>2224</v>
      </c>
      <c r="S5" s="239">
        <f>'voš_věk x dfst '!K152*'voš_druh studia '!$H$73</f>
        <v>1928.9999999999998</v>
      </c>
      <c r="T5" s="239">
        <v>1704</v>
      </c>
      <c r="U5" s="239">
        <v>1513</v>
      </c>
      <c r="V5" s="239">
        <v>1582</v>
      </c>
      <c r="W5" s="239">
        <v>1622</v>
      </c>
      <c r="X5" s="239">
        <v>1914</v>
      </c>
      <c r="Y5" s="239">
        <v>1858</v>
      </c>
      <c r="Z5" s="310">
        <v>1844</v>
      </c>
    </row>
    <row r="6" spans="1:27" x14ac:dyDescent="0.2">
      <c r="A6" s="179">
        <v>21</v>
      </c>
      <c r="B6" s="177">
        <v>607</v>
      </c>
      <c r="C6" s="153">
        <v>1015</v>
      </c>
      <c r="D6" s="153">
        <v>720</v>
      </c>
      <c r="E6" s="239">
        <v>901</v>
      </c>
      <c r="F6" s="239">
        <v>1646</v>
      </c>
      <c r="G6" s="239">
        <v>1145</v>
      </c>
      <c r="H6" s="239">
        <v>1119</v>
      </c>
      <c r="I6" s="239">
        <v>1152</v>
      </c>
      <c r="J6" s="239">
        <v>1068</v>
      </c>
      <c r="K6" s="239">
        <v>959</v>
      </c>
      <c r="L6" s="239">
        <v>1089</v>
      </c>
      <c r="M6" s="239">
        <v>1196</v>
      </c>
      <c r="N6" s="239">
        <v>1197</v>
      </c>
      <c r="O6" s="239">
        <f>+List1!AB9</f>
        <v>1312</v>
      </c>
      <c r="P6" s="239">
        <v>1235</v>
      </c>
      <c r="Q6" s="239">
        <v>1219</v>
      </c>
      <c r="R6" s="239">
        <v>1068</v>
      </c>
      <c r="S6" s="239">
        <f>'voš_věk x dfst '!K153*'voš_druh studia '!$H$73</f>
        <v>878</v>
      </c>
      <c r="T6" s="239">
        <v>757</v>
      </c>
      <c r="U6" s="239">
        <v>662</v>
      </c>
      <c r="V6" s="239">
        <v>669</v>
      </c>
      <c r="W6" s="239">
        <v>659</v>
      </c>
      <c r="X6" s="239">
        <v>833</v>
      </c>
      <c r="Y6" s="239">
        <v>762</v>
      </c>
      <c r="Z6" s="310">
        <v>740</v>
      </c>
    </row>
    <row r="7" spans="1:27" x14ac:dyDescent="0.2">
      <c r="A7" s="179">
        <v>22</v>
      </c>
      <c r="B7" s="177">
        <v>276</v>
      </c>
      <c r="C7" s="153">
        <v>560</v>
      </c>
      <c r="D7" s="153">
        <v>371</v>
      </c>
      <c r="E7" s="239">
        <v>378</v>
      </c>
      <c r="F7" s="239">
        <v>582</v>
      </c>
      <c r="G7" s="239">
        <v>562</v>
      </c>
      <c r="H7" s="239">
        <v>514</v>
      </c>
      <c r="I7" s="239">
        <v>450</v>
      </c>
      <c r="J7" s="239">
        <v>475</v>
      </c>
      <c r="K7" s="239">
        <v>447</v>
      </c>
      <c r="L7" s="239">
        <v>463</v>
      </c>
      <c r="M7" s="239">
        <v>533</v>
      </c>
      <c r="N7" s="239">
        <v>588</v>
      </c>
      <c r="O7" s="239">
        <f>+List1!AB10</f>
        <v>641</v>
      </c>
      <c r="P7" s="239">
        <v>672</v>
      </c>
      <c r="Q7" s="239">
        <v>606</v>
      </c>
      <c r="R7" s="239">
        <v>599</v>
      </c>
      <c r="S7" s="239">
        <f>'voš_věk x dfst '!K154*'voš_druh studia '!$H$73</f>
        <v>559</v>
      </c>
      <c r="T7" s="239">
        <v>439</v>
      </c>
      <c r="U7" s="239">
        <v>382</v>
      </c>
      <c r="V7" s="239">
        <v>388</v>
      </c>
      <c r="W7" s="239">
        <v>365</v>
      </c>
      <c r="X7" s="239">
        <v>400</v>
      </c>
      <c r="Y7" s="239">
        <v>511</v>
      </c>
      <c r="Z7" s="310">
        <v>460</v>
      </c>
    </row>
    <row r="8" spans="1:27" x14ac:dyDescent="0.2">
      <c r="A8" s="179">
        <v>23</v>
      </c>
      <c r="B8" s="177">
        <v>113</v>
      </c>
      <c r="C8" s="153">
        <v>363</v>
      </c>
      <c r="D8" s="153">
        <v>181</v>
      </c>
      <c r="E8" s="239">
        <v>244</v>
      </c>
      <c r="F8" s="239">
        <v>287</v>
      </c>
      <c r="G8" s="239">
        <v>233</v>
      </c>
      <c r="H8" s="239">
        <v>236</v>
      </c>
      <c r="I8" s="239">
        <v>233</v>
      </c>
      <c r="J8" s="239">
        <v>263</v>
      </c>
      <c r="K8" s="239">
        <v>224</v>
      </c>
      <c r="L8" s="239">
        <v>267</v>
      </c>
      <c r="M8" s="239">
        <v>293</v>
      </c>
      <c r="N8" s="239">
        <v>312</v>
      </c>
      <c r="O8" s="239">
        <f>+List1!AB11</f>
        <v>358</v>
      </c>
      <c r="P8" s="239">
        <v>410</v>
      </c>
      <c r="Q8" s="239">
        <v>427</v>
      </c>
      <c r="R8" s="239">
        <v>416</v>
      </c>
      <c r="S8" s="239">
        <f>'voš_věk x dfst '!K155*'voš_druh studia '!$H$73</f>
        <v>397</v>
      </c>
      <c r="T8" s="239">
        <v>313</v>
      </c>
      <c r="U8" s="239">
        <v>295</v>
      </c>
      <c r="V8" s="239">
        <v>256</v>
      </c>
      <c r="W8" s="239">
        <v>260</v>
      </c>
      <c r="X8" s="239">
        <v>272</v>
      </c>
      <c r="Y8" s="239">
        <v>314</v>
      </c>
      <c r="Z8" s="310">
        <v>289</v>
      </c>
    </row>
    <row r="9" spans="1:27" x14ac:dyDescent="0.2">
      <c r="A9" s="179">
        <v>24</v>
      </c>
      <c r="B9" s="177">
        <v>64</v>
      </c>
      <c r="C9" s="153">
        <v>230</v>
      </c>
      <c r="D9" s="153">
        <v>95</v>
      </c>
      <c r="E9" s="239">
        <v>110</v>
      </c>
      <c r="F9" s="239">
        <v>168</v>
      </c>
      <c r="G9" s="239">
        <v>113</v>
      </c>
      <c r="H9" s="239">
        <v>103</v>
      </c>
      <c r="I9" s="239">
        <v>127</v>
      </c>
      <c r="J9" s="239">
        <v>127</v>
      </c>
      <c r="K9" s="239">
        <v>133</v>
      </c>
      <c r="L9" s="239">
        <v>156</v>
      </c>
      <c r="M9" s="239">
        <v>145</v>
      </c>
      <c r="N9" s="239">
        <v>165</v>
      </c>
      <c r="O9" s="239">
        <f>+List1!AB12</f>
        <v>204</v>
      </c>
      <c r="P9" s="239">
        <v>230</v>
      </c>
      <c r="Q9" s="239">
        <v>257</v>
      </c>
      <c r="R9" s="239">
        <v>237</v>
      </c>
      <c r="S9" s="239">
        <f>'voš_věk x dfst '!K156*'voš_druh studia '!$H$73</f>
        <v>229</v>
      </c>
      <c r="T9" s="239">
        <v>205</v>
      </c>
      <c r="U9" s="239">
        <v>186</v>
      </c>
      <c r="V9" s="239">
        <v>194</v>
      </c>
      <c r="W9" s="239">
        <v>209</v>
      </c>
      <c r="X9" s="239">
        <v>181</v>
      </c>
      <c r="Y9" s="239">
        <v>211</v>
      </c>
      <c r="Z9" s="310">
        <v>179</v>
      </c>
    </row>
    <row r="10" spans="1:27" x14ac:dyDescent="0.2">
      <c r="A10" s="179">
        <v>25</v>
      </c>
      <c r="B10" s="177">
        <v>33</v>
      </c>
      <c r="C10" s="153">
        <v>193</v>
      </c>
      <c r="D10" s="153">
        <v>55</v>
      </c>
      <c r="E10" s="239">
        <v>54</v>
      </c>
      <c r="F10" s="239">
        <v>70</v>
      </c>
      <c r="G10" s="239">
        <v>67</v>
      </c>
      <c r="H10" s="239">
        <v>61</v>
      </c>
      <c r="I10" s="239">
        <v>48</v>
      </c>
      <c r="J10" s="239">
        <v>56</v>
      </c>
      <c r="K10" s="239">
        <v>66</v>
      </c>
      <c r="L10" s="239">
        <v>59</v>
      </c>
      <c r="M10" s="239">
        <v>87</v>
      </c>
      <c r="N10" s="239">
        <v>78</v>
      </c>
      <c r="O10" s="239">
        <f>+List1!AB13</f>
        <v>111</v>
      </c>
      <c r="P10" s="239">
        <v>118</v>
      </c>
      <c r="Q10" s="239">
        <v>120</v>
      </c>
      <c r="R10" s="239">
        <v>151</v>
      </c>
      <c r="S10" s="239">
        <f>'voš_věk x dfst '!K157*'voš_druh studia '!$H$73</f>
        <v>136</v>
      </c>
      <c r="T10" s="239">
        <v>105</v>
      </c>
      <c r="U10" s="239">
        <v>127</v>
      </c>
      <c r="V10" s="239">
        <v>123</v>
      </c>
      <c r="W10" s="239">
        <v>78</v>
      </c>
      <c r="X10" s="239">
        <v>97</v>
      </c>
      <c r="Y10" s="239">
        <v>110</v>
      </c>
      <c r="Z10" s="310">
        <v>86</v>
      </c>
      <c r="AA10" s="322"/>
    </row>
    <row r="11" spans="1:27" x14ac:dyDescent="0.2">
      <c r="A11" s="179">
        <v>26</v>
      </c>
      <c r="B11" s="177">
        <v>18</v>
      </c>
      <c r="C11" s="153">
        <v>135</v>
      </c>
      <c r="D11" s="153">
        <v>31</v>
      </c>
      <c r="E11" s="239">
        <v>26</v>
      </c>
      <c r="F11" s="239">
        <v>31</v>
      </c>
      <c r="G11" s="239">
        <v>19</v>
      </c>
      <c r="H11" s="239">
        <v>32</v>
      </c>
      <c r="I11" s="239">
        <v>34</v>
      </c>
      <c r="J11" s="239">
        <v>38</v>
      </c>
      <c r="K11" s="239">
        <v>19</v>
      </c>
      <c r="L11" s="239">
        <v>31</v>
      </c>
      <c r="M11" s="239">
        <v>38</v>
      </c>
      <c r="N11" s="239">
        <v>40</v>
      </c>
      <c r="O11" s="239">
        <f>+List1!AB14</f>
        <v>28</v>
      </c>
      <c r="P11" s="239">
        <v>34</v>
      </c>
      <c r="Q11" s="239">
        <v>36</v>
      </c>
      <c r="R11" s="239">
        <v>28</v>
      </c>
      <c r="S11" s="239">
        <f>'voš_věk x dfst '!K158*'voš_druh studia '!$H$73</f>
        <v>24</v>
      </c>
      <c r="T11" s="239">
        <v>24</v>
      </c>
      <c r="U11" s="239">
        <v>21</v>
      </c>
      <c r="V11" s="239">
        <v>27</v>
      </c>
      <c r="W11" s="239">
        <v>26</v>
      </c>
      <c r="X11" s="239">
        <v>24</v>
      </c>
      <c r="Y11" s="239">
        <v>29</v>
      </c>
      <c r="Z11" s="310">
        <v>23</v>
      </c>
      <c r="AA11" s="252"/>
    </row>
    <row r="12" spans="1:27" x14ac:dyDescent="0.2">
      <c r="A12" s="179">
        <v>27</v>
      </c>
      <c r="B12" s="177">
        <v>10</v>
      </c>
      <c r="C12" s="153">
        <v>102</v>
      </c>
      <c r="D12" s="153">
        <v>18</v>
      </c>
      <c r="E12" s="239">
        <v>16</v>
      </c>
      <c r="F12" s="239">
        <v>21</v>
      </c>
      <c r="G12" s="239">
        <v>30</v>
      </c>
      <c r="H12" s="239">
        <v>23</v>
      </c>
      <c r="I12" s="239">
        <v>32</v>
      </c>
      <c r="J12" s="239">
        <v>22</v>
      </c>
      <c r="K12" s="239">
        <v>23</v>
      </c>
      <c r="L12" s="239">
        <v>24</v>
      </c>
      <c r="M12" s="239">
        <v>29</v>
      </c>
      <c r="N12" s="239">
        <v>17</v>
      </c>
      <c r="O12" s="239">
        <f>+List1!AB15</f>
        <v>10</v>
      </c>
      <c r="P12" s="239">
        <v>22</v>
      </c>
      <c r="Q12" s="239">
        <v>26</v>
      </c>
      <c r="R12" s="239">
        <v>17</v>
      </c>
      <c r="S12" s="239">
        <f>'voš_věk x dfst '!K159*'voš_druh studia '!$H$73</f>
        <v>22</v>
      </c>
      <c r="T12" s="239">
        <v>25</v>
      </c>
      <c r="U12" s="239">
        <v>26</v>
      </c>
      <c r="V12" s="239">
        <v>21</v>
      </c>
      <c r="W12" s="239">
        <v>13</v>
      </c>
      <c r="X12" s="239">
        <v>15</v>
      </c>
      <c r="Y12" s="239">
        <v>23</v>
      </c>
      <c r="Z12" s="310">
        <v>16</v>
      </c>
      <c r="AA12" s="252"/>
    </row>
    <row r="13" spans="1:27" x14ac:dyDescent="0.2">
      <c r="A13" s="179">
        <v>28</v>
      </c>
      <c r="B13" s="177">
        <v>10</v>
      </c>
      <c r="C13" s="153">
        <v>92</v>
      </c>
      <c r="D13" s="153">
        <v>13</v>
      </c>
      <c r="E13" s="239">
        <v>17</v>
      </c>
      <c r="F13" s="239">
        <v>12</v>
      </c>
      <c r="G13" s="239">
        <v>17</v>
      </c>
      <c r="H13" s="239">
        <v>10</v>
      </c>
      <c r="I13" s="239">
        <v>28</v>
      </c>
      <c r="J13" s="239">
        <v>17</v>
      </c>
      <c r="K13" s="239">
        <v>25</v>
      </c>
      <c r="L13" s="239">
        <v>31</v>
      </c>
      <c r="M13" s="239">
        <v>21</v>
      </c>
      <c r="N13" s="239">
        <v>18</v>
      </c>
      <c r="O13" s="239">
        <f>+List1!AB16</f>
        <v>10</v>
      </c>
      <c r="P13" s="239">
        <v>20</v>
      </c>
      <c r="Q13" s="239">
        <v>17</v>
      </c>
      <c r="R13" s="239">
        <v>15</v>
      </c>
      <c r="S13" s="239">
        <f>'voš_věk x dfst '!K160*'voš_druh studia '!$H$73</f>
        <v>26</v>
      </c>
      <c r="T13" s="239">
        <v>22</v>
      </c>
      <c r="U13" s="239">
        <v>18</v>
      </c>
      <c r="V13" s="239">
        <v>19</v>
      </c>
      <c r="W13" s="239">
        <v>17</v>
      </c>
      <c r="X13" s="239">
        <v>15</v>
      </c>
      <c r="Y13" s="239">
        <v>12</v>
      </c>
      <c r="Z13" s="310">
        <v>18</v>
      </c>
      <c r="AA13" s="252"/>
    </row>
    <row r="14" spans="1:27" x14ac:dyDescent="0.2">
      <c r="A14" s="179">
        <v>29</v>
      </c>
      <c r="B14" s="177">
        <v>3</v>
      </c>
      <c r="C14" s="153">
        <v>76</v>
      </c>
      <c r="D14" s="153">
        <v>8</v>
      </c>
      <c r="E14" s="239">
        <v>12</v>
      </c>
      <c r="F14" s="239">
        <v>14</v>
      </c>
      <c r="G14" s="239">
        <v>11</v>
      </c>
      <c r="H14" s="239">
        <v>21</v>
      </c>
      <c r="I14" s="239">
        <v>14</v>
      </c>
      <c r="J14" s="239">
        <v>15</v>
      </c>
      <c r="K14" s="239">
        <v>11</v>
      </c>
      <c r="L14" s="239">
        <v>20</v>
      </c>
      <c r="M14" s="239">
        <v>10</v>
      </c>
      <c r="N14" s="239">
        <v>17</v>
      </c>
      <c r="O14" s="239">
        <f>+List1!AB17</f>
        <v>21</v>
      </c>
      <c r="P14" s="239">
        <v>20</v>
      </c>
      <c r="Q14" s="239">
        <v>17</v>
      </c>
      <c r="R14" s="239">
        <v>13</v>
      </c>
      <c r="S14" s="239">
        <f>'voš_věk x dfst '!K161*'voš_druh studia '!$H$73</f>
        <v>16</v>
      </c>
      <c r="T14" s="239">
        <v>18</v>
      </c>
      <c r="U14" s="239">
        <v>14</v>
      </c>
      <c r="V14" s="239">
        <v>16</v>
      </c>
      <c r="W14" s="239">
        <v>22</v>
      </c>
      <c r="X14" s="239">
        <v>12</v>
      </c>
      <c r="Y14" s="239">
        <v>18</v>
      </c>
      <c r="Z14" s="310">
        <v>19</v>
      </c>
      <c r="AA14" s="252"/>
    </row>
    <row r="15" spans="1:27" ht="13.5" thickBot="1" x14ac:dyDescent="0.25">
      <c r="A15" s="255" t="s">
        <v>25</v>
      </c>
      <c r="B15" s="256">
        <v>25</v>
      </c>
      <c r="C15" s="257">
        <v>588</v>
      </c>
      <c r="D15" s="257">
        <v>46</v>
      </c>
      <c r="E15" s="258">
        <v>61</v>
      </c>
      <c r="F15" s="258">
        <v>61</v>
      </c>
      <c r="G15" s="258">
        <v>78</v>
      </c>
      <c r="H15" s="258">
        <v>91</v>
      </c>
      <c r="I15" s="258">
        <v>99</v>
      </c>
      <c r="J15" s="258">
        <v>133</v>
      </c>
      <c r="K15" s="258">
        <v>186</v>
      </c>
      <c r="L15" s="258">
        <v>202</v>
      </c>
      <c r="M15" s="258">
        <v>235</v>
      </c>
      <c r="N15" s="258">
        <v>173</v>
      </c>
      <c r="O15" s="258">
        <f>+List1!AB18</f>
        <v>147</v>
      </c>
      <c r="P15" s="258">
        <v>158</v>
      </c>
      <c r="Q15" s="258">
        <v>173</v>
      </c>
      <c r="R15" s="258">
        <v>171</v>
      </c>
      <c r="S15" s="258">
        <f>'voš_věk x dfst '!K162*'voš_druh studia '!$H$73</f>
        <v>167</v>
      </c>
      <c r="T15" s="258">
        <v>180</v>
      </c>
      <c r="U15" s="258">
        <v>150</v>
      </c>
      <c r="V15" s="258">
        <v>117</v>
      </c>
      <c r="W15" s="258">
        <v>175</v>
      </c>
      <c r="X15" s="258">
        <v>152</v>
      </c>
      <c r="Y15" s="258">
        <v>151</v>
      </c>
      <c r="Z15" s="311">
        <v>120</v>
      </c>
      <c r="AA15" s="252"/>
    </row>
    <row r="16" spans="1:27" ht="13.5" thickTop="1" x14ac:dyDescent="0.2"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16"/>
      <c r="O16" s="18"/>
      <c r="P16" s="18"/>
      <c r="S16" s="524"/>
      <c r="T16" s="524"/>
      <c r="U16" s="1"/>
      <c r="V16" s="1"/>
      <c r="W16" s="1"/>
      <c r="X16" s="252"/>
      <c r="Y16" s="72"/>
      <c r="Z16" s="252"/>
    </row>
    <row r="17" spans="1:30" x14ac:dyDescent="0.2">
      <c r="A17" s="2" t="s">
        <v>166</v>
      </c>
      <c r="B17" s="334"/>
      <c r="C17" s="316"/>
      <c r="D17" s="316"/>
      <c r="E17" s="316"/>
      <c r="F17" s="316"/>
      <c r="G17" s="332"/>
      <c r="H17" s="332"/>
      <c r="I17" s="332"/>
      <c r="J17" s="332"/>
      <c r="K17" s="316"/>
      <c r="L17" s="316"/>
      <c r="M17" s="332"/>
      <c r="N17" s="1"/>
      <c r="O17" s="18"/>
      <c r="P17" s="18"/>
      <c r="T17" s="1"/>
      <c r="U17" s="1"/>
      <c r="V17" s="1"/>
      <c r="W17" s="1"/>
      <c r="X17" s="252"/>
      <c r="Y17" s="72"/>
      <c r="Z17" s="252"/>
    </row>
    <row r="18" spans="1:30" x14ac:dyDescent="0.2">
      <c r="A18" s="285" t="s">
        <v>102</v>
      </c>
      <c r="F18" s="316"/>
      <c r="G18" s="316"/>
      <c r="H18" s="316"/>
      <c r="I18" s="316"/>
      <c r="J18" s="316"/>
      <c r="K18" s="316"/>
      <c r="L18" s="316"/>
      <c r="M18" s="316"/>
      <c r="N18" s="1"/>
      <c r="O18" s="1"/>
      <c r="P18" s="18"/>
      <c r="T18" s="1"/>
      <c r="U18" s="1"/>
      <c r="V18" s="1"/>
      <c r="W18" s="1"/>
      <c r="X18" s="252"/>
      <c r="Y18" s="72"/>
      <c r="Z18" s="252"/>
    </row>
    <row r="19" spans="1:30" x14ac:dyDescent="0.2">
      <c r="N19" s="1"/>
      <c r="O19" s="1"/>
      <c r="P19" s="18"/>
      <c r="T19" s="1"/>
      <c r="U19" s="1"/>
      <c r="V19" s="1"/>
      <c r="W19" s="1"/>
      <c r="X19" s="372"/>
      <c r="Y19" s="72"/>
      <c r="Z19" s="252"/>
    </row>
    <row r="20" spans="1:30" x14ac:dyDescent="0.2">
      <c r="N20" s="1"/>
      <c r="O20" s="1"/>
      <c r="P20" s="18"/>
      <c r="T20" s="1"/>
      <c r="U20" s="1"/>
      <c r="V20" s="1"/>
      <c r="W20" s="1"/>
      <c r="X20" s="252"/>
      <c r="Y20" s="72"/>
      <c r="Z20" s="252"/>
    </row>
    <row r="21" spans="1:30" x14ac:dyDescent="0.2">
      <c r="N21" s="1"/>
      <c r="O21" s="1"/>
      <c r="P21" s="18"/>
      <c r="T21" s="1"/>
      <c r="U21" s="1"/>
      <c r="V21" s="1"/>
      <c r="W21" s="1"/>
      <c r="X21" s="252"/>
      <c r="Y21" s="72"/>
      <c r="Z21" s="252"/>
    </row>
    <row r="22" spans="1:30" x14ac:dyDescent="0.2">
      <c r="N22" s="1"/>
      <c r="O22" s="1"/>
      <c r="P22" s="18"/>
      <c r="T22" s="1"/>
      <c r="U22" s="1"/>
      <c r="V22" s="1"/>
      <c r="W22" s="1"/>
      <c r="X22" s="252"/>
      <c r="Y22" s="72"/>
      <c r="Z22" s="252"/>
    </row>
    <row r="23" spans="1:30" x14ac:dyDescent="0.2">
      <c r="N23" s="1"/>
      <c r="O23" s="1"/>
      <c r="P23" s="18"/>
      <c r="T23" s="1"/>
      <c r="U23" s="1"/>
      <c r="V23" s="1"/>
      <c r="W23" s="1"/>
      <c r="X23" s="252"/>
      <c r="Y23" s="72"/>
      <c r="Z23" s="252"/>
    </row>
    <row r="24" spans="1:30" x14ac:dyDescent="0.2">
      <c r="N24" s="1"/>
      <c r="O24" s="1"/>
      <c r="P24" s="18"/>
      <c r="T24" s="1"/>
      <c r="U24" s="1"/>
      <c r="V24" s="1"/>
      <c r="W24" s="1"/>
      <c r="X24" s="252"/>
      <c r="Y24" s="252"/>
      <c r="Z24" s="252"/>
    </row>
    <row r="25" spans="1:30" x14ac:dyDescent="0.2">
      <c r="N25" s="1"/>
      <c r="O25" s="1"/>
      <c r="P25" s="18"/>
      <c r="T25" s="1"/>
      <c r="U25" s="1"/>
      <c r="V25" s="1"/>
      <c r="W25" s="1"/>
      <c r="X25" s="252"/>
      <c r="Y25" s="252"/>
      <c r="Z25" s="252"/>
    </row>
    <row r="26" spans="1:30" x14ac:dyDescent="0.2">
      <c r="N26" s="1"/>
      <c r="O26" s="1"/>
      <c r="P26" s="18"/>
      <c r="T26" s="1"/>
      <c r="U26" s="1"/>
      <c r="V26" s="1"/>
      <c r="W26" s="1"/>
    </row>
    <row r="27" spans="1:30" x14ac:dyDescent="0.2">
      <c r="N27" s="1"/>
      <c r="O27" s="1"/>
      <c r="P27" s="18"/>
      <c r="T27" s="1"/>
      <c r="U27" s="1"/>
      <c r="V27" s="1"/>
      <c r="W27" s="1"/>
    </row>
    <row r="28" spans="1:30" x14ac:dyDescent="0.2">
      <c r="N28" s="1"/>
      <c r="O28" s="1"/>
      <c r="P28" s="18"/>
      <c r="T28" s="1"/>
      <c r="U28" s="1"/>
      <c r="V28" s="1"/>
      <c r="W28" s="1"/>
    </row>
    <row r="29" spans="1:30" x14ac:dyDescent="0.2">
      <c r="N29" s="1"/>
      <c r="O29" s="1"/>
      <c r="T29" s="1"/>
      <c r="U29" s="1"/>
      <c r="V29" s="1"/>
      <c r="W29" s="1"/>
    </row>
    <row r="30" spans="1:30" x14ac:dyDescent="0.2">
      <c r="N30" s="1"/>
      <c r="O30" s="1"/>
      <c r="T30" s="1"/>
      <c r="U30" s="508"/>
      <c r="V30" s="508"/>
      <c r="W30" s="508"/>
      <c r="X30" s="508"/>
      <c r="Y30" s="508"/>
      <c r="Z30" s="508"/>
      <c r="AA30" s="508"/>
      <c r="AB30" s="508"/>
      <c r="AC30" s="508"/>
      <c r="AD30" s="508"/>
    </row>
    <row r="31" spans="1:30" x14ac:dyDescent="0.2">
      <c r="N31" s="1"/>
      <c r="O31" s="1"/>
      <c r="T31" s="1"/>
      <c r="U31" s="508"/>
      <c r="V31" s="508"/>
      <c r="W31" s="508"/>
      <c r="X31" s="508"/>
      <c r="Y31" s="508"/>
      <c r="Z31" s="508"/>
      <c r="AA31" s="508"/>
      <c r="AB31" s="508"/>
      <c r="AC31" s="508"/>
      <c r="AD31" s="508"/>
    </row>
    <row r="32" spans="1:30" x14ac:dyDescent="0.2">
      <c r="N32" s="1"/>
      <c r="O32" s="1"/>
      <c r="T32" s="1"/>
      <c r="U32" s="508"/>
      <c r="V32" s="508"/>
      <c r="W32" s="508"/>
      <c r="X32" s="508"/>
      <c r="Y32" s="508"/>
      <c r="Z32" s="508"/>
      <c r="AA32" s="508"/>
      <c r="AB32" s="508"/>
      <c r="AC32" s="508"/>
      <c r="AD32" s="508"/>
    </row>
    <row r="33" spans="1:30" x14ac:dyDescent="0.2">
      <c r="N33" s="1"/>
      <c r="O33" s="1"/>
      <c r="T33" s="1"/>
      <c r="U33" s="508"/>
      <c r="V33" s="508"/>
      <c r="W33" s="508"/>
      <c r="X33" s="508"/>
      <c r="Y33" s="508"/>
      <c r="Z33" s="508"/>
      <c r="AA33" s="508"/>
      <c r="AB33" s="508"/>
      <c r="AC33" s="508"/>
      <c r="AD33" s="508"/>
    </row>
    <row r="34" spans="1:30" x14ac:dyDescent="0.2">
      <c r="N34" s="1"/>
      <c r="O34" s="1"/>
      <c r="T34" s="1"/>
      <c r="U34" s="508"/>
      <c r="V34" s="508"/>
      <c r="W34" s="508"/>
      <c r="X34" s="508"/>
      <c r="Y34" s="508"/>
      <c r="Z34" s="508"/>
      <c r="AA34" s="508"/>
      <c r="AB34" s="508"/>
      <c r="AC34" s="508"/>
      <c r="AD34" s="508"/>
    </row>
    <row r="35" spans="1:30" x14ac:dyDescent="0.2">
      <c r="N35" s="1"/>
      <c r="O35" s="1"/>
      <c r="T35" s="1"/>
      <c r="U35" s="508"/>
      <c r="V35" s="508"/>
      <c r="W35" s="508"/>
      <c r="X35" s="508"/>
      <c r="Y35" s="508"/>
      <c r="Z35" s="508"/>
      <c r="AA35" s="508"/>
      <c r="AB35" s="508"/>
      <c r="AC35" s="508"/>
      <c r="AD35" s="508"/>
    </row>
    <row r="36" spans="1:30" x14ac:dyDescent="0.2">
      <c r="N36" s="1"/>
      <c r="O36" s="1"/>
      <c r="T36" s="1"/>
      <c r="U36" s="508"/>
      <c r="V36" s="508"/>
      <c r="W36" s="508"/>
      <c r="X36" s="508"/>
      <c r="Y36" s="508"/>
      <c r="Z36" s="508"/>
      <c r="AA36" s="508"/>
      <c r="AB36" s="508"/>
      <c r="AC36" s="508"/>
      <c r="AD36" s="508"/>
    </row>
    <row r="37" spans="1:30" x14ac:dyDescent="0.2">
      <c r="N37" s="1"/>
      <c r="O37" s="1"/>
      <c r="T37" s="1"/>
      <c r="U37" s="508"/>
      <c r="V37" s="508"/>
      <c r="W37" s="508"/>
      <c r="X37" s="508"/>
      <c r="Y37" s="508"/>
      <c r="Z37" s="508"/>
      <c r="AA37" s="508"/>
      <c r="AB37" s="508"/>
      <c r="AC37" s="508"/>
      <c r="AD37" s="508"/>
    </row>
    <row r="38" spans="1:30" x14ac:dyDescent="0.2">
      <c r="N38" s="1"/>
      <c r="O38" s="1"/>
      <c r="T38" s="1"/>
      <c r="U38" s="508"/>
      <c r="V38" s="508"/>
      <c r="W38" s="508"/>
      <c r="X38" s="508"/>
      <c r="Y38" s="508"/>
      <c r="Z38" s="508"/>
      <c r="AA38" s="508"/>
      <c r="AB38" s="508"/>
      <c r="AC38" s="508"/>
      <c r="AD38" s="508"/>
    </row>
    <row r="39" spans="1:30" x14ac:dyDescent="0.2">
      <c r="N39" s="1"/>
      <c r="O39" s="1"/>
      <c r="T39" s="1"/>
      <c r="U39" s="508"/>
      <c r="V39" s="508"/>
      <c r="W39" s="508"/>
      <c r="X39" s="508"/>
      <c r="Y39" s="508"/>
      <c r="Z39" s="508"/>
      <c r="AA39" s="508"/>
      <c r="AB39" s="508"/>
      <c r="AC39" s="508"/>
      <c r="AD39" s="508"/>
    </row>
    <row r="40" spans="1:30" x14ac:dyDescent="0.2">
      <c r="N40" s="1"/>
      <c r="O40" s="1"/>
      <c r="R40" s="508"/>
      <c r="S40" s="508"/>
      <c r="T40" s="508"/>
      <c r="U40" s="508"/>
      <c r="V40" s="508"/>
      <c r="W40" s="508"/>
      <c r="X40" s="508"/>
      <c r="Y40" s="508"/>
      <c r="Z40" s="508"/>
      <c r="AA40" s="508"/>
      <c r="AB40" s="508"/>
      <c r="AC40" s="508"/>
      <c r="AD40" s="508"/>
    </row>
    <row r="41" spans="1:30" x14ac:dyDescent="0.2">
      <c r="N41" s="1"/>
      <c r="O41" s="1"/>
      <c r="R41" s="508"/>
      <c r="S41" s="508"/>
      <c r="T41" s="508"/>
      <c r="U41" s="508"/>
      <c r="V41" s="508"/>
      <c r="W41" s="508"/>
      <c r="X41" s="508"/>
      <c r="Y41" s="508"/>
      <c r="Z41" s="508"/>
      <c r="AA41" s="508"/>
      <c r="AB41" s="508"/>
      <c r="AC41" s="508"/>
      <c r="AD41" s="508"/>
    </row>
    <row r="42" spans="1:30" x14ac:dyDescent="0.2">
      <c r="N42" s="1"/>
      <c r="O42" s="1"/>
      <c r="R42" s="508"/>
      <c r="S42" s="508"/>
      <c r="T42" s="508"/>
      <c r="U42" s="508"/>
      <c r="V42" s="508"/>
      <c r="W42" s="508"/>
      <c r="X42" s="508"/>
      <c r="Y42" s="508"/>
      <c r="Z42" s="508"/>
      <c r="AA42" s="508"/>
      <c r="AB42" s="508"/>
      <c r="AC42" s="508"/>
      <c r="AD42" s="508"/>
    </row>
    <row r="43" spans="1:30" x14ac:dyDescent="0.2">
      <c r="N43" s="1"/>
      <c r="O43" s="1"/>
      <c r="R43" s="508"/>
      <c r="S43" s="508"/>
      <c r="T43" s="508"/>
      <c r="U43" s="508"/>
      <c r="V43" s="508"/>
      <c r="W43" s="508"/>
      <c r="X43" s="508"/>
      <c r="Y43" s="508"/>
      <c r="Z43" s="508"/>
      <c r="AA43" s="508"/>
      <c r="AB43" s="508"/>
      <c r="AC43" s="508"/>
      <c r="AD43" s="508"/>
    </row>
    <row r="44" spans="1:30" x14ac:dyDescent="0.2">
      <c r="N44" s="1"/>
      <c r="O44" s="1"/>
      <c r="R44" s="508"/>
      <c r="S44" s="508"/>
      <c r="T44" s="508"/>
      <c r="U44" s="508"/>
      <c r="V44" s="508"/>
      <c r="W44" s="508"/>
      <c r="X44" s="508"/>
      <c r="Y44" s="508"/>
      <c r="Z44" s="508"/>
      <c r="AA44" s="508"/>
      <c r="AB44" s="508"/>
      <c r="AC44" s="508"/>
      <c r="AD44" s="508"/>
    </row>
    <row r="45" spans="1:30" s="508" customFormat="1" x14ac:dyDescent="0.2">
      <c r="B45" s="554"/>
      <c r="C45" s="554"/>
      <c r="D45" s="554"/>
      <c r="E45" s="554"/>
      <c r="F45" s="554"/>
      <c r="G45" s="554"/>
      <c r="H45" s="554"/>
      <c r="I45" s="554"/>
      <c r="J45" s="554"/>
      <c r="K45" s="554"/>
      <c r="L45" s="554"/>
      <c r="M45" s="554"/>
    </row>
    <row r="46" spans="1:30" s="508" customFormat="1" x14ac:dyDescent="0.2">
      <c r="A46" s="504"/>
      <c r="B46" s="505" t="s">
        <v>1</v>
      </c>
      <c r="C46" s="505" t="s">
        <v>2</v>
      </c>
      <c r="D46" s="505" t="s">
        <v>11</v>
      </c>
      <c r="E46" s="506" t="s">
        <v>4</v>
      </c>
      <c r="F46" s="506" t="s">
        <v>5</v>
      </c>
      <c r="G46" s="507" t="s">
        <v>41</v>
      </c>
      <c r="H46" s="507" t="s">
        <v>53</v>
      </c>
      <c r="I46" s="507" t="s">
        <v>54</v>
      </c>
      <c r="J46" s="507" t="s">
        <v>76</v>
      </c>
      <c r="K46" s="507" t="s">
        <v>84</v>
      </c>
      <c r="L46" s="507" t="s">
        <v>87</v>
      </c>
      <c r="M46" s="507" t="s">
        <v>89</v>
      </c>
      <c r="N46" s="507" t="s">
        <v>108</v>
      </c>
      <c r="O46" s="507" t="s">
        <v>118</v>
      </c>
      <c r="P46" s="508" t="s">
        <v>121</v>
      </c>
      <c r="Q46" s="508" t="s">
        <v>132</v>
      </c>
      <c r="R46" s="508" t="s">
        <v>134</v>
      </c>
      <c r="S46" s="508" t="s">
        <v>137</v>
      </c>
      <c r="T46" s="508" t="s">
        <v>139</v>
      </c>
      <c r="U46" s="508" t="s">
        <v>141</v>
      </c>
      <c r="V46" s="508" t="s">
        <v>144</v>
      </c>
      <c r="W46" s="508" t="s">
        <v>147</v>
      </c>
      <c r="X46" s="508" t="s">
        <v>150</v>
      </c>
      <c r="Y46" s="508" t="s">
        <v>152</v>
      </c>
      <c r="Z46" s="508" t="s">
        <v>154</v>
      </c>
      <c r="AA46" s="508" t="s">
        <v>156</v>
      </c>
      <c r="AB46" s="508" t="s">
        <v>157</v>
      </c>
    </row>
    <row r="47" spans="1:30" s="508" customFormat="1" x14ac:dyDescent="0.2">
      <c r="A47" s="508">
        <v>18</v>
      </c>
      <c r="B47" s="509">
        <v>0.53196951464099473</v>
      </c>
      <c r="C47" s="509">
        <v>0.49978503869303526</v>
      </c>
      <c r="D47" s="509">
        <v>0.49643061107938319</v>
      </c>
      <c r="E47" s="509">
        <v>9.7376484105706623E-2</v>
      </c>
      <c r="F47" s="510">
        <v>8.3777358799901627E-2</v>
      </c>
      <c r="G47" s="509">
        <v>1.4489348370927317E-2</v>
      </c>
      <c r="H47" s="509">
        <v>2.0282451923076925E-3</v>
      </c>
      <c r="I47" s="509">
        <v>3.0693153721544891E-3</v>
      </c>
      <c r="J47" s="509">
        <v>3.3327486405893701E-3</v>
      </c>
      <c r="K47" s="509">
        <v>3.1710501772057452E-3</v>
      </c>
      <c r="L47" s="509">
        <v>6.2618595825426945E-3</v>
      </c>
      <c r="M47" s="509">
        <v>4.241995758004242E-3</v>
      </c>
      <c r="N47" s="509">
        <v>3.4712449573130687E-3</v>
      </c>
      <c r="O47" s="509">
        <v>6.1616527727437476E-3</v>
      </c>
      <c r="P47" s="509">
        <v>4.0260736196319029E-3</v>
      </c>
      <c r="Q47" s="509">
        <f>+'voš_věk x dfst '!K114</f>
        <v>5.0086688499325766E-3</v>
      </c>
      <c r="R47" s="509">
        <f>'voš_věk x dfst '!C132</f>
        <v>4.3855374719812884E-3</v>
      </c>
      <c r="S47" s="509">
        <f>'voš_věk x dfst '!K132</f>
        <v>5.6281193586067754E-3</v>
      </c>
      <c r="T47" s="509">
        <f>'voš_věk x dfst '!C150</f>
        <v>4.1676589664205767E-3</v>
      </c>
      <c r="U47" s="509">
        <f>'voš_věk x dfst '!K150</f>
        <v>6.2178967288456337E-3</v>
      </c>
      <c r="V47" s="509">
        <f>'voš_věk x dfst '!C168</f>
        <v>8.4878968877711413E-3</v>
      </c>
      <c r="W47" s="509">
        <f>'voš_věk x dfst '!K168</f>
        <v>3.3E-3</v>
      </c>
      <c r="X47" s="509">
        <f>'voš_věk x dfst '!C186</f>
        <v>3.3E-3</v>
      </c>
      <c r="Y47" s="509">
        <f>'voš_věk x dfst '!K186</f>
        <v>4.5999999999999999E-3</v>
      </c>
      <c r="Z47" s="509">
        <f>'voš_věk x dfst '!C204</f>
        <v>3.8E-3</v>
      </c>
      <c r="AA47" s="509">
        <f>'voš_věk x dfst '!K204</f>
        <v>4.7000000000000002E-3</v>
      </c>
      <c r="AB47" s="559">
        <f>'voš_věk x dfst '!C222</f>
        <v>4.3E-3</v>
      </c>
    </row>
    <row r="48" spans="1:30" s="508" customFormat="1" x14ac:dyDescent="0.2">
      <c r="A48" s="508">
        <v>19</v>
      </c>
      <c r="B48" s="509">
        <v>0.31135178499799437</v>
      </c>
      <c r="C48" s="509">
        <v>0.31513327601031815</v>
      </c>
      <c r="D48" s="509">
        <v>0.30118503712164479</v>
      </c>
      <c r="E48" s="509">
        <v>0.38854844887016471</v>
      </c>
      <c r="F48" s="509">
        <v>0.62169030248381019</v>
      </c>
      <c r="G48" s="509">
        <v>0.57072368421052633</v>
      </c>
      <c r="H48" s="509">
        <v>0.49624399038461536</v>
      </c>
      <c r="I48" s="509">
        <v>0.52766646772955916</v>
      </c>
      <c r="J48" s="509">
        <v>0.52999473776530437</v>
      </c>
      <c r="K48" s="509">
        <v>0.517160977429584</v>
      </c>
      <c r="L48" s="509">
        <v>0.5130929791271347</v>
      </c>
      <c r="M48" s="509">
        <v>0.51762448237551761</v>
      </c>
      <c r="N48" s="509">
        <v>0.49760765550239233</v>
      </c>
      <c r="O48" s="509">
        <v>0.48142442914099309</v>
      </c>
      <c r="P48" s="509">
        <v>0.44315567484662588</v>
      </c>
      <c r="Q48" s="509">
        <f>+'voš_věk x dfst '!K115</f>
        <v>0.43257561163552311</v>
      </c>
      <c r="R48" s="509">
        <f>'voš_věk x dfst '!C133</f>
        <v>0.40541857518760355</v>
      </c>
      <c r="S48" s="509">
        <f>'voš_věk x dfst '!K133</f>
        <v>0.40108314749920354</v>
      </c>
      <c r="T48" s="509">
        <f>'voš_věk x dfst '!C151</f>
        <v>0.40771612288640152</v>
      </c>
      <c r="U48" s="509">
        <f>'voš_věk x dfst '!K151</f>
        <v>0.40132468234658014</v>
      </c>
      <c r="V48" s="509">
        <f>'voš_věk x dfst '!C169</f>
        <v>0.39547312165985538</v>
      </c>
      <c r="W48" s="509">
        <f>'voš_věk x dfst '!K169</f>
        <v>0.40849999999999997</v>
      </c>
      <c r="X48" s="509">
        <f>'voš_věk x dfst '!C187</f>
        <v>0.40849999999999997</v>
      </c>
      <c r="Y48" s="509">
        <f>'voš_věk x dfst '!K187</f>
        <v>0.42930000000000001</v>
      </c>
      <c r="Z48" s="509">
        <f>'voš_věk x dfst '!C205</f>
        <v>0.44440000000000002</v>
      </c>
      <c r="AA48" s="509">
        <f>'voš_věk x dfst '!K205</f>
        <v>0.42880000000000001</v>
      </c>
      <c r="AB48" s="559">
        <f>'voš_věk x dfst '!C223</f>
        <v>0.45679999999999998</v>
      </c>
    </row>
    <row r="49" spans="1:30" s="508" customFormat="1" x14ac:dyDescent="0.2">
      <c r="A49" s="508">
        <v>20</v>
      </c>
      <c r="B49" s="509">
        <v>9.9558764540713995E-2</v>
      </c>
      <c r="C49" s="509">
        <v>0.11593579822298652</v>
      </c>
      <c r="D49" s="509">
        <v>0.11964591661907481</v>
      </c>
      <c r="E49" s="509">
        <v>0.19293374186135581</v>
      </c>
      <c r="F49" s="509">
        <v>0.16845643085498813</v>
      </c>
      <c r="G49" s="509">
        <v>0.27232142857142855</v>
      </c>
      <c r="H49" s="509">
        <v>0.28448016826923078</v>
      </c>
      <c r="I49" s="509">
        <v>0.27530053713019015</v>
      </c>
      <c r="J49" s="509">
        <v>0.27284686897035609</v>
      </c>
      <c r="K49" s="509">
        <v>0.27289684760305916</v>
      </c>
      <c r="L49" s="509">
        <v>0.27058823529411763</v>
      </c>
      <c r="M49" s="509">
        <v>0.26674073325926673</v>
      </c>
      <c r="N49" s="509">
        <v>0.2792006754855052</v>
      </c>
      <c r="O49" s="509">
        <v>0.27799927509967381</v>
      </c>
      <c r="P49" s="509">
        <v>0.30310582822085896</v>
      </c>
      <c r="Q49" s="509">
        <f>+'voš_věk x dfst '!K116</f>
        <v>0.28867270275476792</v>
      </c>
      <c r="R49" s="509">
        <f>'voš_věk x dfst '!C134</f>
        <v>0.30572068999122892</v>
      </c>
      <c r="S49" s="509">
        <f>'voš_věk x dfst '!K134</f>
        <v>0.28554741425082297</v>
      </c>
      <c r="T49" s="509">
        <f>'voš_věk x dfst '!C152</f>
        <v>0.26482495832341035</v>
      </c>
      <c r="U49" s="509">
        <f>'voš_věk x dfst '!K152</f>
        <v>0.26074614760746145</v>
      </c>
      <c r="V49" s="509">
        <f>'voš_věk x dfst '!C170</f>
        <v>0.26784030179188933</v>
      </c>
      <c r="W49" s="509">
        <f>'voš_věk x dfst '!K170</f>
        <v>0.26219999999999999</v>
      </c>
      <c r="X49" s="509">
        <f>'voš_věk x dfst '!C188</f>
        <v>0.26219999999999999</v>
      </c>
      <c r="Y49" s="509">
        <f>'voš_věk x dfst '!K188</f>
        <v>0.26650000000000001</v>
      </c>
      <c r="Z49" s="509">
        <f>'voš_věk x dfst '!C206</f>
        <v>0.26979999999999998</v>
      </c>
      <c r="AA49" s="509">
        <f>'voš_věk x dfst '!K206</f>
        <v>0.26319999999999999</v>
      </c>
      <c r="AB49" s="559">
        <f>'voš_věk x dfst '!C224</f>
        <v>0.26190000000000002</v>
      </c>
    </row>
    <row r="50" spans="1:30" s="508" customFormat="1" x14ac:dyDescent="0.2">
      <c r="A50" s="508">
        <v>21</v>
      </c>
      <c r="B50" s="509">
        <v>2.7998395507420778E-2</v>
      </c>
      <c r="C50" s="509">
        <v>3.6901691028948122E-2</v>
      </c>
      <c r="D50" s="509">
        <v>4.3332381496287833E-2</v>
      </c>
      <c r="E50" s="509">
        <v>9.7184986595174258E-2</v>
      </c>
      <c r="F50" s="509">
        <v>5.9021231248462987E-2</v>
      </c>
      <c r="G50" s="509">
        <v>7.0567042606516292E-2</v>
      </c>
      <c r="H50" s="509">
        <v>0.12364783653846154</v>
      </c>
      <c r="I50" s="509">
        <v>9.7621280586580275E-2</v>
      </c>
      <c r="J50" s="509">
        <v>9.8140677074197505E-2</v>
      </c>
      <c r="K50" s="509">
        <v>0.10744264129826525</v>
      </c>
      <c r="L50" s="509">
        <v>0.10132827324478179</v>
      </c>
      <c r="M50" s="509">
        <v>9.6858903141096853E-2</v>
      </c>
      <c r="N50" s="509">
        <v>0.1021671826625387</v>
      </c>
      <c r="O50" s="509">
        <v>0.10837259876766944</v>
      </c>
      <c r="P50" s="509">
        <v>0.11474309815950923</v>
      </c>
      <c r="Q50" s="509">
        <f>+'voš_věk x dfst '!K117</f>
        <v>0.12637256790599116</v>
      </c>
      <c r="R50" s="509">
        <f>'voš_věk x dfst '!C135</f>
        <v>0.12035863950881981</v>
      </c>
      <c r="S50" s="509">
        <f>'voš_věk x dfst '!K135</f>
        <v>0.12944674524795582</v>
      </c>
      <c r="T50" s="509">
        <f>'voš_věk x dfst '!C153</f>
        <v>0.12717313646106215</v>
      </c>
      <c r="U50" s="509">
        <f>'voš_věk x dfst '!K153</f>
        <v>0.11868072452014058</v>
      </c>
      <c r="V50" s="509">
        <f>'voš_věk x dfst '!C171</f>
        <v>0.11898773970449544</v>
      </c>
      <c r="W50" s="509">
        <f>'voš_věk x dfst '!K171</f>
        <v>0.1147</v>
      </c>
      <c r="X50" s="509">
        <f>'voš_věk x dfst '!C189</f>
        <v>0.1147</v>
      </c>
      <c r="Y50" s="509">
        <f>'voš_věk x dfst '!K189</f>
        <v>0.10829999999999999</v>
      </c>
      <c r="Z50" s="509">
        <f>'voš_věk x dfst '!C207</f>
        <v>0.1174</v>
      </c>
      <c r="AA50" s="509">
        <f>'voš_věk x dfst '!K207</f>
        <v>0.1079</v>
      </c>
      <c r="AB50" s="559">
        <f>'voš_věk x dfst '!C225</f>
        <v>0.1051</v>
      </c>
    </row>
    <row r="51" spans="1:30" s="508" customFormat="1" x14ac:dyDescent="0.2">
      <c r="A51" s="508">
        <v>22</v>
      </c>
      <c r="B51" s="509">
        <v>1.3397513036502206E-2</v>
      </c>
      <c r="C51" s="509">
        <v>1.5190599025508742E-2</v>
      </c>
      <c r="D51" s="509">
        <v>1.9703026841804683E-2</v>
      </c>
      <c r="E51" s="509">
        <v>5.3619302949061663E-2</v>
      </c>
      <c r="F51" s="509">
        <v>3.0412328879416344E-2</v>
      </c>
      <c r="G51" s="509">
        <v>2.9605263157894735E-2</v>
      </c>
      <c r="H51" s="509">
        <v>4.371995192307692E-2</v>
      </c>
      <c r="I51" s="509">
        <v>4.7915423309745075E-2</v>
      </c>
      <c r="J51" s="509">
        <v>4.5079810559550959E-2</v>
      </c>
      <c r="K51" s="509">
        <v>4.1969781757134866E-2</v>
      </c>
      <c r="L51" s="509">
        <v>4.506641366223909E-2</v>
      </c>
      <c r="M51" s="509">
        <v>4.5146954853045144E-2</v>
      </c>
      <c r="N51" s="509">
        <v>4.3437470682052726E-2</v>
      </c>
      <c r="O51" s="509">
        <v>4.8296484233417904E-2</v>
      </c>
      <c r="P51" s="509">
        <v>5.6365030674846633E-2</v>
      </c>
      <c r="Q51" s="509">
        <f>+'voš_věk x dfst '!K118</f>
        <v>6.1741475630899642E-2</v>
      </c>
      <c r="R51" s="509">
        <f>'voš_věk x dfst '!C136</f>
        <v>6.5490692914920573E-2</v>
      </c>
      <c r="S51" s="509">
        <f>'voš_věk x dfst '!K136</f>
        <v>6.4351704364447274E-2</v>
      </c>
      <c r="T51" s="509">
        <f>'voš_věk x dfst '!C154</f>
        <v>7.1326506311026439E-2</v>
      </c>
      <c r="U51" s="509">
        <f>'voš_věk x dfst '!K154</f>
        <v>7.5560962422276293E-2</v>
      </c>
      <c r="V51" s="509">
        <f>'voš_věk x dfst '!C172</f>
        <v>6.9003458032065382E-2</v>
      </c>
      <c r="W51" s="509">
        <f>'voš_věk x dfst '!K172</f>
        <v>6.6199999999999995E-2</v>
      </c>
      <c r="X51" s="509">
        <f>'voš_věk x dfst '!C190</f>
        <v>6.6199999999999995E-2</v>
      </c>
      <c r="Y51" s="509">
        <f>'voš_věk x dfst '!K190</f>
        <v>0.06</v>
      </c>
      <c r="Z51" s="509">
        <f>'voš_věk x dfst '!C208</f>
        <v>5.6399999999999999E-2</v>
      </c>
      <c r="AA51" s="509">
        <f>'voš_věk x dfst '!K208</f>
        <v>7.2400000000000006E-2</v>
      </c>
      <c r="AB51" s="559">
        <f>'voš_věk x dfst '!C226</f>
        <v>6.5299999999999997E-2</v>
      </c>
    </row>
    <row r="52" spans="1:30" s="508" customFormat="1" x14ac:dyDescent="0.2">
      <c r="A52" s="508">
        <v>23</v>
      </c>
      <c r="B52" s="509">
        <v>6.5784195748094668E-3</v>
      </c>
      <c r="C52" s="509">
        <v>6.8071080538836346E-3</v>
      </c>
      <c r="D52" s="509">
        <v>8.0668189605939463E-3</v>
      </c>
      <c r="E52" s="509">
        <v>3.47567981616239E-2</v>
      </c>
      <c r="F52" s="509">
        <v>1.483728174440528E-2</v>
      </c>
      <c r="G52" s="509">
        <v>1.9110275689223057E-2</v>
      </c>
      <c r="H52" s="509">
        <v>2.1559495192307692E-2</v>
      </c>
      <c r="I52" s="509">
        <v>1.9865291158666552E-2</v>
      </c>
      <c r="J52" s="509">
        <v>2.0698123136291879E-2</v>
      </c>
      <c r="K52" s="509">
        <v>2.1731020332027607E-2</v>
      </c>
      <c r="L52" s="509">
        <v>2.4952561669829221E-2</v>
      </c>
      <c r="M52" s="509">
        <v>2.2623977376022623E-2</v>
      </c>
      <c r="N52" s="509">
        <v>2.5049254151421334E-2</v>
      </c>
      <c r="O52" s="509">
        <v>2.6549474447263501E-2</v>
      </c>
      <c r="P52" s="509">
        <v>2.9907975460122707E-2</v>
      </c>
      <c r="Q52" s="509">
        <f>+'voš_věk x dfst '!K119</f>
        <v>3.4482758620689662E-2</v>
      </c>
      <c r="R52" s="509">
        <f>'voš_věk x dfst '!C137</f>
        <v>3.9957119189162851E-2</v>
      </c>
      <c r="S52" s="509">
        <f>'voš_věk x dfst '!K137</f>
        <v>4.5343527662737602E-2</v>
      </c>
      <c r="T52" s="509">
        <f>'voš_věk x dfst '!C155</f>
        <v>4.9535603715170282E-2</v>
      </c>
      <c r="U52" s="509">
        <f>'voš_věk x dfst '!K155</f>
        <v>5.3663152203298189E-2</v>
      </c>
      <c r="V52" s="509">
        <f>'voš_věk x dfst '!C173</f>
        <v>4.9198365293932726E-2</v>
      </c>
      <c r="W52" s="509">
        <f>'voš_věk x dfst '!K173</f>
        <v>5.11E-2</v>
      </c>
      <c r="X52" s="509">
        <f>'voš_věk x dfst '!C191</f>
        <v>5.11E-2</v>
      </c>
      <c r="Y52" s="509">
        <f>'voš_věk x dfst '!K191</f>
        <v>4.2700000000000002E-2</v>
      </c>
      <c r="Z52" s="509">
        <f>'voš_věk x dfst '!C209</f>
        <v>3.8300000000000001E-2</v>
      </c>
      <c r="AA52" s="509">
        <f>'voš_věk x dfst '!K209</f>
        <v>4.4499999999999998E-2</v>
      </c>
      <c r="AB52" s="559">
        <f>'voš_věk x dfst '!C227</f>
        <v>4.1099999999999998E-2</v>
      </c>
    </row>
    <row r="53" spans="1:30" s="508" customFormat="1" x14ac:dyDescent="0.2">
      <c r="A53" s="508">
        <v>24</v>
      </c>
      <c r="B53" s="509">
        <v>2.3265142398716408E-3</v>
      </c>
      <c r="C53" s="509">
        <v>4.6574949842361707E-3</v>
      </c>
      <c r="D53" s="509">
        <v>4.5688178183894918E-3</v>
      </c>
      <c r="E53" s="509">
        <v>2.2022213711221754E-2</v>
      </c>
      <c r="F53" s="509">
        <v>7.7875235675055332E-3</v>
      </c>
      <c r="G53" s="509">
        <v>8.615288220551378E-3</v>
      </c>
      <c r="H53" s="509">
        <v>1.2620192307692308E-2</v>
      </c>
      <c r="I53" s="509">
        <v>9.6342399181515905E-3</v>
      </c>
      <c r="J53" s="509">
        <v>9.033502894229082E-3</v>
      </c>
      <c r="K53" s="509">
        <v>1.1844805073680284E-2</v>
      </c>
      <c r="L53" s="509">
        <v>1.2049335863377609E-2</v>
      </c>
      <c r="M53" s="509">
        <v>1.3432986567013434E-2</v>
      </c>
      <c r="N53" s="509">
        <v>1.4635519279482128E-2</v>
      </c>
      <c r="O53" s="509">
        <v>1.3138818412468285E-2</v>
      </c>
      <c r="P53" s="509">
        <v>1.5816717791411045E-2</v>
      </c>
      <c r="Q53" s="509">
        <f>+'voš_věk x dfst '!K120</f>
        <v>1.9649393180504723E-2</v>
      </c>
      <c r="R53" s="509">
        <f>'voš_věk x dfst '!C138</f>
        <v>2.2414969301237698E-2</v>
      </c>
      <c r="S53" s="509">
        <f>'voš_věk x dfst '!K138</f>
        <v>2.7291069342678137E-2</v>
      </c>
      <c r="T53" s="509">
        <f>'voš_věk x dfst '!C156</f>
        <v>2.822100500119076E-2</v>
      </c>
      <c r="U53" s="509">
        <f>'voš_věk x dfst '!K156</f>
        <v>3.0954311976209785E-2</v>
      </c>
      <c r="V53" s="509">
        <f>'voš_věk x dfst '!C174</f>
        <v>3.222257151839044E-2</v>
      </c>
      <c r="W53" s="509">
        <f>'voš_věk x dfst '!K174</f>
        <v>3.2199999999999999E-2</v>
      </c>
      <c r="X53" s="509">
        <f>'voš_věk x dfst '!C192</f>
        <v>3.2199999999999999E-2</v>
      </c>
      <c r="Y53" s="509">
        <f>'voš_věk x dfst '!K192</f>
        <v>3.4299999999999997E-2</v>
      </c>
      <c r="Z53" s="509">
        <f>'voš_věk x dfst '!C210</f>
        <v>2.5499999999999998E-2</v>
      </c>
      <c r="AA53" s="509">
        <f>'voš_věk x dfst '!K210</f>
        <v>2.9899999999999999E-2</v>
      </c>
      <c r="AB53" s="559">
        <f>'voš_věk x dfst '!C228</f>
        <v>2.5399999999999999E-2</v>
      </c>
    </row>
    <row r="54" spans="1:30" s="508" customFormat="1" x14ac:dyDescent="0.2">
      <c r="A54" s="511" t="s">
        <v>77</v>
      </c>
      <c r="B54" s="509">
        <v>6.9795427196149215E-3</v>
      </c>
      <c r="C54" s="509">
        <v>5.5173402120951565E-3</v>
      </c>
      <c r="D54" s="509">
        <v>7.0673900628212454E-3</v>
      </c>
      <c r="E54" s="509">
        <v>0.11355802374569131</v>
      </c>
      <c r="F54" s="509">
        <v>1.401754242150996E-2</v>
      </c>
      <c r="G54" s="509">
        <v>1.456766917293233E-2</v>
      </c>
      <c r="H54" s="509">
        <v>1.5700120192307692E-2</v>
      </c>
      <c r="I54" s="509">
        <v>1.8927444794952682E-2</v>
      </c>
      <c r="J54" s="509">
        <v>2.0873530959480791E-2</v>
      </c>
      <c r="K54" s="509">
        <v>2.3782876329043089E-2</v>
      </c>
      <c r="L54" s="509">
        <v>2.666034155597723E-2</v>
      </c>
      <c r="M54" s="509">
        <v>3.332996667003333E-2</v>
      </c>
      <c r="N54" s="509">
        <v>3.4430997279294495E-2</v>
      </c>
      <c r="O54" s="509">
        <v>3.8057267125770206E-2</v>
      </c>
      <c r="P54" s="509">
        <v>3.2879601226993863E-2</v>
      </c>
      <c r="Q54" s="509">
        <f>SUM('voš_věk x dfst '!K121:K126)</f>
        <v>3.1496821421691398E-2</v>
      </c>
      <c r="R54" s="509">
        <f>SUM('voš_věk x dfst '!C139:C144)</f>
        <v>3.6253776435045314E-2</v>
      </c>
      <c r="S54" s="509">
        <f>SUM('voš_věk x dfst '!K139:K144)</f>
        <v>4.1308272273547844E-2</v>
      </c>
      <c r="T54" s="509">
        <f>SUM('voš_věk x dfst '!C157:C162)</f>
        <v>4.7035008335317929E-2</v>
      </c>
      <c r="U54" s="509">
        <f>SUM('voš_věk x dfst '!K157:K162)</f>
        <v>5.2852122195187888E-2</v>
      </c>
      <c r="V54" s="509">
        <f>SUM('voš_věk x dfst '!C175:C180)</f>
        <v>5.8786545111600128E-2</v>
      </c>
      <c r="W54" s="509">
        <f>SUM('voš_věk x dfst '!K175:K180)</f>
        <v>6.1600000000000002E-2</v>
      </c>
      <c r="X54" s="509">
        <f>SUM('voš_věk x dfst '!C193:C198)</f>
        <v>6.1600000000000002E-2</v>
      </c>
      <c r="Y54" s="509">
        <f>SUM('voš_věk x dfst '!K193:K198)</f>
        <v>5.4300000000000001E-2</v>
      </c>
      <c r="Z54" s="509">
        <f>SUM('voš_věk x dfst '!C211:C216)</f>
        <v>4.4400000000000002E-2</v>
      </c>
      <c r="AA54" s="509">
        <f>SUM('voš_věk x dfst '!K211:K216)</f>
        <v>4.8599999999999997E-2</v>
      </c>
      <c r="AB54" s="559">
        <f>SUM('voš_věk x dfst '!C229:C234)</f>
        <v>4.0100000000000004E-2</v>
      </c>
    </row>
    <row r="55" spans="1:30" s="525" customFormat="1" x14ac:dyDescent="0.2">
      <c r="A55" s="508"/>
      <c r="B55" s="555"/>
      <c r="C55" s="555"/>
      <c r="D55" s="555"/>
      <c r="E55" s="555"/>
      <c r="F55" s="554"/>
      <c r="G55" s="554"/>
      <c r="H55" s="554"/>
      <c r="I55" s="554"/>
      <c r="J55" s="554"/>
      <c r="K55" s="554"/>
      <c r="L55" s="554"/>
      <c r="M55" s="554"/>
      <c r="N55" s="508"/>
      <c r="O55" s="508"/>
      <c r="P55" s="508"/>
      <c r="Q55" s="508"/>
      <c r="R55" s="508"/>
      <c r="S55" s="508"/>
      <c r="T55" s="508"/>
      <c r="U55" s="508"/>
      <c r="V55" s="508"/>
      <c r="W55" s="508"/>
      <c r="X55" s="508"/>
      <c r="Y55" s="508"/>
      <c r="Z55" s="508"/>
      <c r="AA55" s="508"/>
      <c r="AB55" s="508"/>
      <c r="AC55" s="508"/>
      <c r="AD55" s="508"/>
    </row>
    <row r="56" spans="1:30" s="525" customFormat="1" x14ac:dyDescent="0.2">
      <c r="A56" s="1"/>
      <c r="B56" s="550"/>
      <c r="C56" s="550"/>
      <c r="D56" s="550"/>
      <c r="E56" s="550"/>
      <c r="F56" s="549"/>
      <c r="G56" s="549"/>
      <c r="H56" s="549"/>
      <c r="I56" s="549"/>
      <c r="J56" s="549"/>
      <c r="K56" s="551"/>
      <c r="L56" s="552"/>
      <c r="M56" s="553"/>
      <c r="N56" s="551"/>
      <c r="O56" s="549"/>
      <c r="P56" s="544"/>
      <c r="Q56" s="544"/>
      <c r="R56" s="544"/>
      <c r="S56" s="544"/>
      <c r="T56" s="544"/>
      <c r="U56" s="508"/>
      <c r="V56" s="508"/>
      <c r="W56" s="508"/>
      <c r="X56" s="508"/>
      <c r="Y56" s="508"/>
      <c r="Z56" s="508"/>
      <c r="AA56" s="508"/>
      <c r="AB56" s="508"/>
      <c r="AC56" s="508"/>
      <c r="AD56" s="508"/>
    </row>
    <row r="57" spans="1:30" s="525" customFormat="1" x14ac:dyDescent="0.2">
      <c r="A57" s="1"/>
      <c r="B57" s="319"/>
      <c r="C57" s="319"/>
      <c r="D57" s="9"/>
      <c r="E57" s="9"/>
      <c r="F57" s="9"/>
      <c r="G57" s="9"/>
      <c r="H57" s="9"/>
      <c r="I57" s="9"/>
      <c r="J57" s="9"/>
      <c r="K57" s="536"/>
      <c r="L57" s="537"/>
      <c r="M57" s="538"/>
      <c r="N57" s="536"/>
      <c r="O57" s="9"/>
      <c r="P57" s="1"/>
      <c r="Q57" s="1"/>
      <c r="R57" s="1"/>
      <c r="S57" s="1"/>
      <c r="T57" s="1"/>
      <c r="U57" s="508"/>
      <c r="V57" s="508"/>
      <c r="W57" s="508"/>
      <c r="X57" s="508"/>
      <c r="Y57" s="508"/>
      <c r="Z57" s="508"/>
      <c r="AA57" s="508"/>
      <c r="AB57" s="508"/>
      <c r="AC57" s="508"/>
      <c r="AD57" s="508"/>
    </row>
    <row r="58" spans="1:30" s="525" customFormat="1" x14ac:dyDescent="0.2">
      <c r="A58" s="1"/>
      <c r="B58" s="319"/>
      <c r="C58" s="319"/>
      <c r="D58" s="319"/>
      <c r="E58" s="319"/>
      <c r="F58" s="9"/>
      <c r="G58" s="9"/>
      <c r="H58" s="9"/>
      <c r="I58" s="9"/>
      <c r="J58" s="9"/>
      <c r="K58" s="536"/>
      <c r="L58" s="333"/>
      <c r="M58" s="332"/>
      <c r="N58" s="536"/>
      <c r="O58" s="9"/>
      <c r="P58" s="1"/>
      <c r="Q58" s="1"/>
      <c r="R58" s="1"/>
      <c r="S58" s="1"/>
      <c r="T58" s="1"/>
      <c r="U58" s="508"/>
      <c r="V58" s="508"/>
      <c r="W58" s="508"/>
      <c r="X58" s="508"/>
      <c r="Y58" s="508"/>
      <c r="Z58" s="508"/>
      <c r="AA58" s="508"/>
      <c r="AB58" s="508"/>
      <c r="AC58" s="508"/>
      <c r="AD58" s="508"/>
    </row>
    <row r="59" spans="1:30" s="525" customFormat="1" x14ac:dyDescent="0.2">
      <c r="A59" s="1"/>
      <c r="B59" s="319"/>
      <c r="C59" s="319"/>
      <c r="D59" s="319"/>
      <c r="E59" s="319"/>
      <c r="F59" s="9"/>
      <c r="G59" s="9"/>
      <c r="H59" s="9"/>
      <c r="I59" s="9"/>
      <c r="J59" s="9"/>
      <c r="K59" s="536"/>
      <c r="L59" s="333"/>
      <c r="M59" s="332"/>
      <c r="N59" s="536"/>
      <c r="O59" s="9"/>
      <c r="P59" s="1"/>
      <c r="Q59" s="1"/>
      <c r="R59" s="1"/>
      <c r="S59" s="1"/>
      <c r="T59" s="1"/>
      <c r="U59" s="508"/>
      <c r="V59" s="508"/>
      <c r="W59" s="508"/>
      <c r="X59" s="508"/>
      <c r="Y59" s="508"/>
      <c r="Z59" s="508"/>
      <c r="AA59" s="508"/>
      <c r="AB59" s="508"/>
      <c r="AC59" s="508"/>
      <c r="AD59" s="508"/>
    </row>
    <row r="60" spans="1:30" s="525" customFormat="1" x14ac:dyDescent="0.2">
      <c r="A60" s="1"/>
      <c r="B60" s="319"/>
      <c r="C60" s="319"/>
      <c r="D60" s="319"/>
      <c r="E60" s="319"/>
      <c r="F60" s="9"/>
      <c r="G60" s="9"/>
      <c r="H60" s="9"/>
      <c r="I60" s="9"/>
      <c r="J60" s="9"/>
      <c r="K60" s="536"/>
      <c r="L60" s="333"/>
      <c r="M60" s="332"/>
      <c r="N60" s="536"/>
      <c r="O60" s="9"/>
      <c r="P60" s="1"/>
      <c r="Q60" s="1"/>
      <c r="R60" s="1"/>
      <c r="S60" s="1"/>
      <c r="T60" s="1"/>
      <c r="U60" s="508"/>
      <c r="V60" s="508"/>
      <c r="W60" s="508"/>
      <c r="X60" s="508"/>
      <c r="Y60" s="508"/>
      <c r="Z60" s="508"/>
      <c r="AA60" s="508"/>
      <c r="AB60" s="508"/>
      <c r="AC60" s="508"/>
      <c r="AD60" s="508"/>
    </row>
    <row r="61" spans="1:30" s="525" customFormat="1" x14ac:dyDescent="0.2">
      <c r="A61" s="1"/>
      <c r="B61" s="319"/>
      <c r="C61" s="319"/>
      <c r="D61" s="319"/>
      <c r="E61" s="319"/>
      <c r="F61" s="9"/>
      <c r="G61" s="9"/>
      <c r="H61" s="9"/>
      <c r="I61" s="9"/>
      <c r="J61" s="9"/>
      <c r="K61" s="536"/>
      <c r="L61" s="536"/>
      <c r="M61" s="536"/>
      <c r="N61" s="536"/>
      <c r="O61" s="9"/>
      <c r="P61" s="1"/>
      <c r="Q61" s="1"/>
      <c r="R61" s="1"/>
      <c r="S61" s="1"/>
      <c r="T61" s="1"/>
      <c r="U61" s="508"/>
      <c r="V61" s="508"/>
      <c r="W61" s="508"/>
      <c r="X61" s="508"/>
      <c r="Y61" s="508"/>
      <c r="Z61" s="508"/>
      <c r="AA61" s="508"/>
      <c r="AB61" s="508"/>
      <c r="AC61" s="508"/>
      <c r="AD61" s="508"/>
    </row>
    <row r="62" spans="1:30" s="525" customFormat="1" x14ac:dyDescent="0.2">
      <c r="A62" s="1"/>
      <c r="B62" s="319"/>
      <c r="C62" s="319"/>
      <c r="D62" s="319"/>
      <c r="E62" s="319"/>
      <c r="F62" s="9"/>
      <c r="G62" s="9"/>
      <c r="H62" s="9"/>
      <c r="I62" s="9"/>
      <c r="J62" s="9"/>
      <c r="K62" s="316"/>
      <c r="L62" s="316"/>
      <c r="M62" s="316"/>
      <c r="N62" s="316"/>
      <c r="O62" s="9"/>
      <c r="P62" s="1"/>
      <c r="Q62" s="1"/>
      <c r="R62" s="1"/>
      <c r="S62" s="1"/>
      <c r="T62" s="1"/>
      <c r="U62" s="508"/>
      <c r="V62" s="508"/>
      <c r="W62" s="508"/>
      <c r="X62" s="508"/>
      <c r="Y62" s="508"/>
      <c r="Z62" s="508"/>
      <c r="AA62" s="508"/>
      <c r="AB62" s="508"/>
      <c r="AC62" s="508"/>
      <c r="AD62" s="508"/>
    </row>
    <row r="63" spans="1:30" s="525" customFormat="1" x14ac:dyDescent="0.2">
      <c r="A63" s="1"/>
      <c r="B63" s="319"/>
      <c r="C63" s="319"/>
      <c r="D63" s="319"/>
      <c r="E63" s="319"/>
      <c r="F63" s="9"/>
      <c r="G63" s="9"/>
      <c r="H63" s="9"/>
      <c r="I63" s="9"/>
      <c r="J63" s="9"/>
      <c r="K63" s="9"/>
      <c r="L63" s="9"/>
      <c r="M63" s="9"/>
      <c r="N63" s="9"/>
      <c r="O63" s="9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s="525" customFormat="1" x14ac:dyDescent="0.2">
      <c r="A64" s="1"/>
      <c r="B64" s="319"/>
      <c r="C64" s="319"/>
      <c r="D64" s="319"/>
      <c r="E64" s="319"/>
      <c r="F64" s="9"/>
      <c r="G64" s="9"/>
      <c r="H64" s="9"/>
      <c r="I64" s="9"/>
      <c r="J64" s="9"/>
      <c r="K64" s="9"/>
      <c r="L64" s="9"/>
      <c r="M64" s="9"/>
      <c r="N64" s="9"/>
      <c r="O64" s="9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2:23" s="525" customFormat="1" x14ac:dyDescent="0.2">
      <c r="B65" s="527"/>
      <c r="C65" s="527"/>
      <c r="D65" s="527"/>
      <c r="E65" s="527"/>
      <c r="F65" s="526"/>
      <c r="G65" s="526"/>
      <c r="H65" s="526"/>
      <c r="I65" s="526"/>
      <c r="J65" s="526"/>
      <c r="K65" s="526"/>
      <c r="L65" s="526"/>
      <c r="M65" s="526"/>
      <c r="N65" s="526"/>
      <c r="O65" s="526"/>
    </row>
    <row r="66" spans="2:23" s="525" customFormat="1" x14ac:dyDescent="0.2">
      <c r="B66" s="527"/>
      <c r="C66" s="527"/>
      <c r="D66" s="527"/>
      <c r="E66" s="527"/>
      <c r="F66" s="526"/>
      <c r="G66" s="526"/>
      <c r="H66" s="526"/>
      <c r="I66" s="526"/>
      <c r="J66" s="526"/>
      <c r="K66" s="526"/>
      <c r="L66" s="526"/>
      <c r="M66" s="526"/>
      <c r="N66" s="526"/>
      <c r="O66" s="526"/>
    </row>
    <row r="67" spans="2:23" s="525" customFormat="1" x14ac:dyDescent="0.2">
      <c r="B67" s="527"/>
      <c r="C67" s="527"/>
      <c r="D67" s="527"/>
      <c r="E67" s="527"/>
      <c r="F67" s="526"/>
      <c r="G67" s="526"/>
      <c r="H67" s="526"/>
      <c r="I67" s="526"/>
      <c r="J67" s="526"/>
      <c r="K67" s="526"/>
      <c r="L67" s="526"/>
      <c r="M67" s="526"/>
      <c r="N67" s="526"/>
      <c r="O67" s="526"/>
    </row>
    <row r="68" spans="2:23" x14ac:dyDescent="0.2">
      <c r="B68" s="319"/>
      <c r="C68" s="319"/>
      <c r="D68" s="319"/>
      <c r="E68" s="319"/>
      <c r="T68" s="1"/>
      <c r="U68" s="1"/>
      <c r="V68" s="1"/>
      <c r="W68" s="1"/>
    </row>
    <row r="69" spans="2:23" x14ac:dyDescent="0.2">
      <c r="B69" s="319"/>
      <c r="C69" s="319"/>
      <c r="D69" s="319"/>
      <c r="E69" s="319"/>
      <c r="T69" s="1"/>
      <c r="U69" s="1"/>
      <c r="V69" s="1"/>
      <c r="W69" s="1"/>
    </row>
    <row r="70" spans="2:23" x14ac:dyDescent="0.2">
      <c r="B70" s="319"/>
      <c r="C70" s="319"/>
      <c r="D70" s="319"/>
      <c r="E70" s="319"/>
      <c r="T70" s="1"/>
      <c r="U70" s="1"/>
      <c r="V70" s="1"/>
      <c r="W70" s="1"/>
    </row>
    <row r="71" spans="2:23" x14ac:dyDescent="0.2">
      <c r="B71" s="319"/>
      <c r="C71" s="319"/>
      <c r="D71" s="319"/>
      <c r="E71" s="319"/>
      <c r="T71" s="1"/>
      <c r="U71" s="1"/>
      <c r="V71" s="1"/>
      <c r="W71" s="1"/>
    </row>
    <row r="72" spans="2:23" x14ac:dyDescent="0.2">
      <c r="B72" s="319"/>
      <c r="C72" s="319"/>
      <c r="D72" s="319"/>
      <c r="E72" s="319"/>
      <c r="T72" s="1"/>
      <c r="U72" s="1"/>
      <c r="V72" s="1"/>
      <c r="W72" s="1"/>
    </row>
    <row r="73" spans="2:23" x14ac:dyDescent="0.2">
      <c r="B73" s="319"/>
      <c r="C73" s="319"/>
      <c r="D73" s="319"/>
      <c r="E73" s="319"/>
      <c r="T73" s="1"/>
      <c r="U73" s="1"/>
      <c r="V73" s="1"/>
      <c r="W73" s="1"/>
    </row>
    <row r="74" spans="2:23" x14ac:dyDescent="0.2">
      <c r="T74" s="1"/>
      <c r="U74" s="1"/>
      <c r="V74" s="1"/>
      <c r="W74" s="1"/>
    </row>
    <row r="75" spans="2:23" x14ac:dyDescent="0.2">
      <c r="T75" s="1"/>
      <c r="U75" s="1"/>
      <c r="V75" s="1"/>
      <c r="W75" s="1"/>
    </row>
    <row r="76" spans="2:23" x14ac:dyDescent="0.2">
      <c r="T76" s="1"/>
      <c r="U76" s="1"/>
      <c r="V76" s="1"/>
      <c r="W76" s="1"/>
    </row>
    <row r="77" spans="2:23" x14ac:dyDescent="0.2">
      <c r="T77" s="1"/>
      <c r="U77" s="1"/>
      <c r="V77" s="1"/>
      <c r="W77" s="1"/>
    </row>
    <row r="78" spans="2:23" x14ac:dyDescent="0.2">
      <c r="T78" s="1"/>
      <c r="U78" s="1"/>
      <c r="V78" s="1"/>
      <c r="W78" s="1"/>
    </row>
    <row r="79" spans="2:23" x14ac:dyDescent="0.2">
      <c r="T79" s="1"/>
      <c r="U79" s="1"/>
      <c r="V79" s="1"/>
      <c r="W79" s="1"/>
    </row>
    <row r="80" spans="2:23" x14ac:dyDescent="0.2">
      <c r="T80" s="1"/>
      <c r="U80" s="1"/>
      <c r="V80" s="1"/>
      <c r="W80" s="1"/>
    </row>
    <row r="81" spans="17:19" x14ac:dyDescent="0.2">
      <c r="Q81" s="252"/>
      <c r="R81" s="252"/>
      <c r="S81" s="252"/>
    </row>
    <row r="82" spans="17:19" x14ac:dyDescent="0.2">
      <c r="Q82" s="252"/>
      <c r="R82" s="252"/>
      <c r="S82" s="252"/>
    </row>
    <row r="83" spans="17:19" x14ac:dyDescent="0.2">
      <c r="Q83" s="252"/>
      <c r="R83" s="252"/>
      <c r="S83" s="252"/>
    </row>
    <row r="84" spans="17:19" x14ac:dyDescent="0.2">
      <c r="Q84" s="252"/>
      <c r="R84" s="252"/>
      <c r="S84" s="252"/>
    </row>
    <row r="85" spans="17:19" x14ac:dyDescent="0.2">
      <c r="Q85" s="252"/>
      <c r="R85" s="252"/>
      <c r="S85" s="252"/>
    </row>
    <row r="86" spans="17:19" x14ac:dyDescent="0.2">
      <c r="Q86" s="252"/>
      <c r="R86" s="252"/>
      <c r="S86" s="252"/>
    </row>
    <row r="87" spans="17:19" x14ac:dyDescent="0.2">
      <c r="Q87" s="252"/>
      <c r="R87" s="252"/>
      <c r="S87" s="252"/>
    </row>
    <row r="88" spans="17:19" x14ac:dyDescent="0.2">
      <c r="Q88" s="252"/>
      <c r="R88" s="252"/>
      <c r="S88" s="252"/>
    </row>
    <row r="89" spans="17:19" x14ac:dyDescent="0.2">
      <c r="Q89" s="252"/>
      <c r="R89" s="252"/>
      <c r="S89" s="252"/>
    </row>
    <row r="90" spans="17:19" x14ac:dyDescent="0.2">
      <c r="Q90" s="252"/>
      <c r="R90" s="252"/>
      <c r="S90" s="252"/>
    </row>
    <row r="91" spans="17:19" x14ac:dyDescent="0.2">
      <c r="Q91" s="252"/>
      <c r="R91" s="252"/>
      <c r="S91" s="252"/>
    </row>
    <row r="92" spans="17:19" x14ac:dyDescent="0.2">
      <c r="Q92" s="252"/>
      <c r="R92" s="252"/>
      <c r="S92" s="252"/>
    </row>
    <row r="93" spans="17:19" x14ac:dyDescent="0.2">
      <c r="Q93" s="252"/>
      <c r="R93" s="252"/>
      <c r="S93" s="252"/>
    </row>
    <row r="94" spans="17:19" x14ac:dyDescent="0.2">
      <c r="Q94" s="252"/>
      <c r="R94" s="252"/>
      <c r="S94" s="252"/>
    </row>
    <row r="95" spans="17:19" x14ac:dyDescent="0.2">
      <c r="Q95" s="252"/>
      <c r="R95" s="252"/>
      <c r="S95" s="252"/>
    </row>
    <row r="96" spans="17:19" x14ac:dyDescent="0.2">
      <c r="Q96" s="252"/>
      <c r="R96" s="252"/>
      <c r="S96" s="252"/>
    </row>
    <row r="97" spans="17:19" x14ac:dyDescent="0.2">
      <c r="Q97" s="252"/>
      <c r="R97" s="252"/>
      <c r="S97" s="252"/>
    </row>
    <row r="98" spans="17:19" x14ac:dyDescent="0.2">
      <c r="Q98" s="252"/>
      <c r="R98" s="252"/>
      <c r="S98" s="252"/>
    </row>
    <row r="99" spans="17:19" x14ac:dyDescent="0.2">
      <c r="Q99" s="252"/>
      <c r="R99" s="252"/>
      <c r="S99" s="252"/>
    </row>
    <row r="100" spans="17:19" x14ac:dyDescent="0.2">
      <c r="Q100" s="252"/>
      <c r="R100" s="252"/>
      <c r="S100" s="252"/>
    </row>
    <row r="101" spans="17:19" x14ac:dyDescent="0.2">
      <c r="Q101" s="252"/>
      <c r="R101" s="252"/>
      <c r="S101" s="252"/>
    </row>
    <row r="102" spans="17:19" x14ac:dyDescent="0.2">
      <c r="Q102" s="252"/>
      <c r="R102" s="252"/>
      <c r="S102" s="252"/>
    </row>
    <row r="103" spans="17:19" x14ac:dyDescent="0.2">
      <c r="Q103" s="252"/>
      <c r="R103" s="252"/>
      <c r="S103" s="252"/>
    </row>
    <row r="104" spans="17:19" x14ac:dyDescent="0.2">
      <c r="Q104" s="252"/>
      <c r="R104" s="252"/>
      <c r="S104" s="252"/>
    </row>
    <row r="105" spans="17:19" x14ac:dyDescent="0.2">
      <c r="Q105" s="252"/>
      <c r="R105" s="252"/>
      <c r="S105" s="252"/>
    </row>
    <row r="106" spans="17:19" x14ac:dyDescent="0.2">
      <c r="Q106" s="252"/>
      <c r="R106" s="252"/>
      <c r="S106" s="252"/>
    </row>
    <row r="107" spans="17:19" x14ac:dyDescent="0.2">
      <c r="Q107" s="252"/>
      <c r="R107" s="252"/>
      <c r="S107" s="252"/>
    </row>
    <row r="108" spans="17:19" x14ac:dyDescent="0.2">
      <c r="Q108" s="252"/>
      <c r="R108" s="252"/>
      <c r="S108" s="252"/>
    </row>
    <row r="109" spans="17:19" x14ac:dyDescent="0.2">
      <c r="Q109" s="252"/>
      <c r="R109" s="252"/>
      <c r="S109" s="252"/>
    </row>
    <row r="110" spans="17:19" x14ac:dyDescent="0.2">
      <c r="Q110" s="252"/>
      <c r="R110" s="252"/>
      <c r="S110" s="252"/>
    </row>
    <row r="111" spans="17:19" x14ac:dyDescent="0.2">
      <c r="Q111" s="252"/>
      <c r="R111" s="252"/>
      <c r="S111" s="252"/>
    </row>
    <row r="112" spans="17:19" x14ac:dyDescent="0.2">
      <c r="Q112" s="252"/>
      <c r="R112" s="252"/>
      <c r="S112" s="252"/>
    </row>
    <row r="113" spans="16:19" x14ac:dyDescent="0.2">
      <c r="Q113" s="252"/>
      <c r="R113" s="252"/>
      <c r="S113" s="252"/>
    </row>
    <row r="114" spans="16:19" x14ac:dyDescent="0.2">
      <c r="Q114" s="252"/>
      <c r="R114" s="252"/>
      <c r="S114" s="252"/>
    </row>
    <row r="115" spans="16:19" x14ac:dyDescent="0.2">
      <c r="Q115" s="252"/>
      <c r="R115" s="252"/>
      <c r="S115" s="252"/>
    </row>
    <row r="116" spans="16:19" x14ac:dyDescent="0.2">
      <c r="Q116" s="252"/>
      <c r="R116" s="252"/>
      <c r="S116" s="252"/>
    </row>
    <row r="117" spans="16:19" x14ac:dyDescent="0.2">
      <c r="Q117" s="252"/>
      <c r="R117" s="252"/>
      <c r="S117" s="252"/>
    </row>
    <row r="118" spans="16:19" x14ac:dyDescent="0.2">
      <c r="Q118" s="252"/>
      <c r="R118" s="252"/>
      <c r="S118" s="252"/>
    </row>
    <row r="119" spans="16:19" x14ac:dyDescent="0.2">
      <c r="Q119" s="252"/>
      <c r="R119" s="252"/>
      <c r="S119" s="252"/>
    </row>
    <row r="120" spans="16:19" x14ac:dyDescent="0.2">
      <c r="Q120" s="252"/>
      <c r="R120" s="252"/>
      <c r="S120" s="252"/>
    </row>
    <row r="121" spans="16:19" x14ac:dyDescent="0.2">
      <c r="Q121" s="252"/>
      <c r="R121" s="252"/>
      <c r="S121" s="252"/>
    </row>
    <row r="122" spans="16:19" x14ac:dyDescent="0.2">
      <c r="Q122" s="252"/>
      <c r="R122" s="252"/>
      <c r="S122" s="252"/>
    </row>
    <row r="123" spans="16:19" x14ac:dyDescent="0.2">
      <c r="Q123" s="252"/>
      <c r="R123" s="252"/>
      <c r="S123" s="252"/>
    </row>
    <row r="124" spans="16:19" x14ac:dyDescent="0.2">
      <c r="Q124" s="252"/>
      <c r="R124" s="252"/>
      <c r="S124" s="252"/>
    </row>
    <row r="125" spans="16:19" x14ac:dyDescent="0.2">
      <c r="P125" s="252"/>
      <c r="Q125" s="252"/>
      <c r="R125" s="252"/>
      <c r="S125" s="252"/>
    </row>
    <row r="126" spans="16:19" x14ac:dyDescent="0.2">
      <c r="P126" s="252"/>
      <c r="Q126" s="252"/>
      <c r="R126" s="252"/>
      <c r="S126" s="252"/>
    </row>
    <row r="127" spans="16:19" x14ac:dyDescent="0.2">
      <c r="P127" s="252"/>
      <c r="Q127" s="252"/>
      <c r="R127" s="252"/>
      <c r="S127" s="252"/>
    </row>
    <row r="128" spans="16:19" x14ac:dyDescent="0.2">
      <c r="P128" s="252"/>
      <c r="Q128" s="252"/>
      <c r="R128" s="252"/>
      <c r="S128" s="252"/>
    </row>
    <row r="129" spans="16:19" x14ac:dyDescent="0.2">
      <c r="P129" s="252"/>
      <c r="Q129" s="252"/>
      <c r="R129" s="252"/>
      <c r="S129" s="252"/>
    </row>
    <row r="130" spans="16:19" x14ac:dyDescent="0.2">
      <c r="P130" s="252"/>
      <c r="Q130" s="252"/>
      <c r="R130" s="252"/>
      <c r="S130" s="252"/>
    </row>
    <row r="131" spans="16:19" x14ac:dyDescent="0.2">
      <c r="P131" s="252"/>
      <c r="Q131" s="252"/>
      <c r="R131" s="252"/>
      <c r="S131" s="252"/>
    </row>
    <row r="132" spans="16:19" x14ac:dyDescent="0.2">
      <c r="P132" s="252"/>
      <c r="Q132" s="252"/>
      <c r="R132" s="252"/>
      <c r="S132" s="252"/>
    </row>
    <row r="133" spans="16:19" x14ac:dyDescent="0.2">
      <c r="P133" s="252"/>
      <c r="Q133" s="252"/>
      <c r="R133" s="252"/>
      <c r="S133" s="252"/>
    </row>
    <row r="134" spans="16:19" x14ac:dyDescent="0.2">
      <c r="P134" s="252"/>
      <c r="Q134" s="252"/>
      <c r="R134" s="252"/>
      <c r="S134" s="252"/>
    </row>
    <row r="135" spans="16:19" x14ac:dyDescent="0.2">
      <c r="P135" s="252"/>
      <c r="Q135" s="252"/>
      <c r="R135" s="252"/>
      <c r="S135" s="252"/>
    </row>
    <row r="136" spans="16:19" x14ac:dyDescent="0.2">
      <c r="P136" s="252"/>
      <c r="Q136" s="252"/>
      <c r="R136" s="252"/>
      <c r="S136" s="252"/>
    </row>
    <row r="137" spans="16:19" x14ac:dyDescent="0.2">
      <c r="P137" s="252"/>
      <c r="Q137" s="252"/>
      <c r="R137" s="252"/>
      <c r="S137" s="252"/>
    </row>
    <row r="138" spans="16:19" x14ac:dyDescent="0.2">
      <c r="P138" s="252"/>
      <c r="Q138" s="252"/>
      <c r="R138" s="252"/>
      <c r="S138" s="252"/>
    </row>
    <row r="139" spans="16:19" x14ac:dyDescent="0.2">
      <c r="P139" s="252"/>
      <c r="Q139" s="252"/>
      <c r="R139" s="252"/>
      <c r="S139" s="252"/>
    </row>
    <row r="140" spans="16:19" x14ac:dyDescent="0.2">
      <c r="P140" s="252"/>
      <c r="Q140" s="252"/>
      <c r="R140" s="252"/>
      <c r="S140" s="252"/>
    </row>
    <row r="141" spans="16:19" x14ac:dyDescent="0.2">
      <c r="P141" s="252"/>
      <c r="Q141" s="252"/>
      <c r="R141" s="252"/>
      <c r="S141" s="252"/>
    </row>
    <row r="142" spans="16:19" x14ac:dyDescent="0.2">
      <c r="P142" s="252"/>
      <c r="Q142" s="252"/>
      <c r="R142" s="252"/>
      <c r="S142" s="252"/>
    </row>
    <row r="143" spans="16:19" x14ac:dyDescent="0.2">
      <c r="P143" s="252"/>
      <c r="Q143" s="252"/>
      <c r="R143" s="252"/>
      <c r="S143" s="252"/>
    </row>
    <row r="144" spans="16:19" x14ac:dyDescent="0.2">
      <c r="P144" s="252"/>
      <c r="Q144" s="252"/>
      <c r="R144" s="252"/>
      <c r="S144" s="252"/>
    </row>
    <row r="145" spans="16:19" x14ac:dyDescent="0.2">
      <c r="P145" s="252"/>
      <c r="Q145" s="252"/>
      <c r="R145" s="252"/>
      <c r="S145" s="252"/>
    </row>
    <row r="146" spans="16:19" x14ac:dyDescent="0.2">
      <c r="P146" s="252"/>
      <c r="Q146" s="252"/>
      <c r="R146" s="252"/>
      <c r="S146" s="252"/>
    </row>
    <row r="147" spans="16:19" x14ac:dyDescent="0.2">
      <c r="P147" s="252"/>
      <c r="Q147" s="252"/>
      <c r="R147" s="252"/>
      <c r="S147" s="252"/>
    </row>
    <row r="148" spans="16:19" x14ac:dyDescent="0.2">
      <c r="P148" s="252"/>
      <c r="Q148" s="252"/>
      <c r="R148" s="252"/>
      <c r="S148" s="252"/>
    </row>
    <row r="149" spans="16:19" x14ac:dyDescent="0.2">
      <c r="P149" s="252"/>
      <c r="Q149" s="252"/>
      <c r="R149" s="252"/>
      <c r="S149" s="252"/>
    </row>
    <row r="150" spans="16:19" x14ac:dyDescent="0.2">
      <c r="P150" s="252"/>
      <c r="Q150" s="252"/>
      <c r="R150" s="252"/>
      <c r="S150" s="252"/>
    </row>
    <row r="151" spans="16:19" x14ac:dyDescent="0.2">
      <c r="P151" s="252"/>
      <c r="Q151" s="252"/>
      <c r="R151" s="252"/>
      <c r="S151" s="252"/>
    </row>
    <row r="152" spans="16:19" x14ac:dyDescent="0.2">
      <c r="P152" s="252"/>
      <c r="Q152" s="252"/>
      <c r="R152" s="252"/>
      <c r="S152" s="252"/>
    </row>
    <row r="153" spans="16:19" x14ac:dyDescent="0.2">
      <c r="P153" s="252"/>
      <c r="Q153" s="252"/>
      <c r="R153" s="252"/>
      <c r="S153" s="252"/>
    </row>
    <row r="154" spans="16:19" x14ac:dyDescent="0.2">
      <c r="P154" s="252"/>
      <c r="Q154" s="252"/>
      <c r="R154" s="252"/>
      <c r="S154" s="252"/>
    </row>
    <row r="155" spans="16:19" x14ac:dyDescent="0.2">
      <c r="P155" s="252"/>
      <c r="Q155" s="252"/>
      <c r="R155" s="252"/>
      <c r="S155" s="252"/>
    </row>
    <row r="156" spans="16:19" x14ac:dyDescent="0.2">
      <c r="P156" s="252"/>
      <c r="Q156" s="252"/>
      <c r="R156" s="252"/>
      <c r="S156" s="252"/>
    </row>
    <row r="157" spans="16:19" x14ac:dyDescent="0.2">
      <c r="P157" s="252"/>
      <c r="Q157" s="252"/>
      <c r="R157" s="252"/>
      <c r="S157" s="252"/>
    </row>
    <row r="158" spans="16:19" x14ac:dyDescent="0.2">
      <c r="P158" s="252"/>
      <c r="Q158" s="252"/>
      <c r="R158" s="252"/>
      <c r="S158" s="252"/>
    </row>
    <row r="159" spans="16:19" x14ac:dyDescent="0.2">
      <c r="P159" s="252"/>
      <c r="Q159" s="252"/>
      <c r="R159" s="252"/>
      <c r="S159" s="252"/>
    </row>
    <row r="160" spans="16:19" x14ac:dyDescent="0.2">
      <c r="P160" s="252"/>
      <c r="Q160" s="252"/>
      <c r="R160" s="252"/>
      <c r="S160" s="252"/>
    </row>
    <row r="161" spans="16:19" x14ac:dyDescent="0.2">
      <c r="P161" s="252"/>
      <c r="Q161" s="252"/>
      <c r="R161" s="252"/>
      <c r="S161" s="252"/>
    </row>
    <row r="162" spans="16:19" x14ac:dyDescent="0.2">
      <c r="P162" s="252"/>
      <c r="Q162" s="252"/>
      <c r="R162" s="252"/>
      <c r="S162" s="252"/>
    </row>
    <row r="163" spans="16:19" x14ac:dyDescent="0.2">
      <c r="P163" s="252"/>
      <c r="Q163" s="252"/>
      <c r="R163" s="252"/>
      <c r="S163" s="252"/>
    </row>
    <row r="164" spans="16:19" x14ac:dyDescent="0.2">
      <c r="P164" s="252"/>
      <c r="Q164" s="252"/>
      <c r="R164" s="252"/>
      <c r="S164" s="252"/>
    </row>
    <row r="165" spans="16:19" x14ac:dyDescent="0.2">
      <c r="P165" s="252"/>
      <c r="Q165" s="252"/>
      <c r="R165" s="252"/>
      <c r="S165" s="252"/>
    </row>
    <row r="166" spans="16:19" x14ac:dyDescent="0.2">
      <c r="P166" s="252"/>
      <c r="Q166" s="252"/>
      <c r="R166" s="252"/>
      <c r="S166" s="252"/>
    </row>
    <row r="167" spans="16:19" x14ac:dyDescent="0.2">
      <c r="P167" s="252"/>
      <c r="Q167" s="252"/>
      <c r="R167" s="252"/>
      <c r="S167" s="252"/>
    </row>
    <row r="168" spans="16:19" x14ac:dyDescent="0.2">
      <c r="P168" s="252"/>
      <c r="Q168" s="252"/>
      <c r="R168" s="252"/>
      <c r="S168" s="252"/>
    </row>
    <row r="169" spans="16:19" x14ac:dyDescent="0.2">
      <c r="P169" s="252"/>
      <c r="Q169" s="252"/>
      <c r="R169" s="252"/>
      <c r="S169" s="252"/>
    </row>
    <row r="170" spans="16:19" x14ac:dyDescent="0.2">
      <c r="P170" s="252"/>
      <c r="Q170" s="252"/>
      <c r="R170" s="252"/>
      <c r="S170" s="252"/>
    </row>
    <row r="171" spans="16:19" x14ac:dyDescent="0.2">
      <c r="P171" s="252"/>
      <c r="Q171" s="252"/>
      <c r="R171" s="252"/>
      <c r="S171" s="252"/>
    </row>
    <row r="172" spans="16:19" x14ac:dyDescent="0.2">
      <c r="P172" s="252"/>
      <c r="Q172" s="252"/>
      <c r="R172" s="252"/>
      <c r="S172" s="252"/>
    </row>
    <row r="173" spans="16:19" x14ac:dyDescent="0.2">
      <c r="P173" s="252"/>
      <c r="Q173" s="252"/>
      <c r="R173" s="252"/>
      <c r="S173" s="252"/>
    </row>
    <row r="174" spans="16:19" x14ac:dyDescent="0.2">
      <c r="P174" s="252"/>
      <c r="Q174" s="252"/>
      <c r="R174" s="252"/>
      <c r="S174" s="252"/>
    </row>
    <row r="175" spans="16:19" x14ac:dyDescent="0.2">
      <c r="P175" s="252"/>
      <c r="Q175" s="252"/>
      <c r="R175" s="252"/>
      <c r="S175" s="252"/>
    </row>
    <row r="176" spans="16:19" x14ac:dyDescent="0.2">
      <c r="P176" s="252"/>
      <c r="Q176" s="252"/>
      <c r="R176" s="252"/>
      <c r="S176" s="252"/>
    </row>
    <row r="177" spans="16:19" x14ac:dyDescent="0.2">
      <c r="P177" s="252"/>
      <c r="Q177" s="252"/>
      <c r="R177" s="252"/>
      <c r="S177" s="252"/>
    </row>
    <row r="178" spans="16:19" x14ac:dyDescent="0.2">
      <c r="P178" s="252"/>
      <c r="Q178" s="252"/>
      <c r="R178" s="252"/>
      <c r="S178" s="252"/>
    </row>
    <row r="179" spans="16:19" x14ac:dyDescent="0.2">
      <c r="P179" s="252"/>
      <c r="Q179" s="252"/>
      <c r="R179" s="252"/>
      <c r="S179" s="252"/>
    </row>
    <row r="180" spans="16:19" x14ac:dyDescent="0.2">
      <c r="P180" s="252"/>
      <c r="Q180" s="252"/>
      <c r="R180" s="252"/>
      <c r="S180" s="252"/>
    </row>
    <row r="181" spans="16:19" x14ac:dyDescent="0.2">
      <c r="P181" s="252"/>
      <c r="Q181" s="252"/>
      <c r="R181" s="252"/>
      <c r="S181" s="252"/>
    </row>
    <row r="182" spans="16:19" x14ac:dyDescent="0.2">
      <c r="P182" s="252"/>
      <c r="Q182" s="252"/>
      <c r="R182" s="252"/>
      <c r="S182" s="252"/>
    </row>
    <row r="183" spans="16:19" x14ac:dyDescent="0.2">
      <c r="P183" s="252"/>
      <c r="Q183" s="252"/>
      <c r="R183" s="252"/>
      <c r="S183" s="252"/>
    </row>
    <row r="184" spans="16:19" x14ac:dyDescent="0.2">
      <c r="P184" s="252"/>
      <c r="Q184" s="252"/>
      <c r="R184" s="252"/>
      <c r="S184" s="252"/>
    </row>
    <row r="185" spans="16:19" x14ac:dyDescent="0.2">
      <c r="P185" s="252"/>
      <c r="Q185" s="252"/>
      <c r="R185" s="252"/>
      <c r="S185" s="252"/>
    </row>
    <row r="186" spans="16:19" x14ac:dyDescent="0.2">
      <c r="P186" s="252"/>
      <c r="Q186" s="252"/>
      <c r="R186" s="252"/>
      <c r="S186" s="252"/>
    </row>
    <row r="187" spans="16:19" x14ac:dyDescent="0.2">
      <c r="P187" s="252"/>
      <c r="Q187" s="252"/>
      <c r="R187" s="252"/>
      <c r="S187" s="252"/>
    </row>
    <row r="188" spans="16:19" x14ac:dyDescent="0.2">
      <c r="P188" s="252"/>
      <c r="Q188" s="252"/>
      <c r="R188" s="252"/>
      <c r="S188" s="252"/>
    </row>
    <row r="189" spans="16:19" x14ac:dyDescent="0.2">
      <c r="P189" s="252"/>
      <c r="Q189" s="252"/>
      <c r="R189" s="252"/>
      <c r="S189" s="252"/>
    </row>
    <row r="190" spans="16:19" x14ac:dyDescent="0.2">
      <c r="P190" s="252"/>
      <c r="Q190" s="252"/>
      <c r="R190" s="252"/>
      <c r="S190" s="252"/>
    </row>
    <row r="191" spans="16:19" x14ac:dyDescent="0.2">
      <c r="P191" s="252"/>
      <c r="Q191" s="252"/>
      <c r="R191" s="252"/>
      <c r="S191" s="252"/>
    </row>
    <row r="192" spans="16:19" x14ac:dyDescent="0.2">
      <c r="P192" s="252"/>
      <c r="Q192" s="252"/>
      <c r="R192" s="252"/>
      <c r="S192" s="252"/>
    </row>
    <row r="193" spans="16:19" x14ac:dyDescent="0.2">
      <c r="P193" s="252"/>
      <c r="Q193" s="252"/>
      <c r="R193" s="252"/>
      <c r="S193" s="252"/>
    </row>
    <row r="194" spans="16:19" x14ac:dyDescent="0.2">
      <c r="P194" s="252"/>
      <c r="Q194" s="252"/>
      <c r="R194" s="252"/>
      <c r="S194" s="252"/>
    </row>
    <row r="195" spans="16:19" x14ac:dyDescent="0.2">
      <c r="P195" s="252"/>
      <c r="Q195" s="252"/>
      <c r="R195" s="252"/>
      <c r="S195" s="252"/>
    </row>
    <row r="196" spans="16:19" x14ac:dyDescent="0.2">
      <c r="P196" s="252"/>
      <c r="Q196" s="252"/>
      <c r="R196" s="252"/>
      <c r="S196" s="252"/>
    </row>
    <row r="197" spans="16:19" x14ac:dyDescent="0.2">
      <c r="P197" s="252"/>
      <c r="Q197" s="252"/>
      <c r="R197" s="252"/>
      <c r="S197" s="252"/>
    </row>
    <row r="198" spans="16:19" x14ac:dyDescent="0.2">
      <c r="P198" s="252"/>
      <c r="Q198" s="252"/>
      <c r="R198" s="252"/>
      <c r="S198" s="252"/>
    </row>
    <row r="199" spans="16:19" x14ac:dyDescent="0.2">
      <c r="P199" s="252"/>
      <c r="Q199" s="252"/>
      <c r="R199" s="252"/>
      <c r="S199" s="252"/>
    </row>
    <row r="200" spans="16:19" x14ac:dyDescent="0.2">
      <c r="P200" s="252"/>
      <c r="Q200" s="252"/>
      <c r="R200" s="252"/>
      <c r="S200" s="252"/>
    </row>
    <row r="201" spans="16:19" x14ac:dyDescent="0.2">
      <c r="P201" s="252"/>
      <c r="Q201" s="252"/>
      <c r="R201" s="252"/>
      <c r="S201" s="252"/>
    </row>
    <row r="202" spans="16:19" x14ac:dyDescent="0.2">
      <c r="P202" s="252"/>
      <c r="Q202" s="252"/>
      <c r="R202" s="252"/>
      <c r="S202" s="252"/>
    </row>
    <row r="203" spans="16:19" x14ac:dyDescent="0.2">
      <c r="P203" s="252"/>
      <c r="Q203" s="252"/>
      <c r="R203" s="252"/>
      <c r="S203" s="252"/>
    </row>
    <row r="204" spans="16:19" x14ac:dyDescent="0.2">
      <c r="P204" s="252"/>
      <c r="Q204" s="252"/>
      <c r="R204" s="252"/>
      <c r="S204" s="252"/>
    </row>
    <row r="205" spans="16:19" x14ac:dyDescent="0.2">
      <c r="P205" s="252"/>
      <c r="Q205" s="252"/>
      <c r="R205" s="252"/>
      <c r="S205" s="252"/>
    </row>
    <row r="206" spans="16:19" x14ac:dyDescent="0.2">
      <c r="P206" s="252"/>
      <c r="Q206" s="252"/>
      <c r="R206" s="252"/>
      <c r="S206" s="252"/>
    </row>
    <row r="207" spans="16:19" x14ac:dyDescent="0.2">
      <c r="P207" s="252"/>
      <c r="Q207" s="252"/>
      <c r="R207" s="252"/>
      <c r="S207" s="252"/>
    </row>
    <row r="208" spans="16:19" x14ac:dyDescent="0.2">
      <c r="P208" s="252"/>
      <c r="Q208" s="252"/>
      <c r="R208" s="252"/>
      <c r="S208" s="252"/>
    </row>
    <row r="209" spans="16:19" x14ac:dyDescent="0.2">
      <c r="P209" s="252"/>
      <c r="Q209" s="252"/>
      <c r="R209" s="252"/>
      <c r="S209" s="252"/>
    </row>
    <row r="210" spans="16:19" x14ac:dyDescent="0.2">
      <c r="P210" s="252"/>
      <c r="Q210" s="252"/>
      <c r="R210" s="252"/>
      <c r="S210" s="252"/>
    </row>
    <row r="211" spans="16:19" x14ac:dyDescent="0.2">
      <c r="P211" s="252"/>
      <c r="Q211" s="252"/>
      <c r="R211" s="252"/>
      <c r="S211" s="252"/>
    </row>
    <row r="212" spans="16:19" x14ac:dyDescent="0.2">
      <c r="P212" s="252"/>
      <c r="Q212" s="252"/>
      <c r="R212" s="252"/>
      <c r="S212" s="252"/>
    </row>
    <row r="213" spans="16:19" x14ac:dyDescent="0.2">
      <c r="P213" s="252"/>
      <c r="Q213" s="252"/>
      <c r="R213" s="252"/>
      <c r="S213" s="252"/>
    </row>
    <row r="214" spans="16:19" x14ac:dyDescent="0.2">
      <c r="P214" s="252"/>
      <c r="Q214" s="252"/>
      <c r="R214" s="252"/>
      <c r="S214" s="252"/>
    </row>
    <row r="215" spans="16:19" x14ac:dyDescent="0.2">
      <c r="P215" s="252"/>
      <c r="Q215" s="252"/>
      <c r="R215" s="252"/>
      <c r="S215" s="252"/>
    </row>
    <row r="216" spans="16:19" x14ac:dyDescent="0.2">
      <c r="P216" s="252"/>
      <c r="Q216" s="252"/>
      <c r="R216" s="252"/>
      <c r="S216" s="252"/>
    </row>
    <row r="217" spans="16:19" x14ac:dyDescent="0.2">
      <c r="P217" s="252"/>
      <c r="Q217" s="252"/>
      <c r="R217" s="252"/>
      <c r="S217" s="252"/>
    </row>
    <row r="218" spans="16:19" x14ac:dyDescent="0.2">
      <c r="P218" s="252"/>
      <c r="Q218" s="252"/>
      <c r="R218" s="252"/>
      <c r="S218" s="252"/>
    </row>
    <row r="219" spans="16:19" x14ac:dyDescent="0.2">
      <c r="P219" s="252"/>
      <c r="Q219" s="252"/>
      <c r="R219" s="252"/>
      <c r="S219" s="252"/>
    </row>
    <row r="220" spans="16:19" x14ac:dyDescent="0.2">
      <c r="P220" s="252"/>
      <c r="Q220" s="252"/>
      <c r="R220" s="252"/>
      <c r="S220" s="252"/>
    </row>
    <row r="221" spans="16:19" x14ac:dyDescent="0.2">
      <c r="P221" s="252"/>
      <c r="Q221" s="252"/>
      <c r="R221" s="252"/>
      <c r="S221" s="252"/>
    </row>
    <row r="222" spans="16:19" x14ac:dyDescent="0.2">
      <c r="P222" s="252"/>
      <c r="Q222" s="252"/>
      <c r="R222" s="252"/>
      <c r="S222" s="252"/>
    </row>
    <row r="223" spans="16:19" x14ac:dyDescent="0.2">
      <c r="P223" s="252"/>
      <c r="Q223" s="252"/>
      <c r="R223" s="252"/>
      <c r="S223" s="252"/>
    </row>
    <row r="224" spans="16:19" x14ac:dyDescent="0.2">
      <c r="P224" s="252"/>
      <c r="Q224" s="252"/>
      <c r="R224" s="252"/>
      <c r="S224" s="252"/>
    </row>
    <row r="225" spans="16:19" x14ac:dyDescent="0.2">
      <c r="P225" s="252"/>
      <c r="Q225" s="252"/>
      <c r="R225" s="252"/>
      <c r="S225" s="252"/>
    </row>
    <row r="226" spans="16:19" x14ac:dyDescent="0.2">
      <c r="P226" s="252"/>
      <c r="Q226" s="252"/>
      <c r="R226" s="252"/>
      <c r="S226" s="252"/>
    </row>
    <row r="227" spans="16:19" x14ac:dyDescent="0.2">
      <c r="P227" s="252"/>
      <c r="Q227" s="252"/>
      <c r="R227" s="252"/>
      <c r="S227" s="252"/>
    </row>
    <row r="228" spans="16:19" x14ac:dyDescent="0.2">
      <c r="P228" s="252"/>
      <c r="Q228" s="252"/>
      <c r="R228" s="252"/>
      <c r="S228" s="252"/>
    </row>
    <row r="229" spans="16:19" x14ac:dyDescent="0.2">
      <c r="P229" s="252"/>
      <c r="Q229" s="252"/>
      <c r="R229" s="252"/>
      <c r="S229" s="252"/>
    </row>
    <row r="230" spans="16:19" x14ac:dyDescent="0.2">
      <c r="P230" s="252"/>
      <c r="Q230" s="252"/>
      <c r="R230" s="252"/>
      <c r="S230" s="252"/>
    </row>
    <row r="231" spans="16:19" x14ac:dyDescent="0.2">
      <c r="P231" s="252"/>
      <c r="Q231" s="252"/>
      <c r="R231" s="252"/>
      <c r="S231" s="252"/>
    </row>
    <row r="232" spans="16:19" x14ac:dyDescent="0.2">
      <c r="P232" s="252"/>
      <c r="Q232" s="252"/>
      <c r="R232" s="252"/>
      <c r="S232" s="252"/>
    </row>
    <row r="233" spans="16:19" x14ac:dyDescent="0.2">
      <c r="P233" s="252"/>
      <c r="Q233" s="252"/>
      <c r="R233" s="252"/>
      <c r="S233" s="252"/>
    </row>
    <row r="234" spans="16:19" x14ac:dyDescent="0.2">
      <c r="P234" s="252"/>
      <c r="Q234" s="252"/>
      <c r="R234" s="252"/>
      <c r="S234" s="252"/>
    </row>
    <row r="235" spans="16:19" x14ac:dyDescent="0.2">
      <c r="P235" s="252"/>
      <c r="Q235" s="252"/>
      <c r="R235" s="252"/>
      <c r="S235" s="252"/>
    </row>
    <row r="236" spans="16:19" x14ac:dyDescent="0.2">
      <c r="P236" s="252"/>
      <c r="Q236" s="252"/>
      <c r="R236" s="252"/>
      <c r="S236" s="252"/>
    </row>
    <row r="237" spans="16:19" x14ac:dyDescent="0.2">
      <c r="P237" s="252"/>
      <c r="Q237" s="252"/>
      <c r="R237" s="252"/>
      <c r="S237" s="252"/>
    </row>
    <row r="238" spans="16:19" x14ac:dyDescent="0.2">
      <c r="P238" s="252"/>
      <c r="Q238" s="252"/>
      <c r="R238" s="252"/>
      <c r="S238" s="252"/>
    </row>
    <row r="239" spans="16:19" x14ac:dyDescent="0.2">
      <c r="P239" s="252"/>
      <c r="Q239" s="252"/>
      <c r="R239" s="252"/>
      <c r="S239" s="252"/>
    </row>
    <row r="240" spans="16:19" x14ac:dyDescent="0.2">
      <c r="P240" s="252"/>
      <c r="Q240" s="252"/>
      <c r="R240" s="252"/>
      <c r="S240" s="252"/>
    </row>
    <row r="241" spans="16:19" x14ac:dyDescent="0.2">
      <c r="P241" s="252"/>
      <c r="Q241" s="252"/>
      <c r="R241" s="252"/>
      <c r="S241" s="252"/>
    </row>
    <row r="242" spans="16:19" x14ac:dyDescent="0.2">
      <c r="P242" s="252"/>
      <c r="Q242" s="252"/>
      <c r="R242" s="252"/>
      <c r="S242" s="252"/>
    </row>
    <row r="243" spans="16:19" x14ac:dyDescent="0.2">
      <c r="P243" s="252"/>
      <c r="Q243" s="252"/>
      <c r="R243" s="252"/>
      <c r="S243" s="252"/>
    </row>
    <row r="244" spans="16:19" x14ac:dyDescent="0.2">
      <c r="P244" s="252"/>
      <c r="Q244" s="252"/>
      <c r="R244" s="252"/>
      <c r="S244" s="252"/>
    </row>
    <row r="245" spans="16:19" x14ac:dyDescent="0.2">
      <c r="P245" s="252"/>
      <c r="Q245" s="252"/>
      <c r="R245" s="252"/>
      <c r="S245" s="252"/>
    </row>
    <row r="246" spans="16:19" x14ac:dyDescent="0.2">
      <c r="P246" s="252"/>
      <c r="Q246" s="252"/>
      <c r="R246" s="252"/>
      <c r="S246" s="252"/>
    </row>
    <row r="247" spans="16:19" x14ac:dyDescent="0.2">
      <c r="P247" s="252"/>
      <c r="Q247" s="252"/>
      <c r="R247" s="252"/>
      <c r="S247" s="252"/>
    </row>
    <row r="248" spans="16:19" x14ac:dyDescent="0.2">
      <c r="P248" s="252"/>
      <c r="Q248" s="252"/>
      <c r="R248" s="252"/>
      <c r="S248" s="252"/>
    </row>
    <row r="249" spans="16:19" x14ac:dyDescent="0.2">
      <c r="P249" s="252"/>
      <c r="Q249" s="252"/>
      <c r="R249" s="252"/>
      <c r="S249" s="252"/>
    </row>
    <row r="250" spans="16:19" x14ac:dyDescent="0.2">
      <c r="P250" s="252"/>
      <c r="Q250" s="252"/>
      <c r="R250" s="252"/>
      <c r="S250" s="252"/>
    </row>
    <row r="251" spans="16:19" x14ac:dyDescent="0.2">
      <c r="P251" s="252"/>
      <c r="Q251" s="252"/>
      <c r="R251" s="252"/>
      <c r="S251" s="252"/>
    </row>
    <row r="252" spans="16:19" x14ac:dyDescent="0.2">
      <c r="P252" s="252"/>
      <c r="Q252" s="252"/>
      <c r="R252" s="252"/>
      <c r="S252" s="252"/>
    </row>
    <row r="253" spans="16:19" x14ac:dyDescent="0.2">
      <c r="P253" s="252"/>
      <c r="Q253" s="252"/>
      <c r="R253" s="252"/>
      <c r="S253" s="252"/>
    </row>
    <row r="254" spans="16:19" x14ac:dyDescent="0.2">
      <c r="P254" s="252"/>
      <c r="Q254" s="252"/>
      <c r="R254" s="252"/>
      <c r="S254" s="252"/>
    </row>
    <row r="255" spans="16:19" x14ac:dyDescent="0.2">
      <c r="P255" s="252"/>
      <c r="Q255" s="252"/>
      <c r="R255" s="252"/>
      <c r="S255" s="252"/>
    </row>
    <row r="256" spans="16:19" x14ac:dyDescent="0.2">
      <c r="P256" s="252"/>
      <c r="Q256" s="252"/>
      <c r="R256" s="252"/>
      <c r="S256" s="252"/>
    </row>
    <row r="257" spans="16:19" x14ac:dyDescent="0.2">
      <c r="P257" s="252"/>
      <c r="Q257" s="252"/>
      <c r="R257" s="252"/>
      <c r="S257" s="252"/>
    </row>
    <row r="258" spans="16:19" x14ac:dyDescent="0.2">
      <c r="P258" s="252"/>
      <c r="Q258" s="252"/>
      <c r="R258" s="252"/>
      <c r="S258" s="252"/>
    </row>
    <row r="259" spans="16:19" x14ac:dyDescent="0.2">
      <c r="P259" s="252"/>
      <c r="Q259" s="252"/>
      <c r="R259" s="252"/>
      <c r="S259" s="252"/>
    </row>
    <row r="260" spans="16:19" x14ac:dyDescent="0.2">
      <c r="P260" s="252"/>
      <c r="Q260" s="252"/>
      <c r="R260" s="252"/>
      <c r="S260" s="252"/>
    </row>
    <row r="261" spans="16:19" x14ac:dyDescent="0.2">
      <c r="P261" s="252"/>
      <c r="Q261" s="252"/>
      <c r="R261" s="252"/>
      <c r="S261" s="252"/>
    </row>
    <row r="262" spans="16:19" x14ac:dyDescent="0.2">
      <c r="P262" s="252"/>
      <c r="Q262" s="252"/>
      <c r="R262" s="252"/>
      <c r="S262" s="252"/>
    </row>
    <row r="263" spans="16:19" x14ac:dyDescent="0.2">
      <c r="P263" s="252"/>
      <c r="Q263" s="252"/>
      <c r="R263" s="252"/>
      <c r="S263" s="252"/>
    </row>
    <row r="264" spans="16:19" x14ac:dyDescent="0.2">
      <c r="P264" s="252"/>
      <c r="Q264" s="252"/>
      <c r="R264" s="252"/>
      <c r="S264" s="252"/>
    </row>
    <row r="265" spans="16:19" x14ac:dyDescent="0.2">
      <c r="P265" s="252"/>
      <c r="Q265" s="252"/>
      <c r="R265" s="252"/>
      <c r="S265" s="252"/>
    </row>
    <row r="266" spans="16:19" x14ac:dyDescent="0.2">
      <c r="P266" s="252"/>
      <c r="Q266" s="252"/>
      <c r="R266" s="252"/>
      <c r="S266" s="252"/>
    </row>
    <row r="267" spans="16:19" x14ac:dyDescent="0.2">
      <c r="P267" s="252"/>
      <c r="Q267" s="252"/>
      <c r="R267" s="252"/>
      <c r="S267" s="252"/>
    </row>
    <row r="268" spans="16:19" x14ac:dyDescent="0.2">
      <c r="P268" s="252"/>
      <c r="Q268" s="252"/>
      <c r="R268" s="252"/>
      <c r="S268" s="252"/>
    </row>
    <row r="269" spans="16:19" x14ac:dyDescent="0.2">
      <c r="P269" s="252"/>
      <c r="Q269" s="252"/>
      <c r="R269" s="252"/>
      <c r="S269" s="252"/>
    </row>
    <row r="270" spans="16:19" x14ac:dyDescent="0.2">
      <c r="P270" s="252"/>
      <c r="Q270" s="252"/>
      <c r="R270" s="252"/>
      <c r="S270" s="252"/>
    </row>
    <row r="271" spans="16:19" x14ac:dyDescent="0.2">
      <c r="P271" s="252"/>
      <c r="Q271" s="252"/>
      <c r="R271" s="252"/>
      <c r="S271" s="252"/>
    </row>
    <row r="272" spans="16:19" x14ac:dyDescent="0.2">
      <c r="P272" s="252"/>
      <c r="Q272" s="252"/>
      <c r="R272" s="252"/>
      <c r="S272" s="252"/>
    </row>
    <row r="273" spans="16:19" x14ac:dyDescent="0.2">
      <c r="P273" s="252"/>
      <c r="Q273" s="252"/>
      <c r="R273" s="252"/>
      <c r="S273" s="252"/>
    </row>
    <row r="274" spans="16:19" x14ac:dyDescent="0.2">
      <c r="P274" s="252"/>
      <c r="Q274" s="252"/>
      <c r="R274" s="252"/>
      <c r="S274" s="252"/>
    </row>
    <row r="275" spans="16:19" x14ac:dyDescent="0.2">
      <c r="P275" s="252"/>
      <c r="Q275" s="252"/>
      <c r="R275" s="252"/>
      <c r="S275" s="252"/>
    </row>
    <row r="276" spans="16:19" x14ac:dyDescent="0.2">
      <c r="P276" s="252"/>
      <c r="Q276" s="252"/>
      <c r="R276" s="252"/>
      <c r="S276" s="252"/>
    </row>
    <row r="277" spans="16:19" x14ac:dyDescent="0.2">
      <c r="P277" s="252"/>
      <c r="Q277" s="252"/>
      <c r="R277" s="252"/>
      <c r="S277" s="252"/>
    </row>
    <row r="278" spans="16:19" x14ac:dyDescent="0.2">
      <c r="P278" s="252"/>
      <c r="Q278" s="252"/>
      <c r="R278" s="252"/>
      <c r="S278" s="252"/>
    </row>
    <row r="279" spans="16:19" x14ac:dyDescent="0.2">
      <c r="P279" s="252"/>
      <c r="Q279" s="252"/>
      <c r="R279" s="252"/>
      <c r="S279" s="252"/>
    </row>
    <row r="280" spans="16:19" x14ac:dyDescent="0.2">
      <c r="P280" s="252"/>
      <c r="Q280" s="252"/>
      <c r="R280" s="252"/>
      <c r="S280" s="252"/>
    </row>
    <row r="281" spans="16:19" x14ac:dyDescent="0.2">
      <c r="P281" s="252"/>
      <c r="Q281" s="252"/>
      <c r="R281" s="252"/>
      <c r="S281" s="252"/>
    </row>
    <row r="282" spans="16:19" x14ac:dyDescent="0.2">
      <c r="P282" s="252"/>
      <c r="Q282" s="252"/>
      <c r="R282" s="252"/>
      <c r="S282" s="252"/>
    </row>
    <row r="283" spans="16:19" x14ac:dyDescent="0.2">
      <c r="P283" s="252"/>
      <c r="Q283" s="252"/>
      <c r="R283" s="252"/>
      <c r="S283" s="252"/>
    </row>
    <row r="284" spans="16:19" x14ac:dyDescent="0.2">
      <c r="P284" s="252"/>
      <c r="Q284" s="252"/>
      <c r="R284" s="252"/>
      <c r="S284" s="252"/>
    </row>
    <row r="285" spans="16:19" x14ac:dyDescent="0.2">
      <c r="P285" s="252"/>
      <c r="Q285" s="252"/>
      <c r="R285" s="252"/>
      <c r="S285" s="252"/>
    </row>
    <row r="286" spans="16:19" x14ac:dyDescent="0.2">
      <c r="P286" s="252"/>
      <c r="Q286" s="252"/>
      <c r="R286" s="252"/>
      <c r="S286" s="252"/>
    </row>
    <row r="287" spans="16:19" x14ac:dyDescent="0.2">
      <c r="P287" s="252"/>
      <c r="Q287" s="252"/>
      <c r="R287" s="252"/>
      <c r="S287" s="252"/>
    </row>
    <row r="288" spans="16:19" x14ac:dyDescent="0.2">
      <c r="P288" s="252"/>
      <c r="Q288" s="252"/>
      <c r="R288" s="252"/>
      <c r="S288" s="252"/>
    </row>
    <row r="289" spans="16:19" x14ac:dyDescent="0.2">
      <c r="P289" s="252"/>
      <c r="Q289" s="252"/>
      <c r="R289" s="252"/>
      <c r="S289" s="252"/>
    </row>
    <row r="290" spans="16:19" x14ac:dyDescent="0.2">
      <c r="P290" s="252"/>
      <c r="Q290" s="252"/>
      <c r="R290" s="252"/>
      <c r="S290" s="252"/>
    </row>
    <row r="291" spans="16:19" x14ac:dyDescent="0.2">
      <c r="P291" s="252"/>
      <c r="Q291" s="252"/>
      <c r="R291" s="252"/>
      <c r="S291" s="252"/>
    </row>
    <row r="292" spans="16:19" x14ac:dyDescent="0.2">
      <c r="P292" s="252"/>
      <c r="Q292" s="252"/>
      <c r="R292" s="252"/>
      <c r="S292" s="252"/>
    </row>
    <row r="293" spans="16:19" x14ac:dyDescent="0.2">
      <c r="P293" s="252"/>
      <c r="Q293" s="252"/>
      <c r="R293" s="252"/>
      <c r="S293" s="252"/>
    </row>
    <row r="294" spans="16:19" x14ac:dyDescent="0.2">
      <c r="P294" s="252"/>
      <c r="Q294" s="252"/>
      <c r="R294" s="252"/>
      <c r="S294" s="252"/>
    </row>
    <row r="295" spans="16:19" x14ac:dyDescent="0.2">
      <c r="P295" s="252"/>
      <c r="Q295" s="252"/>
      <c r="R295" s="252"/>
      <c r="S295" s="252"/>
    </row>
    <row r="296" spans="16:19" x14ac:dyDescent="0.2">
      <c r="P296" s="252"/>
      <c r="Q296" s="252"/>
      <c r="R296" s="252"/>
      <c r="S296" s="252"/>
    </row>
    <row r="297" spans="16:19" x14ac:dyDescent="0.2">
      <c r="P297" s="252"/>
      <c r="Q297" s="252"/>
      <c r="R297" s="252"/>
      <c r="S297" s="252"/>
    </row>
    <row r="298" spans="16:19" x14ac:dyDescent="0.2">
      <c r="P298" s="252"/>
      <c r="Q298" s="252"/>
      <c r="R298" s="252"/>
      <c r="S298" s="252"/>
    </row>
    <row r="299" spans="16:19" x14ac:dyDescent="0.2">
      <c r="P299" s="252"/>
      <c r="Q299" s="252"/>
      <c r="R299" s="252"/>
      <c r="S299" s="252"/>
    </row>
    <row r="300" spans="16:19" x14ac:dyDescent="0.2">
      <c r="P300" s="252"/>
      <c r="Q300" s="252"/>
      <c r="R300" s="252"/>
      <c r="S300" s="252"/>
    </row>
    <row r="301" spans="16:19" x14ac:dyDescent="0.2">
      <c r="P301" s="252"/>
      <c r="Q301" s="252"/>
      <c r="R301" s="252"/>
      <c r="S301" s="252"/>
    </row>
    <row r="302" spans="16:19" x14ac:dyDescent="0.2">
      <c r="P302" s="252"/>
      <c r="Q302" s="252"/>
      <c r="R302" s="252"/>
      <c r="S302" s="252"/>
    </row>
    <row r="303" spans="16:19" x14ac:dyDescent="0.2">
      <c r="P303" s="252"/>
      <c r="Q303" s="252"/>
      <c r="R303" s="252"/>
      <c r="S303" s="252"/>
    </row>
    <row r="304" spans="16:19" x14ac:dyDescent="0.2">
      <c r="P304" s="252"/>
      <c r="Q304" s="252"/>
      <c r="R304" s="252"/>
      <c r="S304" s="252"/>
    </row>
    <row r="305" spans="16:19" x14ac:dyDescent="0.2">
      <c r="P305" s="252"/>
      <c r="Q305" s="252"/>
      <c r="R305" s="252"/>
      <c r="S305" s="252"/>
    </row>
    <row r="306" spans="16:19" x14ac:dyDescent="0.2">
      <c r="P306" s="252"/>
      <c r="Q306" s="252"/>
      <c r="R306" s="252"/>
      <c r="S306" s="252"/>
    </row>
    <row r="307" spans="16:19" x14ac:dyDescent="0.2">
      <c r="P307" s="252"/>
      <c r="Q307" s="252"/>
      <c r="R307" s="252"/>
      <c r="S307" s="252"/>
    </row>
    <row r="308" spans="16:19" x14ac:dyDescent="0.2">
      <c r="P308" s="252"/>
      <c r="Q308" s="252"/>
      <c r="R308" s="252"/>
      <c r="S308" s="252"/>
    </row>
    <row r="309" spans="16:19" x14ac:dyDescent="0.2">
      <c r="P309" s="252"/>
      <c r="Q309" s="252"/>
      <c r="R309" s="252"/>
      <c r="S309" s="252"/>
    </row>
    <row r="310" spans="16:19" x14ac:dyDescent="0.2">
      <c r="P310" s="252"/>
      <c r="Q310" s="252"/>
      <c r="R310" s="252"/>
      <c r="S310" s="252"/>
    </row>
    <row r="311" spans="16:19" x14ac:dyDescent="0.2">
      <c r="P311" s="252"/>
      <c r="Q311" s="252"/>
      <c r="R311" s="252"/>
      <c r="S311" s="252"/>
    </row>
    <row r="312" spans="16:19" x14ac:dyDescent="0.2">
      <c r="P312" s="252"/>
      <c r="Q312" s="252"/>
      <c r="R312" s="252"/>
      <c r="S312" s="252"/>
    </row>
    <row r="313" spans="16:19" x14ac:dyDescent="0.2">
      <c r="P313" s="252"/>
      <c r="Q313" s="252"/>
      <c r="R313" s="252"/>
      <c r="S313" s="252"/>
    </row>
    <row r="314" spans="16:19" x14ac:dyDescent="0.2">
      <c r="P314" s="252"/>
      <c r="Q314" s="252"/>
      <c r="R314" s="252"/>
      <c r="S314" s="252"/>
    </row>
    <row r="315" spans="16:19" x14ac:dyDescent="0.2">
      <c r="P315" s="252"/>
      <c r="Q315" s="252"/>
      <c r="R315" s="252"/>
      <c r="S315" s="252"/>
    </row>
    <row r="316" spans="16:19" x14ac:dyDescent="0.2">
      <c r="P316" s="252"/>
      <c r="Q316" s="252"/>
      <c r="R316" s="252"/>
      <c r="S316" s="252"/>
    </row>
    <row r="317" spans="16:19" x14ac:dyDescent="0.2">
      <c r="P317" s="252"/>
      <c r="Q317" s="252"/>
      <c r="R317" s="252"/>
      <c r="S317" s="252"/>
    </row>
    <row r="318" spans="16:19" x14ac:dyDescent="0.2">
      <c r="P318" s="252"/>
      <c r="Q318" s="252"/>
      <c r="R318" s="252"/>
      <c r="S318" s="252"/>
    </row>
    <row r="319" spans="16:19" x14ac:dyDescent="0.2">
      <c r="P319" s="252"/>
      <c r="Q319" s="252"/>
      <c r="R319" s="252"/>
      <c r="S319" s="252"/>
    </row>
    <row r="320" spans="16:19" x14ac:dyDescent="0.2">
      <c r="P320" s="252"/>
      <c r="Q320" s="252"/>
      <c r="R320" s="252"/>
      <c r="S320" s="252"/>
    </row>
    <row r="321" spans="16:19" x14ac:dyDescent="0.2">
      <c r="P321" s="252"/>
      <c r="Q321" s="252"/>
      <c r="R321" s="252"/>
      <c r="S321" s="252"/>
    </row>
    <row r="322" spans="16:19" x14ac:dyDescent="0.2">
      <c r="P322" s="252"/>
      <c r="Q322" s="252"/>
      <c r="R322" s="252"/>
      <c r="S322" s="252"/>
    </row>
    <row r="323" spans="16:19" x14ac:dyDescent="0.2">
      <c r="P323" s="252"/>
      <c r="Q323" s="252"/>
      <c r="R323" s="252"/>
      <c r="S323" s="252"/>
    </row>
    <row r="324" spans="16:19" x14ac:dyDescent="0.2">
      <c r="P324" s="252"/>
      <c r="Q324" s="252"/>
      <c r="R324" s="252"/>
      <c r="S324" s="252"/>
    </row>
    <row r="325" spans="16:19" x14ac:dyDescent="0.2">
      <c r="P325" s="252"/>
      <c r="Q325" s="252"/>
      <c r="R325" s="252"/>
      <c r="S325" s="252"/>
    </row>
    <row r="326" spans="16:19" x14ac:dyDescent="0.2">
      <c r="P326" s="252"/>
      <c r="Q326" s="252"/>
      <c r="R326" s="252"/>
      <c r="S326" s="252"/>
    </row>
    <row r="327" spans="16:19" x14ac:dyDescent="0.2">
      <c r="P327" s="252"/>
      <c r="Q327" s="252"/>
      <c r="R327" s="252"/>
      <c r="S327" s="252"/>
    </row>
    <row r="328" spans="16:19" x14ac:dyDescent="0.2">
      <c r="P328" s="252"/>
      <c r="Q328" s="252"/>
      <c r="R328" s="252"/>
      <c r="S328" s="252"/>
    </row>
    <row r="329" spans="16:19" x14ac:dyDescent="0.2">
      <c r="P329" s="252"/>
      <c r="Q329" s="252"/>
      <c r="R329" s="252"/>
      <c r="S329" s="252"/>
    </row>
    <row r="330" spans="16:19" x14ac:dyDescent="0.2">
      <c r="P330" s="252"/>
      <c r="Q330" s="252"/>
      <c r="R330" s="252"/>
      <c r="S330" s="252"/>
    </row>
    <row r="331" spans="16:19" x14ac:dyDescent="0.2">
      <c r="P331" s="252"/>
      <c r="Q331" s="252"/>
      <c r="R331" s="252"/>
      <c r="S331" s="252"/>
    </row>
    <row r="332" spans="16:19" x14ac:dyDescent="0.2">
      <c r="P332" s="252"/>
      <c r="Q332" s="252"/>
      <c r="R332" s="252"/>
      <c r="S332" s="252"/>
    </row>
    <row r="333" spans="16:19" x14ac:dyDescent="0.2">
      <c r="P333" s="252"/>
      <c r="Q333" s="252"/>
      <c r="R333" s="252"/>
      <c r="S333" s="252"/>
    </row>
    <row r="334" spans="16:19" x14ac:dyDescent="0.2">
      <c r="P334" s="252"/>
      <c r="Q334" s="252"/>
      <c r="R334" s="252"/>
      <c r="S334" s="252"/>
    </row>
    <row r="335" spans="16:19" x14ac:dyDescent="0.2">
      <c r="P335" s="252"/>
      <c r="Q335" s="252"/>
      <c r="R335" s="252"/>
      <c r="S335" s="252"/>
    </row>
    <row r="336" spans="16:19" x14ac:dyDescent="0.2">
      <c r="P336" s="252"/>
      <c r="Q336" s="252"/>
      <c r="R336" s="252"/>
      <c r="S336" s="252"/>
    </row>
    <row r="337" spans="16:19" x14ac:dyDescent="0.2">
      <c r="P337" s="252"/>
      <c r="Q337" s="252"/>
      <c r="R337" s="252"/>
      <c r="S337" s="252"/>
    </row>
    <row r="338" spans="16:19" x14ac:dyDescent="0.2">
      <c r="P338" s="252"/>
      <c r="Q338" s="252"/>
      <c r="R338" s="252"/>
      <c r="S338" s="252"/>
    </row>
    <row r="339" spans="16:19" x14ac:dyDescent="0.2">
      <c r="P339" s="252"/>
      <c r="Q339" s="252"/>
      <c r="R339" s="252"/>
      <c r="S339" s="252"/>
    </row>
    <row r="340" spans="16:19" x14ac:dyDescent="0.2">
      <c r="P340" s="252"/>
      <c r="Q340" s="252"/>
      <c r="R340" s="252"/>
      <c r="S340" s="252"/>
    </row>
    <row r="341" spans="16:19" x14ac:dyDescent="0.2">
      <c r="P341" s="252"/>
      <c r="Q341" s="252"/>
      <c r="R341" s="252"/>
      <c r="S341" s="252"/>
    </row>
    <row r="342" spans="16:19" x14ac:dyDescent="0.2">
      <c r="P342" s="252"/>
      <c r="Q342" s="252"/>
      <c r="R342" s="252"/>
      <c r="S342" s="252"/>
    </row>
    <row r="343" spans="16:19" x14ac:dyDescent="0.2">
      <c r="P343" s="252"/>
      <c r="Q343" s="252"/>
      <c r="R343" s="252"/>
      <c r="S343" s="252"/>
    </row>
    <row r="344" spans="16:19" x14ac:dyDescent="0.2">
      <c r="P344" s="252"/>
      <c r="Q344" s="252"/>
      <c r="R344" s="252"/>
      <c r="S344" s="252"/>
    </row>
    <row r="345" spans="16:19" x14ac:dyDescent="0.2">
      <c r="P345" s="252"/>
      <c r="Q345" s="252"/>
      <c r="R345" s="252"/>
      <c r="S345" s="252"/>
    </row>
    <row r="346" spans="16:19" x14ac:dyDescent="0.2">
      <c r="P346" s="252"/>
      <c r="Q346" s="252"/>
      <c r="R346" s="252"/>
      <c r="S346" s="252"/>
    </row>
    <row r="347" spans="16:19" x14ac:dyDescent="0.2">
      <c r="P347" s="252"/>
      <c r="Q347" s="252"/>
      <c r="R347" s="252"/>
      <c r="S347" s="252"/>
    </row>
    <row r="348" spans="16:19" x14ac:dyDescent="0.2">
      <c r="P348" s="252"/>
      <c r="Q348" s="252"/>
      <c r="R348" s="252"/>
      <c r="S348" s="252"/>
    </row>
    <row r="349" spans="16:19" x14ac:dyDescent="0.2">
      <c r="P349" s="252"/>
      <c r="Q349" s="252"/>
      <c r="R349" s="252"/>
      <c r="S349" s="252"/>
    </row>
    <row r="350" spans="16:19" x14ac:dyDescent="0.2">
      <c r="P350" s="252"/>
      <c r="Q350" s="252"/>
      <c r="R350" s="252"/>
      <c r="S350" s="252"/>
    </row>
    <row r="351" spans="16:19" x14ac:dyDescent="0.2">
      <c r="P351" s="252"/>
      <c r="Q351" s="252"/>
      <c r="R351" s="252"/>
      <c r="S351" s="252"/>
    </row>
    <row r="352" spans="16:19" x14ac:dyDescent="0.2">
      <c r="P352" s="252"/>
      <c r="Q352" s="252"/>
      <c r="R352" s="252"/>
      <c r="S352" s="252"/>
    </row>
    <row r="353" spans="16:19" x14ac:dyDescent="0.2">
      <c r="P353" s="252"/>
      <c r="Q353" s="252"/>
      <c r="R353" s="252"/>
      <c r="S353" s="252"/>
    </row>
    <row r="354" spans="16:19" x14ac:dyDescent="0.2">
      <c r="P354" s="252"/>
      <c r="Q354" s="252"/>
      <c r="R354" s="252"/>
      <c r="S354" s="252"/>
    </row>
    <row r="355" spans="16:19" x14ac:dyDescent="0.2">
      <c r="P355" s="252"/>
      <c r="Q355" s="252"/>
      <c r="R355" s="252"/>
      <c r="S355" s="252"/>
    </row>
    <row r="356" spans="16:19" x14ac:dyDescent="0.2">
      <c r="P356" s="252"/>
      <c r="Q356" s="252"/>
      <c r="R356" s="252"/>
      <c r="S356" s="252"/>
    </row>
    <row r="357" spans="16:19" x14ac:dyDescent="0.2">
      <c r="P357" s="252"/>
      <c r="Q357" s="252"/>
      <c r="R357" s="252"/>
      <c r="S357" s="252"/>
    </row>
    <row r="358" spans="16:19" x14ac:dyDescent="0.2">
      <c r="P358" s="252"/>
      <c r="Q358" s="252"/>
      <c r="R358" s="252"/>
      <c r="S358" s="252"/>
    </row>
    <row r="359" spans="16:19" x14ac:dyDescent="0.2">
      <c r="P359" s="252"/>
      <c r="Q359" s="252"/>
      <c r="R359" s="252"/>
      <c r="S359" s="252"/>
    </row>
    <row r="360" spans="16:19" x14ac:dyDescent="0.2">
      <c r="P360" s="252"/>
      <c r="Q360" s="252"/>
      <c r="R360" s="252"/>
      <c r="S360" s="252"/>
    </row>
    <row r="361" spans="16:19" x14ac:dyDescent="0.2">
      <c r="P361" s="252"/>
      <c r="Q361" s="252"/>
      <c r="R361" s="252"/>
      <c r="S361" s="252"/>
    </row>
    <row r="362" spans="16:19" x14ac:dyDescent="0.2">
      <c r="P362" s="252"/>
      <c r="Q362" s="252"/>
      <c r="R362" s="252"/>
      <c r="S362" s="252"/>
    </row>
    <row r="363" spans="16:19" x14ac:dyDescent="0.2">
      <c r="P363" s="252"/>
      <c r="Q363" s="252"/>
      <c r="R363" s="252"/>
      <c r="S363" s="252"/>
    </row>
    <row r="364" spans="16:19" x14ac:dyDescent="0.2">
      <c r="P364" s="252"/>
      <c r="Q364" s="252"/>
      <c r="R364" s="252"/>
      <c r="S364" s="252"/>
    </row>
    <row r="365" spans="16:19" x14ac:dyDescent="0.2">
      <c r="P365" s="252"/>
      <c r="Q365" s="252"/>
      <c r="R365" s="252"/>
      <c r="S365" s="252"/>
    </row>
    <row r="366" spans="16:19" x14ac:dyDescent="0.2">
      <c r="P366" s="252"/>
      <c r="Q366" s="252"/>
      <c r="R366" s="252"/>
      <c r="S366" s="252"/>
    </row>
    <row r="367" spans="16:19" x14ac:dyDescent="0.2">
      <c r="P367" s="252"/>
      <c r="Q367" s="252"/>
      <c r="R367" s="252"/>
      <c r="S367" s="252"/>
    </row>
    <row r="368" spans="16:19" x14ac:dyDescent="0.2">
      <c r="P368" s="252"/>
      <c r="Q368" s="252"/>
      <c r="R368" s="252"/>
      <c r="S368" s="252"/>
    </row>
    <row r="369" spans="16:19" x14ac:dyDescent="0.2">
      <c r="P369" s="252"/>
      <c r="Q369" s="252"/>
      <c r="R369" s="252"/>
      <c r="S369" s="252"/>
    </row>
    <row r="370" spans="16:19" x14ac:dyDescent="0.2">
      <c r="P370" s="252"/>
      <c r="Q370" s="252"/>
      <c r="R370" s="252"/>
      <c r="S370" s="252"/>
    </row>
    <row r="371" spans="16:19" x14ac:dyDescent="0.2">
      <c r="P371" s="252"/>
      <c r="Q371" s="252"/>
      <c r="R371" s="252"/>
      <c r="S371" s="252"/>
    </row>
    <row r="372" spans="16:19" x14ac:dyDescent="0.2">
      <c r="P372" s="252"/>
      <c r="Q372" s="252"/>
      <c r="R372" s="252"/>
      <c r="S372" s="252"/>
    </row>
    <row r="373" spans="16:19" x14ac:dyDescent="0.2">
      <c r="P373" s="252"/>
      <c r="Q373" s="252"/>
      <c r="R373" s="252"/>
      <c r="S373" s="252"/>
    </row>
    <row r="374" spans="16:19" x14ac:dyDescent="0.2">
      <c r="P374" s="252"/>
      <c r="Q374" s="252"/>
      <c r="R374" s="252"/>
      <c r="S374" s="252"/>
    </row>
    <row r="375" spans="16:19" x14ac:dyDescent="0.2">
      <c r="P375" s="252"/>
      <c r="Q375" s="252"/>
      <c r="R375" s="252"/>
      <c r="S375" s="252"/>
    </row>
    <row r="376" spans="16:19" x14ac:dyDescent="0.2">
      <c r="P376" s="252"/>
      <c r="Q376" s="252"/>
      <c r="R376" s="252"/>
      <c r="S376" s="252"/>
    </row>
    <row r="377" spans="16:19" x14ac:dyDescent="0.2">
      <c r="P377" s="252"/>
      <c r="Q377" s="252"/>
      <c r="R377" s="252"/>
      <c r="S377" s="252"/>
    </row>
    <row r="378" spans="16:19" x14ac:dyDescent="0.2">
      <c r="P378" s="252"/>
      <c r="Q378" s="252"/>
      <c r="R378" s="252"/>
      <c r="S378" s="252"/>
    </row>
    <row r="379" spans="16:19" x14ac:dyDescent="0.2">
      <c r="P379" s="252"/>
      <c r="Q379" s="252"/>
      <c r="R379" s="252"/>
      <c r="S379" s="252"/>
    </row>
    <row r="380" spans="16:19" x14ac:dyDescent="0.2">
      <c r="P380" s="252"/>
      <c r="Q380" s="252"/>
      <c r="R380" s="252"/>
      <c r="S380" s="252"/>
    </row>
    <row r="381" spans="16:19" x14ac:dyDescent="0.2">
      <c r="P381" s="252"/>
      <c r="Q381" s="252"/>
      <c r="R381" s="252"/>
      <c r="S381" s="252"/>
    </row>
    <row r="382" spans="16:19" x14ac:dyDescent="0.2">
      <c r="P382" s="252"/>
      <c r="Q382" s="252"/>
      <c r="R382" s="252"/>
      <c r="S382" s="252"/>
    </row>
    <row r="383" spans="16:19" x14ac:dyDescent="0.2">
      <c r="P383" s="252"/>
      <c r="Q383" s="252"/>
      <c r="R383" s="252"/>
      <c r="S383" s="252"/>
    </row>
    <row r="384" spans="16:19" x14ac:dyDescent="0.2">
      <c r="P384" s="252"/>
      <c r="Q384" s="252"/>
      <c r="R384" s="252"/>
      <c r="S384" s="252"/>
    </row>
    <row r="385" spans="16:19" x14ac:dyDescent="0.2">
      <c r="P385" s="252"/>
      <c r="Q385" s="252"/>
      <c r="R385" s="252"/>
      <c r="S385" s="252"/>
    </row>
    <row r="386" spans="16:19" x14ac:dyDescent="0.2">
      <c r="P386" s="252"/>
      <c r="Q386" s="252"/>
      <c r="R386" s="252"/>
      <c r="S386" s="252"/>
    </row>
    <row r="387" spans="16:19" x14ac:dyDescent="0.2">
      <c r="P387" s="252"/>
      <c r="Q387" s="252"/>
      <c r="R387" s="252"/>
      <c r="S387" s="252"/>
    </row>
    <row r="388" spans="16:19" x14ac:dyDescent="0.2">
      <c r="P388" s="252"/>
      <c r="Q388" s="252"/>
      <c r="R388" s="252"/>
      <c r="S388" s="252"/>
    </row>
    <row r="389" spans="16:19" x14ac:dyDescent="0.2">
      <c r="P389" s="252"/>
      <c r="Q389" s="252"/>
      <c r="R389" s="252"/>
      <c r="S389" s="252"/>
    </row>
    <row r="390" spans="16:19" x14ac:dyDescent="0.2">
      <c r="P390" s="252"/>
      <c r="Q390" s="252"/>
      <c r="R390" s="252"/>
      <c r="S390" s="252"/>
    </row>
    <row r="391" spans="16:19" x14ac:dyDescent="0.2">
      <c r="P391" s="252"/>
      <c r="Q391" s="252"/>
      <c r="R391" s="252"/>
      <c r="S391" s="252"/>
    </row>
    <row r="392" spans="16:19" x14ac:dyDescent="0.2">
      <c r="P392" s="252"/>
      <c r="Q392" s="252"/>
      <c r="R392" s="252"/>
      <c r="S392" s="252"/>
    </row>
    <row r="393" spans="16:19" x14ac:dyDescent="0.2">
      <c r="P393" s="252"/>
      <c r="Q393" s="252"/>
      <c r="R393" s="252"/>
      <c r="S393" s="252"/>
    </row>
    <row r="394" spans="16:19" x14ac:dyDescent="0.2">
      <c r="P394" s="252"/>
      <c r="Q394" s="252"/>
      <c r="R394" s="252"/>
      <c r="S394" s="252"/>
    </row>
    <row r="395" spans="16:19" x14ac:dyDescent="0.2">
      <c r="P395" s="252"/>
      <c r="Q395" s="252"/>
      <c r="R395" s="252"/>
      <c r="S395" s="252"/>
    </row>
    <row r="396" spans="16:19" x14ac:dyDescent="0.2">
      <c r="P396" s="252"/>
      <c r="Q396" s="252"/>
      <c r="R396" s="252"/>
      <c r="S396" s="252"/>
    </row>
    <row r="397" spans="16:19" x14ac:dyDescent="0.2">
      <c r="P397" s="252"/>
      <c r="Q397" s="252"/>
      <c r="R397" s="252"/>
      <c r="S397" s="252"/>
    </row>
    <row r="398" spans="16:19" x14ac:dyDescent="0.2">
      <c r="P398" s="252"/>
      <c r="Q398" s="252"/>
      <c r="R398" s="252"/>
      <c r="S398" s="252"/>
    </row>
    <row r="399" spans="16:19" x14ac:dyDescent="0.2">
      <c r="P399" s="252"/>
      <c r="Q399" s="252"/>
      <c r="R399" s="252"/>
      <c r="S399" s="252"/>
    </row>
    <row r="400" spans="16:19" x14ac:dyDescent="0.2">
      <c r="P400" s="252"/>
      <c r="Q400" s="252"/>
      <c r="R400" s="252"/>
      <c r="S400" s="252"/>
    </row>
    <row r="401" spans="16:19" x14ac:dyDescent="0.2">
      <c r="P401" s="252"/>
      <c r="Q401" s="252"/>
      <c r="R401" s="252"/>
      <c r="S401" s="252"/>
    </row>
    <row r="402" spans="16:19" x14ac:dyDescent="0.2">
      <c r="P402" s="252"/>
      <c r="Q402" s="252"/>
      <c r="R402" s="252"/>
      <c r="S402" s="252"/>
    </row>
    <row r="403" spans="16:19" x14ac:dyDescent="0.2">
      <c r="P403" s="252"/>
      <c r="Q403" s="252"/>
      <c r="R403" s="252"/>
      <c r="S403" s="252"/>
    </row>
    <row r="404" spans="16:19" x14ac:dyDescent="0.2">
      <c r="P404" s="252"/>
      <c r="Q404" s="252"/>
      <c r="R404" s="252"/>
      <c r="S404" s="252"/>
    </row>
    <row r="405" spans="16:19" x14ac:dyDescent="0.2">
      <c r="P405" s="252"/>
      <c r="Q405" s="252"/>
      <c r="R405" s="252"/>
      <c r="S405" s="252"/>
    </row>
    <row r="406" spans="16:19" x14ac:dyDescent="0.2">
      <c r="P406" s="252"/>
      <c r="Q406" s="252"/>
      <c r="R406" s="252"/>
      <c r="S406" s="252"/>
    </row>
    <row r="407" spans="16:19" x14ac:dyDescent="0.2">
      <c r="P407" s="252"/>
      <c r="Q407" s="252"/>
      <c r="R407" s="252"/>
      <c r="S407" s="252"/>
    </row>
    <row r="408" spans="16:19" x14ac:dyDescent="0.2">
      <c r="P408" s="252"/>
      <c r="Q408" s="252"/>
      <c r="R408" s="252"/>
      <c r="S408" s="252"/>
    </row>
    <row r="409" spans="16:19" x14ac:dyDescent="0.2">
      <c r="P409" s="252"/>
      <c r="Q409" s="252"/>
      <c r="R409" s="252"/>
      <c r="S409" s="252"/>
    </row>
    <row r="410" spans="16:19" x14ac:dyDescent="0.2">
      <c r="P410" s="252"/>
      <c r="Q410" s="252"/>
      <c r="R410" s="252"/>
      <c r="S410" s="252"/>
    </row>
    <row r="411" spans="16:19" x14ac:dyDescent="0.2">
      <c r="P411" s="252"/>
      <c r="Q411" s="252"/>
      <c r="R411" s="252"/>
      <c r="S411" s="252"/>
    </row>
    <row r="412" spans="16:19" x14ac:dyDescent="0.2">
      <c r="P412" s="252"/>
      <c r="Q412" s="252"/>
      <c r="R412" s="252"/>
      <c r="S412" s="252"/>
    </row>
    <row r="413" spans="16:19" x14ac:dyDescent="0.2">
      <c r="P413" s="252"/>
      <c r="Q413" s="252"/>
      <c r="R413" s="252"/>
      <c r="S413" s="252"/>
    </row>
    <row r="414" spans="16:19" x14ac:dyDescent="0.2">
      <c r="P414" s="252"/>
      <c r="Q414" s="252"/>
      <c r="R414" s="252"/>
      <c r="S414" s="252"/>
    </row>
    <row r="415" spans="16:19" x14ac:dyDescent="0.2">
      <c r="P415" s="252"/>
      <c r="Q415" s="252"/>
      <c r="R415" s="252"/>
      <c r="S415" s="252"/>
    </row>
    <row r="416" spans="16:19" x14ac:dyDescent="0.2">
      <c r="P416" s="252"/>
      <c r="Q416" s="252"/>
      <c r="R416" s="252"/>
      <c r="S416" s="252"/>
    </row>
    <row r="417" spans="16:19" x14ac:dyDescent="0.2">
      <c r="P417" s="252"/>
      <c r="Q417" s="252"/>
      <c r="R417" s="252"/>
      <c r="S417" s="252"/>
    </row>
    <row r="418" spans="16:19" x14ac:dyDescent="0.2">
      <c r="P418" s="252"/>
      <c r="Q418" s="252"/>
      <c r="R418" s="252"/>
      <c r="S418" s="252"/>
    </row>
    <row r="419" spans="16:19" x14ac:dyDescent="0.2">
      <c r="P419" s="252"/>
      <c r="Q419" s="252"/>
      <c r="R419" s="252"/>
      <c r="S419" s="252"/>
    </row>
    <row r="420" spans="16:19" x14ac:dyDescent="0.2">
      <c r="P420" s="252"/>
      <c r="Q420" s="252"/>
      <c r="R420" s="252"/>
      <c r="S420" s="252"/>
    </row>
    <row r="421" spans="16:19" x14ac:dyDescent="0.2">
      <c r="P421" s="252"/>
      <c r="Q421" s="252"/>
      <c r="R421" s="252"/>
      <c r="S421" s="252"/>
    </row>
    <row r="422" spans="16:19" x14ac:dyDescent="0.2">
      <c r="P422" s="252"/>
      <c r="Q422" s="252"/>
      <c r="R422" s="252"/>
      <c r="S422" s="252"/>
    </row>
    <row r="423" spans="16:19" x14ac:dyDescent="0.2">
      <c r="P423" s="252"/>
      <c r="Q423" s="252"/>
      <c r="R423" s="252"/>
      <c r="S423" s="252"/>
    </row>
    <row r="424" spans="16:19" x14ac:dyDescent="0.2">
      <c r="P424" s="252"/>
      <c r="Q424" s="252"/>
      <c r="R424" s="252"/>
      <c r="S424" s="252"/>
    </row>
    <row r="425" spans="16:19" x14ac:dyDescent="0.2">
      <c r="P425" s="252"/>
      <c r="Q425" s="252"/>
      <c r="R425" s="252"/>
      <c r="S425" s="252"/>
    </row>
    <row r="426" spans="16:19" x14ac:dyDescent="0.2">
      <c r="P426" s="252"/>
      <c r="Q426" s="252"/>
      <c r="R426" s="252"/>
      <c r="S426" s="252"/>
    </row>
    <row r="427" spans="16:19" x14ac:dyDescent="0.2">
      <c r="P427" s="252"/>
      <c r="Q427" s="252"/>
      <c r="R427" s="252"/>
      <c r="S427" s="252"/>
    </row>
    <row r="428" spans="16:19" x14ac:dyDescent="0.2">
      <c r="P428" s="252"/>
      <c r="Q428" s="252"/>
      <c r="R428" s="252"/>
      <c r="S428" s="252"/>
    </row>
    <row r="429" spans="16:19" x14ac:dyDescent="0.2">
      <c r="P429" s="252"/>
      <c r="Q429" s="252"/>
      <c r="R429" s="252"/>
      <c r="S429" s="252"/>
    </row>
    <row r="430" spans="16:19" x14ac:dyDescent="0.2">
      <c r="P430" s="252"/>
      <c r="Q430" s="252"/>
      <c r="R430" s="252"/>
      <c r="S430" s="252"/>
    </row>
    <row r="431" spans="16:19" x14ac:dyDescent="0.2">
      <c r="P431" s="252"/>
      <c r="Q431" s="252"/>
      <c r="R431" s="252"/>
      <c r="S431" s="252"/>
    </row>
    <row r="432" spans="16:19" x14ac:dyDescent="0.2">
      <c r="P432" s="252"/>
      <c r="Q432" s="252"/>
      <c r="R432" s="252"/>
      <c r="S432" s="252"/>
    </row>
    <row r="433" spans="16:19" x14ac:dyDescent="0.2">
      <c r="P433" s="252"/>
      <c r="Q433" s="252"/>
      <c r="R433" s="252"/>
      <c r="S433" s="252"/>
    </row>
    <row r="434" spans="16:19" x14ac:dyDescent="0.2">
      <c r="P434" s="252"/>
      <c r="Q434" s="252"/>
      <c r="R434" s="252"/>
      <c r="S434" s="252"/>
    </row>
    <row r="435" spans="16:19" x14ac:dyDescent="0.2">
      <c r="P435" s="252"/>
      <c r="Q435" s="252"/>
      <c r="R435" s="252"/>
      <c r="S435" s="252"/>
    </row>
    <row r="436" spans="16:19" x14ac:dyDescent="0.2">
      <c r="P436" s="252"/>
      <c r="Q436" s="252"/>
      <c r="R436" s="252"/>
      <c r="S436" s="252"/>
    </row>
    <row r="437" spans="16:19" x14ac:dyDescent="0.2">
      <c r="P437" s="252"/>
      <c r="Q437" s="252"/>
      <c r="R437" s="252"/>
      <c r="S437" s="252"/>
    </row>
    <row r="438" spans="16:19" x14ac:dyDescent="0.2">
      <c r="P438" s="252"/>
      <c r="Q438" s="252"/>
      <c r="R438" s="252"/>
      <c r="S438" s="252"/>
    </row>
    <row r="439" spans="16:19" x14ac:dyDescent="0.2">
      <c r="P439" s="252"/>
      <c r="Q439" s="252"/>
      <c r="R439" s="252"/>
      <c r="S439" s="252"/>
    </row>
    <row r="440" spans="16:19" x14ac:dyDescent="0.2">
      <c r="P440" s="252"/>
      <c r="Q440" s="252"/>
      <c r="R440" s="252"/>
      <c r="S440" s="252"/>
    </row>
    <row r="441" spans="16:19" x14ac:dyDescent="0.2">
      <c r="P441" s="252"/>
      <c r="Q441" s="252"/>
      <c r="R441" s="252"/>
      <c r="S441" s="252"/>
    </row>
    <row r="442" spans="16:19" x14ac:dyDescent="0.2">
      <c r="P442" s="252"/>
      <c r="Q442" s="252"/>
      <c r="R442" s="252"/>
      <c r="S442" s="252"/>
    </row>
    <row r="443" spans="16:19" x14ac:dyDescent="0.2">
      <c r="P443" s="252"/>
      <c r="Q443" s="252"/>
      <c r="R443" s="252"/>
      <c r="S443" s="252"/>
    </row>
    <row r="444" spans="16:19" x14ac:dyDescent="0.2">
      <c r="P444" s="252"/>
      <c r="Q444" s="252"/>
      <c r="R444" s="252"/>
      <c r="S444" s="252"/>
    </row>
    <row r="445" spans="16:19" x14ac:dyDescent="0.2">
      <c r="P445" s="252"/>
      <c r="Q445" s="252"/>
      <c r="R445" s="252"/>
      <c r="S445" s="252"/>
    </row>
    <row r="446" spans="16:19" x14ac:dyDescent="0.2">
      <c r="P446" s="252"/>
      <c r="Q446" s="252"/>
      <c r="R446" s="252"/>
      <c r="S446" s="252"/>
    </row>
    <row r="447" spans="16:19" x14ac:dyDescent="0.2">
      <c r="P447" s="252"/>
      <c r="Q447" s="252"/>
      <c r="R447" s="252"/>
      <c r="S447" s="252"/>
    </row>
    <row r="448" spans="16:19" x14ac:dyDescent="0.2">
      <c r="P448" s="252"/>
      <c r="Q448" s="252"/>
      <c r="R448" s="252"/>
      <c r="S448" s="252"/>
    </row>
    <row r="449" spans="16:19" x14ac:dyDescent="0.2">
      <c r="P449" s="252"/>
      <c r="Q449" s="252"/>
      <c r="R449" s="252"/>
      <c r="S449" s="252"/>
    </row>
    <row r="450" spans="16:19" x14ac:dyDescent="0.2">
      <c r="P450" s="252"/>
      <c r="Q450" s="252"/>
      <c r="R450" s="252"/>
      <c r="S450" s="252"/>
    </row>
    <row r="451" spans="16:19" x14ac:dyDescent="0.2">
      <c r="P451" s="252"/>
      <c r="Q451" s="252"/>
      <c r="R451" s="252"/>
      <c r="S451" s="252"/>
    </row>
    <row r="452" spans="16:19" x14ac:dyDescent="0.2">
      <c r="P452" s="252"/>
      <c r="Q452" s="252"/>
      <c r="R452" s="252"/>
      <c r="S452" s="252"/>
    </row>
    <row r="453" spans="16:19" x14ac:dyDescent="0.2">
      <c r="P453" s="252"/>
      <c r="Q453" s="252"/>
      <c r="R453" s="252"/>
      <c r="S453" s="252"/>
    </row>
    <row r="454" spans="16:19" x14ac:dyDescent="0.2">
      <c r="P454" s="252"/>
      <c r="Q454" s="252"/>
      <c r="R454" s="252"/>
      <c r="S454" s="252"/>
    </row>
    <row r="455" spans="16:19" x14ac:dyDescent="0.2">
      <c r="P455" s="252"/>
      <c r="Q455" s="252"/>
      <c r="R455" s="252"/>
      <c r="S455" s="252"/>
    </row>
    <row r="456" spans="16:19" x14ac:dyDescent="0.2">
      <c r="P456" s="252"/>
      <c r="Q456" s="252"/>
      <c r="R456" s="252"/>
      <c r="S456" s="252"/>
    </row>
    <row r="457" spans="16:19" x14ac:dyDescent="0.2">
      <c r="P457" s="252"/>
      <c r="Q457" s="252"/>
      <c r="R457" s="252"/>
      <c r="S457" s="252"/>
    </row>
    <row r="458" spans="16:19" x14ac:dyDescent="0.2">
      <c r="P458" s="252"/>
      <c r="Q458" s="252"/>
      <c r="R458" s="252"/>
      <c r="S458" s="252"/>
    </row>
    <row r="459" spans="16:19" x14ac:dyDescent="0.2">
      <c r="P459" s="252"/>
      <c r="Q459" s="252"/>
      <c r="R459" s="252"/>
      <c r="S459" s="252"/>
    </row>
    <row r="460" spans="16:19" x14ac:dyDescent="0.2">
      <c r="P460" s="252"/>
      <c r="Q460" s="252"/>
      <c r="R460" s="252"/>
      <c r="S460" s="252"/>
    </row>
    <row r="461" spans="16:19" x14ac:dyDescent="0.2">
      <c r="P461" s="252"/>
    </row>
    <row r="462" spans="16:19" x14ac:dyDescent="0.2">
      <c r="P462" s="252"/>
    </row>
    <row r="463" spans="16:19" x14ac:dyDescent="0.2">
      <c r="P463" s="252"/>
    </row>
    <row r="464" spans="16:19" x14ac:dyDescent="0.2">
      <c r="P464" s="252"/>
    </row>
    <row r="465" spans="16:16" x14ac:dyDescent="0.2">
      <c r="P465" s="252"/>
    </row>
    <row r="466" spans="16:16" x14ac:dyDescent="0.2">
      <c r="P466" s="252"/>
    </row>
    <row r="467" spans="16:16" x14ac:dyDescent="0.2">
      <c r="P467" s="252"/>
    </row>
    <row r="468" spans="16:16" x14ac:dyDescent="0.2">
      <c r="P468" s="252"/>
    </row>
    <row r="469" spans="16:16" x14ac:dyDescent="0.2">
      <c r="P469" s="252"/>
    </row>
    <row r="470" spans="16:16" x14ac:dyDescent="0.2">
      <c r="P470" s="252"/>
    </row>
    <row r="471" spans="16:16" x14ac:dyDescent="0.2">
      <c r="P471" s="252"/>
    </row>
    <row r="472" spans="16:16" x14ac:dyDescent="0.2">
      <c r="P472" s="252"/>
    </row>
    <row r="473" spans="16:16" x14ac:dyDescent="0.2">
      <c r="P473" s="252"/>
    </row>
    <row r="474" spans="16:16" x14ac:dyDescent="0.2">
      <c r="P474" s="252"/>
    </row>
    <row r="475" spans="16:16" x14ac:dyDescent="0.2">
      <c r="P475" s="252"/>
    </row>
    <row r="476" spans="16:16" x14ac:dyDescent="0.2">
      <c r="P476" s="252"/>
    </row>
    <row r="477" spans="16:16" x14ac:dyDescent="0.2">
      <c r="P477" s="252"/>
    </row>
    <row r="478" spans="16:16" x14ac:dyDescent="0.2">
      <c r="P478" s="252"/>
    </row>
    <row r="479" spans="16:16" x14ac:dyDescent="0.2">
      <c r="P479" s="252"/>
    </row>
    <row r="480" spans="16:16" x14ac:dyDescent="0.2">
      <c r="P480" s="252"/>
    </row>
    <row r="481" spans="16:16" x14ac:dyDescent="0.2">
      <c r="P481" s="252"/>
    </row>
    <row r="482" spans="16:16" x14ac:dyDescent="0.2">
      <c r="P482" s="252"/>
    </row>
    <row r="483" spans="16:16" x14ac:dyDescent="0.2">
      <c r="P483" s="252"/>
    </row>
    <row r="484" spans="16:16" x14ac:dyDescent="0.2">
      <c r="P484" s="252"/>
    </row>
    <row r="485" spans="16:16" x14ac:dyDescent="0.2">
      <c r="P485" s="252"/>
    </row>
    <row r="486" spans="16:16" x14ac:dyDescent="0.2">
      <c r="P486" s="252"/>
    </row>
    <row r="487" spans="16:16" x14ac:dyDescent="0.2">
      <c r="P487" s="252"/>
    </row>
    <row r="488" spans="16:16" x14ac:dyDescent="0.2">
      <c r="P488" s="252"/>
    </row>
    <row r="489" spans="16:16" x14ac:dyDescent="0.2">
      <c r="P489" s="252"/>
    </row>
    <row r="490" spans="16:16" x14ac:dyDescent="0.2">
      <c r="P490" s="252"/>
    </row>
    <row r="491" spans="16:16" x14ac:dyDescent="0.2">
      <c r="P491" s="252"/>
    </row>
    <row r="492" spans="16:16" x14ac:dyDescent="0.2">
      <c r="P492" s="252"/>
    </row>
    <row r="493" spans="16:16" x14ac:dyDescent="0.2">
      <c r="P493" s="252"/>
    </row>
    <row r="494" spans="16:16" x14ac:dyDescent="0.2">
      <c r="P494" s="252"/>
    </row>
    <row r="495" spans="16:16" x14ac:dyDescent="0.2">
      <c r="P495" s="252"/>
    </row>
    <row r="496" spans="16:16" x14ac:dyDescent="0.2">
      <c r="P496" s="252"/>
    </row>
    <row r="497" spans="16:16" x14ac:dyDescent="0.2">
      <c r="P497" s="252"/>
    </row>
    <row r="498" spans="16:16" x14ac:dyDescent="0.2">
      <c r="P498" s="252"/>
    </row>
    <row r="499" spans="16:16" x14ac:dyDescent="0.2">
      <c r="P499" s="252"/>
    </row>
    <row r="500" spans="16:16" x14ac:dyDescent="0.2">
      <c r="P500" s="252"/>
    </row>
    <row r="501" spans="16:16" x14ac:dyDescent="0.2">
      <c r="P501" s="252"/>
    </row>
    <row r="502" spans="16:16" x14ac:dyDescent="0.2">
      <c r="P502" s="252"/>
    </row>
    <row r="503" spans="16:16" x14ac:dyDescent="0.2">
      <c r="P503" s="252"/>
    </row>
    <row r="504" spans="16:16" x14ac:dyDescent="0.2">
      <c r="P504" s="252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ignoredErrors>
    <ignoredError sqref="W54:AA5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562" t="s">
        <v>49</v>
      </c>
      <c r="B1" s="562"/>
      <c r="C1" s="562" t="s">
        <v>122</v>
      </c>
      <c r="D1" s="562"/>
      <c r="E1" s="562"/>
      <c r="F1" s="562"/>
      <c r="G1" s="562"/>
      <c r="H1" s="562"/>
      <c r="W1" t="s">
        <v>49</v>
      </c>
      <c r="X1" t="s">
        <v>49</v>
      </c>
      <c r="Y1" t="s">
        <v>122</v>
      </c>
    </row>
    <row r="2" spans="1:28" x14ac:dyDescent="0.2">
      <c r="A2" s="562"/>
      <c r="B2" s="562"/>
      <c r="C2" s="562" t="s">
        <v>123</v>
      </c>
      <c r="D2" s="562"/>
      <c r="E2" s="562"/>
      <c r="F2" s="562" t="s">
        <v>124</v>
      </c>
      <c r="G2" s="562"/>
      <c r="H2" s="562"/>
      <c r="Y2" t="s">
        <v>123</v>
      </c>
      <c r="Z2" t="s">
        <v>124</v>
      </c>
    </row>
    <row r="3" spans="1:28" x14ac:dyDescent="0.2">
      <c r="A3" s="562"/>
      <c r="B3" s="562"/>
      <c r="C3" t="s">
        <v>125</v>
      </c>
      <c r="D3" t="s">
        <v>126</v>
      </c>
      <c r="E3" t="s">
        <v>127</v>
      </c>
      <c r="F3" t="s">
        <v>125</v>
      </c>
      <c r="G3" t="s">
        <v>126</v>
      </c>
      <c r="H3" t="s">
        <v>127</v>
      </c>
      <c r="Y3" t="s">
        <v>126</v>
      </c>
      <c r="Z3" t="s">
        <v>126</v>
      </c>
    </row>
    <row r="4" spans="1:28" x14ac:dyDescent="0.2">
      <c r="A4" s="562"/>
      <c r="B4" s="562"/>
      <c r="C4" t="s">
        <v>128</v>
      </c>
      <c r="D4" t="s">
        <v>128</v>
      </c>
      <c r="E4" t="s">
        <v>128</v>
      </c>
      <c r="F4" t="s">
        <v>128</v>
      </c>
      <c r="G4" t="s">
        <v>128</v>
      </c>
      <c r="H4" t="s">
        <v>128</v>
      </c>
      <c r="Y4" t="s">
        <v>130</v>
      </c>
      <c r="Z4" t="s">
        <v>130</v>
      </c>
    </row>
    <row r="5" spans="1:28" x14ac:dyDescent="0.2">
      <c r="A5" s="562" t="s">
        <v>129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129</v>
      </c>
      <c r="X5">
        <v>17</v>
      </c>
      <c r="Y5" t="s">
        <v>73</v>
      </c>
      <c r="Z5">
        <v>0</v>
      </c>
    </row>
    <row r="6" spans="1:28" x14ac:dyDescent="0.2">
      <c r="A6" s="562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562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562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562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562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562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562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562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562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562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562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562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562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562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562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562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562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562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562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562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562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562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562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562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562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562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562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562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562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562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562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562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562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562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562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562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562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562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562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562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562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562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Hulík Vladimír</cp:lastModifiedBy>
  <cp:lastPrinted>2013-01-04T13:53:19Z</cp:lastPrinted>
  <dcterms:created xsi:type="dcterms:W3CDTF">2002-01-04T13:49:23Z</dcterms:created>
  <dcterms:modified xsi:type="dcterms:W3CDTF">2024-06-20T11:40:16Z</dcterms:modified>
</cp:coreProperties>
</file>